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P:\S Drive Files\Data Administration\2023-24 Data Reports\Fiscal Docs\"/>
    </mc:Choice>
  </mc:AlternateContent>
  <xr:revisionPtr revIDLastSave="0" documentId="8_{3B90FBB8-E4B3-47E7-A7DD-9C37CFA3C459}" xr6:coauthVersionLast="47" xr6:coauthVersionMax="47" xr10:uidLastSave="{00000000-0000-0000-0000-000000000000}"/>
  <bookViews>
    <workbookView xWindow="30555" yWindow="60" windowWidth="25065" windowHeight="14460" tabRatio="921" firstSheet="1" activeTab="3" xr2:uid="{00000000-000D-0000-FFFF-FFFF00000000}"/>
  </bookViews>
  <sheets>
    <sheet name="1. Title Page" sheetId="50" r:id="rId1"/>
    <sheet name="CCDDD#" sheetId="52" r:id="rId2"/>
    <sheet name="43. SEA Guidance" sheetId="47" r:id="rId3"/>
    <sheet name="2. Getting Started" sheetId="1" r:id="rId4"/>
    <sheet name="3a. Intervening Years" sheetId="2" state="hidden" r:id="rId5"/>
    <sheet name="3b. High Cost Fund" sheetId="48" state="hidden" r:id="rId6"/>
    <sheet name="4. Multi-Year MOE Summary" sheetId="8" r:id="rId7"/>
    <sheet name="14. Year 4 Amounts" sheetId="20" r:id="rId8"/>
    <sheet name="15. Year 4 Exc &amp; Adj" sheetId="21" r:id="rId9"/>
    <sheet name="16. Year 4 Summary" sheetId="22" state="hidden" r:id="rId10"/>
    <sheet name="11. Year 3 Amounts" sheetId="17" r:id="rId11"/>
    <sheet name="12. Year 3 Exc &amp; Adj" sheetId="18" r:id="rId12"/>
    <sheet name="8. Year 2 Amounts" sheetId="14" r:id="rId13"/>
    <sheet name="9. Year 2 Exc &amp; Adj" sheetId="15" r:id="rId14"/>
    <sheet name="5. Year 1 Amounts" sheetId="9" r:id="rId15"/>
    <sheet name="6. Year 1 Exc &amp; Adj" sheetId="10" state="hidden" r:id="rId16"/>
    <sheet name="7. Year 1 Summary" sheetId="6" state="hidden" r:id="rId17"/>
    <sheet name="10. Year 2 Summary" sheetId="16" state="hidden" r:id="rId18"/>
    <sheet name="13. Year 3 Summary" sheetId="19" state="hidden" r:id="rId19"/>
    <sheet name="17. Year 5 Amounts" sheetId="23" state="hidden" r:id="rId20"/>
    <sheet name="18. Year 5 Exc &amp; Adj" sheetId="24" state="hidden" r:id="rId21"/>
    <sheet name="19. Year 5 Summary" sheetId="25" state="hidden" r:id="rId22"/>
    <sheet name="20. Year 6 Amounts" sheetId="26" state="hidden" r:id="rId23"/>
    <sheet name="21. Year 6 Exc &amp; Adj" sheetId="27" state="hidden" r:id="rId24"/>
    <sheet name="22. Year 6 Summary" sheetId="28" state="hidden" r:id="rId25"/>
    <sheet name="23. Year 7 Amounts" sheetId="29" state="hidden" r:id="rId26"/>
    <sheet name="24. Year 7 Exc &amp; Adj" sheetId="30" state="hidden" r:id="rId27"/>
    <sheet name="25. Year 7 Summary" sheetId="31" state="hidden" r:id="rId28"/>
    <sheet name="26. Year 8 Amounts" sheetId="32" state="hidden" r:id="rId29"/>
    <sheet name="27. Year 8 Exc &amp; Adj" sheetId="33" state="hidden" r:id="rId30"/>
    <sheet name="28. Year 8 Summary" sheetId="35" state="hidden" r:id="rId31"/>
    <sheet name="29. Year 9 Amounts" sheetId="36" state="hidden" r:id="rId32"/>
    <sheet name="30. Year 9 Exc &amp; Adj" sheetId="37" state="hidden" r:id="rId33"/>
    <sheet name="31. Year 9 Summary" sheetId="38" state="hidden" r:id="rId34"/>
    <sheet name="32. Year 10 Amounts" sheetId="39" state="hidden" r:id="rId35"/>
    <sheet name="33. Year 10 Exc &amp; Adj" sheetId="40" state="hidden" r:id="rId36"/>
    <sheet name="34. Year 10 Summary" sheetId="41" state="hidden" r:id="rId37"/>
    <sheet name="35. Year 11 Amounts" sheetId="42" state="hidden" r:id="rId38"/>
    <sheet name="36. Year 11 Exc &amp; Adj" sheetId="43" state="hidden" r:id="rId39"/>
    <sheet name="37. Year 11 Summary" sheetId="44" state="hidden" r:id="rId40"/>
    <sheet name="38. Total Local Funds" sheetId="5" state="hidden" r:id="rId41"/>
    <sheet name="39. Total State &amp; Local Funds" sheetId="11" state="hidden" r:id="rId42"/>
    <sheet name="40. Local Funds Per Capita" sheetId="12" state="hidden" r:id="rId43"/>
    <sheet name="41. State &amp; Local Funds Per Cap" sheetId="13" state="hidden" r:id="rId44"/>
    <sheet name="42. SEA or LEA Worksheet" sheetId="45" state="hidden" r:id="rId45"/>
    <sheet name="compliance" sheetId="56" state="hidden" r:id="rId46"/>
    <sheet name="21-22 state &amp; local" sheetId="55" state="hidden" r:id="rId47"/>
    <sheet name="21-22 child count" sheetId="54" state="hidden" r:id="rId48"/>
    <sheet name="22-23 child count" sheetId="57" state="hidden" r:id="rId49"/>
    <sheet name="List" sheetId="49" state="veryHidden" r:id="rId50"/>
  </sheets>
  <externalReferences>
    <externalReference r:id="rId51"/>
  </externalReferences>
  <definedNames>
    <definedName name="_xlnm._FilterDatabase" localSheetId="47" hidden="1">'21-22 child count'!$A$2:$T$319</definedName>
    <definedName name="_xlnm._FilterDatabase" localSheetId="46" hidden="1">'21-22 state &amp; local'!$A$4:$H$317</definedName>
    <definedName name="_xlnm._FilterDatabase" localSheetId="48" hidden="1">'22-23 child count'!$A$3:$V$320</definedName>
    <definedName name="_xlnm._FilterDatabase" localSheetId="44" hidden="1">'42. SEA or LEA Worksheet'!$A$3:$AG$318</definedName>
    <definedName name="_xlnm._FilterDatabase" localSheetId="1" hidden="1">'CCDDD#'!$A$1:$D$317</definedName>
    <definedName name="_xlnm._FilterDatabase" localSheetId="45" hidden="1">compliance!$A$4:$AR$315</definedName>
    <definedName name="Exception_c" localSheetId="0">[1]List!$A$2:$A$5</definedName>
    <definedName name="Exception_c">List!$A$2:$A$5</definedName>
    <definedName name="_xlnm.Print_Area" localSheetId="6">'4. Multi-Year MOE Summary'!$C$1:$L$13</definedName>
    <definedName name="_xlnm.Print_Titles" localSheetId="17">'10. Year 2 Summary'!$A:$A,'10. Year 2 Summary'!$1:$2</definedName>
    <definedName name="_xlnm.Print_Titles" localSheetId="10">'11. Year 3 Amounts'!$2:$4</definedName>
    <definedName name="_xlnm.Print_Titles" localSheetId="11">'12. Year 3 Exc &amp; Adj'!$1:$3</definedName>
    <definedName name="_xlnm.Print_Titles" localSheetId="18">'13. Year 3 Summary'!$A:$A,'13. Year 3 Summary'!$1:$2</definedName>
    <definedName name="_xlnm.Print_Titles" localSheetId="7">'14. Year 4 Amounts'!$2:$4</definedName>
    <definedName name="_xlnm.Print_Titles" localSheetId="8">'15. Year 4 Exc &amp; Adj'!$1:$3</definedName>
    <definedName name="_xlnm.Print_Titles" localSheetId="9">'16. Year 4 Summary'!$A:$A,'16. Year 4 Summary'!$1:$2</definedName>
    <definedName name="_xlnm.Print_Titles" localSheetId="19">'17. Year 5 Amounts'!$2:$4</definedName>
    <definedName name="_xlnm.Print_Titles" localSheetId="20">'18. Year 5 Exc &amp; Adj'!$1:$3</definedName>
    <definedName name="_xlnm.Print_Titles" localSheetId="21">'19. Year 5 Summary'!$A:$A,'19. Year 5 Summary'!$1:$2</definedName>
    <definedName name="_xlnm.Print_Titles" localSheetId="22">'20. Year 6 Amounts'!$2:$4</definedName>
    <definedName name="_xlnm.Print_Titles" localSheetId="23">'21. Year 6 Exc &amp; Adj'!$1:$3</definedName>
    <definedName name="_xlnm.Print_Titles" localSheetId="24">'22. Year 6 Summary'!$A:$A,'22. Year 6 Summary'!$1:$2</definedName>
    <definedName name="_xlnm.Print_Titles" localSheetId="25">'23. Year 7 Amounts'!$2:$4</definedName>
    <definedName name="_xlnm.Print_Titles" localSheetId="26">'24. Year 7 Exc &amp; Adj'!$1:$3</definedName>
    <definedName name="_xlnm.Print_Titles" localSheetId="27">'25. Year 7 Summary'!$A:$A,'25. Year 7 Summary'!$1:$2</definedName>
    <definedName name="_xlnm.Print_Titles" localSheetId="28">'26. Year 8 Amounts'!$2:$4</definedName>
    <definedName name="_xlnm.Print_Titles" localSheetId="29">'27. Year 8 Exc &amp; Adj'!$1:$3</definedName>
    <definedName name="_xlnm.Print_Titles" localSheetId="30">'28. Year 8 Summary'!$A:$A,'28. Year 8 Summary'!$1:$2</definedName>
    <definedName name="_xlnm.Print_Titles" localSheetId="31">'29. Year 9 Amounts'!$2:$4</definedName>
    <definedName name="_xlnm.Print_Titles" localSheetId="32">'30. Year 9 Exc &amp; Adj'!$1:$3</definedName>
    <definedName name="_xlnm.Print_Titles" localSheetId="33">'31. Year 9 Summary'!$A:$A,'31. Year 9 Summary'!$1:$2</definedName>
    <definedName name="_xlnm.Print_Titles" localSheetId="34">'32. Year 10 Amounts'!$2:$4</definedName>
    <definedName name="_xlnm.Print_Titles" localSheetId="35">'33. Year 10 Exc &amp; Adj'!$1:$3</definedName>
    <definedName name="_xlnm.Print_Titles" localSheetId="36">'34. Year 10 Summary'!$A:$A,'34. Year 10 Summary'!$1:$2</definedName>
    <definedName name="_xlnm.Print_Titles" localSheetId="37">'35. Year 11 Amounts'!$2:$4</definedName>
    <definedName name="_xlnm.Print_Titles" localSheetId="38">'36. Year 11 Exc &amp; Adj'!$1:$3</definedName>
    <definedName name="_xlnm.Print_Titles" localSheetId="39">'37. Year 11 Summary'!$A:$A,'37. Year 11 Summary'!$1:$2</definedName>
    <definedName name="_xlnm.Print_Titles" localSheetId="40">'38. Total Local Funds'!$1:$2</definedName>
    <definedName name="_xlnm.Print_Titles" localSheetId="41">'39. Total State &amp; Local Funds'!$1:$2</definedName>
    <definedName name="_xlnm.Print_Titles" localSheetId="6">'4. Multi-Year MOE Summary'!$A:$C,'4. Multi-Year MOE Summary'!$1:$2</definedName>
    <definedName name="_xlnm.Print_Titles" localSheetId="42">'40. Local Funds Per Capita'!$1:$2</definedName>
    <definedName name="_xlnm.Print_Titles" localSheetId="43">'41. State &amp; Local Funds Per Cap'!$1:$2</definedName>
    <definedName name="_xlnm.Print_Titles" localSheetId="14">'5. Year 1 Amounts'!$2:$4</definedName>
    <definedName name="_xlnm.Print_Titles" localSheetId="15">'6. Year 1 Exc &amp; Adj'!$1:$3</definedName>
    <definedName name="_xlnm.Print_Titles" localSheetId="16">'7. Year 1 Summary'!$A:$A,'7. Year 1 Summary'!$1:$2</definedName>
    <definedName name="_xlnm.Print_Titles" localSheetId="12">'8. Year 2 Amounts'!$2:$4</definedName>
    <definedName name="_xlnm.Print_Titles" localSheetId="13">'9. Year 2 Exc &amp; Adj'!$1:$3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B1" i="14"/>
  <c r="I1" i="14"/>
  <c r="B1" i="9"/>
  <c r="I1" i="9"/>
  <c r="B1" i="17"/>
  <c r="I1" i="17"/>
  <c r="P5" i="56"/>
  <c r="AD319" i="45"/>
  <c r="AD3" i="45" s="1"/>
  <c r="V77" i="57"/>
  <c r="V15" i="57"/>
  <c r="V193" i="57"/>
  <c r="V131" i="57"/>
  <c r="V225" i="57"/>
  <c r="V40" i="57"/>
  <c r="V9" i="57"/>
  <c r="V115" i="57"/>
  <c r="V198" i="57"/>
  <c r="V119" i="57"/>
  <c r="V85" i="57"/>
  <c r="V208" i="57"/>
  <c r="V223" i="57"/>
  <c r="V140" i="57"/>
  <c r="V260" i="57"/>
  <c r="V74" i="57"/>
  <c r="V125" i="57"/>
  <c r="V29" i="57"/>
  <c r="V28" i="57"/>
  <c r="V301" i="57"/>
  <c r="V201" i="57"/>
  <c r="V204" i="57"/>
  <c r="V54" i="57"/>
  <c r="V240" i="57"/>
  <c r="V26" i="57"/>
  <c r="V214" i="57"/>
  <c r="V289" i="57"/>
  <c r="V102" i="57"/>
  <c r="V121" i="57"/>
  <c r="V96" i="57"/>
  <c r="V297" i="57"/>
  <c r="V80" i="57"/>
  <c r="V25" i="57"/>
  <c r="V12" i="57"/>
  <c r="V224" i="57"/>
  <c r="V59" i="57"/>
  <c r="V259" i="57"/>
  <c r="V132" i="57"/>
  <c r="V282" i="57"/>
  <c r="V31" i="57"/>
  <c r="V109" i="57"/>
  <c r="V315" i="57"/>
  <c r="V114" i="57"/>
  <c r="V190" i="57"/>
  <c r="V22" i="57"/>
  <c r="V194" i="57"/>
  <c r="V67" i="57"/>
  <c r="V139" i="57"/>
  <c r="V299" i="57"/>
  <c r="V113" i="57"/>
  <c r="V56" i="57"/>
  <c r="V189" i="57"/>
  <c r="V110" i="57"/>
  <c r="V222" i="57"/>
  <c r="V196" i="57"/>
  <c r="V169" i="57"/>
  <c r="V258" i="57"/>
  <c r="V108" i="57"/>
  <c r="V203" i="57"/>
  <c r="V292" i="57"/>
  <c r="V215" i="57"/>
  <c r="V296" i="57"/>
  <c r="V52" i="57"/>
  <c r="V248" i="57"/>
  <c r="V231" i="57"/>
  <c r="V154" i="57"/>
  <c r="V76" i="57"/>
  <c r="V311" i="57"/>
  <c r="V91" i="57"/>
  <c r="V4" i="57"/>
  <c r="V104" i="57"/>
  <c r="V168" i="57"/>
  <c r="V144" i="57"/>
  <c r="V152" i="57"/>
  <c r="V72" i="57"/>
  <c r="V273" i="57"/>
  <c r="V122" i="57"/>
  <c r="V51" i="57"/>
  <c r="V233" i="57"/>
  <c r="V313" i="57"/>
  <c r="V180" i="57"/>
  <c r="V178" i="57"/>
  <c r="V176" i="57"/>
  <c r="V53" i="57"/>
  <c r="V251" i="57"/>
  <c r="V212" i="57"/>
  <c r="V23" i="57"/>
  <c r="V213" i="57"/>
  <c r="V39" i="57"/>
  <c r="V205" i="57"/>
  <c r="V236" i="57"/>
  <c r="V82" i="57"/>
  <c r="V75" i="57"/>
  <c r="V147" i="57"/>
  <c r="V101" i="57"/>
  <c r="V290" i="57"/>
  <c r="V221" i="57"/>
  <c r="V245" i="57"/>
  <c r="V13" i="57"/>
  <c r="V284" i="57"/>
  <c r="V227" i="57"/>
  <c r="V10" i="57"/>
  <c r="V274" i="57"/>
  <c r="V247" i="57"/>
  <c r="V112" i="57"/>
  <c r="V243" i="57"/>
  <c r="V127" i="57"/>
  <c r="V116" i="57"/>
  <c r="V175" i="57"/>
  <c r="V267" i="57"/>
  <c r="V265" i="57"/>
  <c r="V217" i="57"/>
  <c r="V218" i="57"/>
  <c r="V106" i="57"/>
  <c r="V107" i="57"/>
  <c r="V308" i="57"/>
  <c r="V20" i="57"/>
  <c r="V11" i="57"/>
  <c r="V170" i="57"/>
  <c r="V33" i="57"/>
  <c r="V250" i="57"/>
  <c r="V32" i="57"/>
  <c r="V271" i="57"/>
  <c r="V58" i="57"/>
  <c r="V68" i="57"/>
  <c r="V277" i="57"/>
  <c r="V71" i="57"/>
  <c r="V120" i="57"/>
  <c r="V41" i="57"/>
  <c r="V314" i="57"/>
  <c r="V17" i="57"/>
  <c r="V30" i="57"/>
  <c r="V283" i="57"/>
  <c r="V87" i="57"/>
  <c r="V117" i="57"/>
  <c r="V229" i="57"/>
  <c r="V88" i="57"/>
  <c r="V307" i="57"/>
  <c r="V136" i="57"/>
  <c r="V162" i="57"/>
  <c r="V78" i="57"/>
  <c r="V155" i="57"/>
  <c r="V153" i="57"/>
  <c r="V5" i="57"/>
  <c r="V312" i="57"/>
  <c r="V19" i="57"/>
  <c r="V278" i="57"/>
  <c r="V185" i="57"/>
  <c r="V199" i="57"/>
  <c r="V36" i="57"/>
  <c r="V305" i="57"/>
  <c r="V35" i="57"/>
  <c r="V255" i="57"/>
  <c r="V220" i="57"/>
  <c r="V6" i="57"/>
  <c r="V55" i="57"/>
  <c r="V181" i="57"/>
  <c r="V309" i="57"/>
  <c r="V99" i="57"/>
  <c r="V61" i="57"/>
  <c r="V252" i="57"/>
  <c r="V95" i="57"/>
  <c r="V242" i="57"/>
  <c r="V141" i="57"/>
  <c r="V202" i="57"/>
  <c r="V171" i="57"/>
  <c r="V103" i="57"/>
  <c r="V164" i="57"/>
  <c r="V184" i="57"/>
  <c r="V182" i="57"/>
  <c r="V21" i="57"/>
  <c r="V197" i="57"/>
  <c r="V149" i="57"/>
  <c r="V279" i="57"/>
  <c r="V191" i="57"/>
  <c r="V179" i="57"/>
  <c r="V219" i="57"/>
  <c r="V249" i="57"/>
  <c r="V163" i="57"/>
  <c r="V310" i="57"/>
  <c r="V172" i="57"/>
  <c r="V165" i="57"/>
  <c r="V57" i="57"/>
  <c r="V239" i="57"/>
  <c r="V261" i="57"/>
  <c r="V211" i="57"/>
  <c r="V272" i="57"/>
  <c r="V27" i="57"/>
  <c r="V287" i="57"/>
  <c r="V269" i="57"/>
  <c r="V64" i="57"/>
  <c r="V192" i="57"/>
  <c r="V42" i="57"/>
  <c r="V200" i="57"/>
  <c r="V86" i="57"/>
  <c r="V16" i="57"/>
  <c r="V69" i="57"/>
  <c r="V306" i="57"/>
  <c r="V84" i="57"/>
  <c r="V105" i="57"/>
  <c r="V266" i="57"/>
  <c r="V241" i="57"/>
  <c r="V187" i="57"/>
  <c r="V134" i="57"/>
  <c r="V232" i="57"/>
  <c r="V49" i="57"/>
  <c r="V24" i="57"/>
  <c r="V237" i="57"/>
  <c r="V7" i="57"/>
  <c r="V123" i="57"/>
  <c r="V50" i="57"/>
  <c r="V159" i="57"/>
  <c r="V244" i="57"/>
  <c r="V158" i="57"/>
  <c r="V150" i="57"/>
  <c r="V263" i="57"/>
  <c r="V79" i="57"/>
  <c r="V126" i="57"/>
  <c r="V160" i="57"/>
  <c r="V70" i="57"/>
  <c r="V8" i="57"/>
  <c r="V143" i="57"/>
  <c r="V111" i="57"/>
  <c r="V151" i="57"/>
  <c r="V246" i="57"/>
  <c r="V128" i="57"/>
  <c r="V264" i="57"/>
  <c r="V60" i="57"/>
  <c r="V94" i="57"/>
  <c r="V257" i="57"/>
  <c r="V253" i="57"/>
  <c r="V188" i="57"/>
  <c r="V97" i="57"/>
  <c r="V166" i="57"/>
  <c r="V146" i="57"/>
  <c r="V145" i="57"/>
  <c r="V34" i="57"/>
  <c r="V89" i="57"/>
  <c r="V37" i="57"/>
  <c r="V65" i="57"/>
  <c r="V130" i="57"/>
  <c r="V303" i="57"/>
  <c r="V63" i="57"/>
  <c r="V226" i="57"/>
  <c r="V254" i="57"/>
  <c r="V135" i="57"/>
  <c r="V207" i="57"/>
  <c r="V186" i="57"/>
  <c r="V38" i="57"/>
  <c r="V300" i="57"/>
  <c r="V288" i="57"/>
  <c r="V48" i="57"/>
  <c r="V133" i="57"/>
  <c r="V268" i="57"/>
  <c r="V81" i="57"/>
  <c r="V46" i="57"/>
  <c r="V142" i="57"/>
  <c r="V174" i="57"/>
  <c r="V118" i="57"/>
  <c r="V317" i="57"/>
  <c r="V173" i="57"/>
  <c r="V285" i="57"/>
  <c r="V183" i="57"/>
  <c r="V216" i="57"/>
  <c r="V98" i="57"/>
  <c r="V228" i="57"/>
  <c r="V276" i="57"/>
  <c r="V234" i="57"/>
  <c r="V235" i="57"/>
  <c r="V291" i="57"/>
  <c r="V62" i="57"/>
  <c r="V294" i="57"/>
  <c r="V44" i="57"/>
  <c r="V281" i="57"/>
  <c r="V47" i="57"/>
  <c r="V293" i="57"/>
  <c r="V206" i="57"/>
  <c r="V14" i="57"/>
  <c r="V83" i="57"/>
  <c r="V18" i="57"/>
  <c r="V137" i="57"/>
  <c r="V148" i="57"/>
  <c r="V167" i="57"/>
  <c r="V157" i="57"/>
  <c r="V304" i="57"/>
  <c r="V124" i="57"/>
  <c r="V129" i="57"/>
  <c r="V275" i="57"/>
  <c r="V209" i="57"/>
  <c r="V43" i="57"/>
  <c r="V195" i="57"/>
  <c r="V90" i="57"/>
  <c r="V262" i="57"/>
  <c r="V45" i="57"/>
  <c r="V73" i="57"/>
  <c r="V230" i="57"/>
  <c r="V256" i="57"/>
  <c r="V177" i="57"/>
  <c r="V210" i="57"/>
  <c r="V286" i="57"/>
  <c r="V161" i="57"/>
  <c r="V316" i="57"/>
  <c r="V66" i="57"/>
  <c r="V238" i="57"/>
  <c r="V138" i="57"/>
  <c r="V92" i="57"/>
  <c r="V270" i="57"/>
  <c r="V280" i="57"/>
  <c r="V100" i="57"/>
  <c r="V93" i="57"/>
  <c r="V318" i="57"/>
  <c r="V295" i="57"/>
  <c r="V302" i="57"/>
  <c r="V156" i="57"/>
  <c r="V319" i="57"/>
  <c r="V298" i="57"/>
  <c r="AG319" i="45" l="1"/>
  <c r="AF319" i="45"/>
  <c r="AE319" i="45"/>
  <c r="AG3" i="45"/>
  <c r="AF3" i="45"/>
  <c r="AE3" i="45"/>
  <c r="AO266" i="56"/>
  <c r="AO264" i="56"/>
  <c r="AO254" i="56"/>
  <c r="AO121" i="56"/>
  <c r="AO107" i="56"/>
  <c r="AO45" i="56"/>
  <c r="AO100" i="56"/>
  <c r="AO295" i="56"/>
  <c r="AO181" i="56"/>
  <c r="AO6" i="56"/>
  <c r="AO7" i="56"/>
  <c r="AO8" i="56"/>
  <c r="AO9" i="56"/>
  <c r="AO160" i="56"/>
  <c r="AO287" i="56"/>
  <c r="AO154" i="56"/>
  <c r="AO240" i="56"/>
  <c r="AO210" i="56"/>
  <c r="AO288" i="56"/>
  <c r="AO225" i="56"/>
  <c r="AO18" i="56"/>
  <c r="AO10" i="56"/>
  <c r="AO11" i="56"/>
  <c r="AO147" i="56"/>
  <c r="AO246" i="56"/>
  <c r="AO189" i="56"/>
  <c r="AO146" i="56"/>
  <c r="AO12" i="56"/>
  <c r="AO258" i="56"/>
  <c r="AO13" i="56"/>
  <c r="AO28" i="56"/>
  <c r="AO29" i="56"/>
  <c r="AO14" i="56"/>
  <c r="AO194" i="56"/>
  <c r="AO307" i="56"/>
  <c r="AP307" i="56" s="1"/>
  <c r="AO33" i="56"/>
  <c r="AO152" i="56"/>
  <c r="AO257" i="56"/>
  <c r="AO263" i="56"/>
  <c r="AO15" i="56"/>
  <c r="AO248" i="56"/>
  <c r="AO157" i="56"/>
  <c r="AO17" i="56"/>
  <c r="AO19" i="56"/>
  <c r="AO20" i="56"/>
  <c r="AO222" i="56"/>
  <c r="AO44" i="56"/>
  <c r="AO211" i="56"/>
  <c r="AO46" i="56"/>
  <c r="AO47" i="56"/>
  <c r="AO173" i="56"/>
  <c r="AO21" i="56"/>
  <c r="AO50" i="56"/>
  <c r="AO22" i="56"/>
  <c r="AO52" i="56"/>
  <c r="AO23" i="56"/>
  <c r="AO24" i="56"/>
  <c r="AO280" i="56"/>
  <c r="AO252" i="56"/>
  <c r="AO25" i="56"/>
  <c r="AO26" i="56"/>
  <c r="AO301" i="56"/>
  <c r="AO27" i="56"/>
  <c r="AO163" i="56"/>
  <c r="AO62" i="56"/>
  <c r="AO63" i="56"/>
  <c r="AO269" i="56"/>
  <c r="AO65" i="56"/>
  <c r="AO217" i="56"/>
  <c r="AO67" i="56"/>
  <c r="AO220" i="56"/>
  <c r="AO230" i="56"/>
  <c r="AO30" i="56"/>
  <c r="AO224" i="56"/>
  <c r="AO235" i="56"/>
  <c r="AO31" i="56"/>
  <c r="AO74" i="56"/>
  <c r="AO32" i="56"/>
  <c r="AO34" i="56"/>
  <c r="AO77" i="56"/>
  <c r="AO185" i="56"/>
  <c r="AO267" i="56"/>
  <c r="AO81" i="56"/>
  <c r="AO302" i="56"/>
  <c r="AO83" i="56"/>
  <c r="AO35" i="56"/>
  <c r="AO36" i="56"/>
  <c r="AO234" i="56"/>
  <c r="AO37" i="56"/>
  <c r="AO38" i="56"/>
  <c r="AO168" i="56"/>
  <c r="AO39" i="56"/>
  <c r="AO91" i="56"/>
  <c r="AO214" i="56"/>
  <c r="AO93" i="56"/>
  <c r="AO94" i="56"/>
  <c r="AO40" i="56"/>
  <c r="AO174" i="56"/>
  <c r="AO41" i="56"/>
  <c r="AO303" i="56"/>
  <c r="AO42" i="56"/>
  <c r="AO176" i="56"/>
  <c r="AO103" i="56"/>
  <c r="AO104" i="56"/>
  <c r="AO247" i="56"/>
  <c r="AO106" i="56"/>
  <c r="AO43" i="56"/>
  <c r="AO108" i="56"/>
  <c r="AO109" i="56"/>
  <c r="AO308" i="56"/>
  <c r="AP308" i="56" s="1"/>
  <c r="AO312" i="56"/>
  <c r="AP312" i="56" s="1"/>
  <c r="AO313" i="56"/>
  <c r="AP313" i="56" s="1"/>
  <c r="AO113" i="56"/>
  <c r="AO114" i="56"/>
  <c r="AO116" i="56"/>
  <c r="AO192" i="56"/>
  <c r="AO216" i="56"/>
  <c r="AO119" i="56"/>
  <c r="AO48" i="56"/>
  <c r="AO49" i="56"/>
  <c r="AO122" i="56"/>
  <c r="AO51" i="56"/>
  <c r="AO53" i="56"/>
  <c r="AO205" i="56"/>
  <c r="AO54" i="56"/>
  <c r="AO232" i="56"/>
  <c r="AO55" i="56"/>
  <c r="AO56" i="56"/>
  <c r="AO296" i="56"/>
  <c r="AO57" i="56"/>
  <c r="AO132" i="56"/>
  <c r="AO58" i="56"/>
  <c r="AO134" i="56"/>
  <c r="AO203" i="56"/>
  <c r="AO59" i="56"/>
  <c r="AO60" i="56"/>
  <c r="AO314" i="56"/>
  <c r="AP314" i="56" s="1"/>
  <c r="AO139" i="56"/>
  <c r="AO209" i="56"/>
  <c r="AO141" i="56"/>
  <c r="AO61" i="56"/>
  <c r="AO171" i="56"/>
  <c r="AO64" i="56"/>
  <c r="AO155" i="56"/>
  <c r="AO66" i="56"/>
  <c r="AO68" i="56"/>
  <c r="AO183" i="56"/>
  <c r="AO69" i="56"/>
  <c r="AO299" i="56"/>
  <c r="AO151" i="56"/>
  <c r="AO70" i="56"/>
  <c r="AO153" i="56"/>
  <c r="AO190" i="56"/>
  <c r="AO71" i="56"/>
  <c r="AO156" i="56"/>
  <c r="AO169" i="56"/>
  <c r="AO158" i="56"/>
  <c r="AO219" i="56"/>
  <c r="AO277" i="56"/>
  <c r="AO161" i="56"/>
  <c r="AO285" i="56"/>
  <c r="AO284" i="56"/>
  <c r="AO164" i="56"/>
  <c r="AO72" i="56"/>
  <c r="AO166" i="56"/>
  <c r="AO167" i="56"/>
  <c r="AO73" i="56"/>
  <c r="AO75" i="56"/>
  <c r="AO170" i="56"/>
  <c r="AO275" i="56"/>
  <c r="AO172" i="56"/>
  <c r="AO271" i="56"/>
  <c r="AO76" i="56"/>
  <c r="AO175" i="56"/>
  <c r="AO286" i="56"/>
  <c r="AO78" i="56"/>
  <c r="AO178" i="56"/>
  <c r="AO191" i="56"/>
  <c r="AO180" i="56"/>
  <c r="AO79" i="56"/>
  <c r="AO80" i="56"/>
  <c r="AO82" i="56"/>
  <c r="AO184" i="56"/>
  <c r="AO84" i="56"/>
  <c r="AO186" i="56"/>
  <c r="AO187" i="56"/>
  <c r="AO193" i="56"/>
  <c r="AO85" i="56"/>
  <c r="AO199" i="56"/>
  <c r="AO86" i="56"/>
  <c r="AO87" i="56"/>
  <c r="AO88" i="56"/>
  <c r="AO89" i="56"/>
  <c r="AO195" i="56"/>
  <c r="AO196" i="56"/>
  <c r="AO197" i="56"/>
  <c r="AO165" i="56"/>
  <c r="AO188" i="56"/>
  <c r="AO200" i="56"/>
  <c r="AO90" i="56"/>
  <c r="AO202" i="56"/>
  <c r="AO92" i="56"/>
  <c r="AO95" i="56"/>
  <c r="AO201" i="56"/>
  <c r="AO244" i="56"/>
  <c r="AO150" i="56"/>
  <c r="AO96" i="56"/>
  <c r="AO97" i="56"/>
  <c r="AO98" i="56"/>
  <c r="AO99" i="56"/>
  <c r="AO212" i="56"/>
  <c r="AO101" i="56"/>
  <c r="AO102" i="56"/>
  <c r="AO215" i="56"/>
  <c r="AO204" i="56"/>
  <c r="AO105" i="56"/>
  <c r="AO110" i="56"/>
  <c r="AO111" i="56"/>
  <c r="AO292" i="56"/>
  <c r="AO112" i="56"/>
  <c r="AO221" i="56"/>
  <c r="AO208" i="56"/>
  <c r="AO115" i="56"/>
  <c r="AO226" i="56"/>
  <c r="AO206" i="56"/>
  <c r="AO228" i="56"/>
  <c r="AO229" i="56"/>
  <c r="AO117" i="56"/>
  <c r="AO231" i="56"/>
  <c r="AO159" i="56"/>
  <c r="AO118" i="56"/>
  <c r="AO300" i="56"/>
  <c r="AO179" i="56"/>
  <c r="AO236" i="56"/>
  <c r="AO237" i="56"/>
  <c r="AO238" i="56"/>
  <c r="AO239" i="56"/>
  <c r="AO233" i="56"/>
  <c r="AO298" i="56"/>
  <c r="AO242" i="56"/>
  <c r="AO243" i="56"/>
  <c r="AO120" i="56"/>
  <c r="AO291" i="56"/>
  <c r="AO304" i="56"/>
  <c r="AO177" i="56"/>
  <c r="AO249" i="56"/>
  <c r="AO250" i="56"/>
  <c r="AO251" i="56"/>
  <c r="AO245" i="56"/>
  <c r="AO253" i="56"/>
  <c r="AO255" i="56"/>
  <c r="AO256" i="56"/>
  <c r="AO306" i="56"/>
  <c r="AO123" i="56"/>
  <c r="AO259" i="56"/>
  <c r="AO260" i="56"/>
  <c r="AO261" i="56"/>
  <c r="AO262" i="56"/>
  <c r="AO149" i="56"/>
  <c r="AO265" i="56"/>
  <c r="AO124" i="56"/>
  <c r="AO268" i="56"/>
  <c r="AO125" i="56"/>
  <c r="AO270" i="56"/>
  <c r="AO213" i="56"/>
  <c r="AO126" i="56"/>
  <c r="AO273" i="56"/>
  <c r="AO274" i="56"/>
  <c r="AO127" i="56"/>
  <c r="AO128" i="56"/>
  <c r="AO182" i="56"/>
  <c r="AO129" i="56"/>
  <c r="AO279" i="56"/>
  <c r="AO130" i="56"/>
  <c r="AO281" i="56"/>
  <c r="AO282" i="56"/>
  <c r="AO293" i="56"/>
  <c r="AO278" i="56"/>
  <c r="AO131" i="56"/>
  <c r="AO148" i="56"/>
  <c r="AO133" i="56"/>
  <c r="AO223" i="56"/>
  <c r="AO289" i="56"/>
  <c r="AO290" i="56"/>
  <c r="AO135" i="56"/>
  <c r="AO136" i="56"/>
  <c r="AO137" i="56"/>
  <c r="AO294" i="56"/>
  <c r="AO198" i="56"/>
  <c r="AO207" i="56"/>
  <c r="AO297" i="56"/>
  <c r="AO138" i="56"/>
  <c r="AO140" i="56"/>
  <c r="AO142" i="56"/>
  <c r="AO143" i="56"/>
  <c r="AO144" i="56"/>
  <c r="AO162" i="56"/>
  <c r="AO241" i="56"/>
  <c r="AO305" i="56"/>
  <c r="AO227" i="56"/>
  <c r="AO145" i="56"/>
  <c r="AO276" i="56"/>
  <c r="AO309" i="56"/>
  <c r="AO310" i="56"/>
  <c r="AO311" i="56"/>
  <c r="AO218" i="56"/>
  <c r="AO283" i="56"/>
  <c r="AO272" i="56"/>
  <c r="AO315" i="56"/>
  <c r="AO5" i="56"/>
  <c r="AL11" i="56"/>
  <c r="AL147" i="56"/>
  <c r="AL246" i="56"/>
  <c r="AL189" i="56"/>
  <c r="AL146" i="56"/>
  <c r="AL12" i="56"/>
  <c r="AL258" i="56"/>
  <c r="AL13" i="56"/>
  <c r="AL28" i="56"/>
  <c r="AL29" i="56"/>
  <c r="AL14" i="56"/>
  <c r="AL194" i="56"/>
  <c r="AL307" i="56"/>
  <c r="AM307" i="56" s="1"/>
  <c r="AL33" i="56"/>
  <c r="AL152" i="56"/>
  <c r="AL257" i="56"/>
  <c r="AL263" i="56"/>
  <c r="AL15" i="56"/>
  <c r="AL248" i="56"/>
  <c r="AL157" i="56"/>
  <c r="AL17" i="56"/>
  <c r="AL19" i="56"/>
  <c r="AL20" i="56"/>
  <c r="AL222" i="56"/>
  <c r="AL44" i="56"/>
  <c r="AL211" i="56"/>
  <c r="AL46" i="56"/>
  <c r="AL47" i="56"/>
  <c r="AL173" i="56"/>
  <c r="AL21" i="56"/>
  <c r="AL50" i="56"/>
  <c r="AL22" i="56"/>
  <c r="AL52" i="56"/>
  <c r="AL23" i="56"/>
  <c r="AL24" i="56"/>
  <c r="AL280" i="56"/>
  <c r="AL252" i="56"/>
  <c r="AL25" i="56"/>
  <c r="AL26" i="56"/>
  <c r="AL301" i="56"/>
  <c r="AL27" i="56"/>
  <c r="AL163" i="56"/>
  <c r="AL62" i="56"/>
  <c r="AL63" i="56"/>
  <c r="AL269" i="56"/>
  <c r="AL65" i="56"/>
  <c r="AL217" i="56"/>
  <c r="AL67" i="56"/>
  <c r="AL220" i="56"/>
  <c r="AL230" i="56"/>
  <c r="AL30" i="56"/>
  <c r="AL224" i="56"/>
  <c r="AL235" i="56"/>
  <c r="AL31" i="56"/>
  <c r="AL74" i="56"/>
  <c r="AL32" i="56"/>
  <c r="AL34" i="56"/>
  <c r="AL77" i="56"/>
  <c r="AL181" i="56"/>
  <c r="AL185" i="56"/>
  <c r="AL267" i="56"/>
  <c r="AL81" i="56"/>
  <c r="AL83" i="56"/>
  <c r="AL35" i="56"/>
  <c r="AL36" i="56"/>
  <c r="AL234" i="56"/>
  <c r="AL37" i="56"/>
  <c r="AL38" i="56"/>
  <c r="AL168" i="56"/>
  <c r="AL39" i="56"/>
  <c r="AL91" i="56"/>
  <c r="AL214" i="56"/>
  <c r="AL93" i="56"/>
  <c r="AL94" i="56"/>
  <c r="AL40" i="56"/>
  <c r="AL174" i="56"/>
  <c r="AL41" i="56"/>
  <c r="AL295" i="56"/>
  <c r="AL100" i="56"/>
  <c r="AL42" i="56"/>
  <c r="AL176" i="56"/>
  <c r="AL103" i="56"/>
  <c r="AL104" i="56"/>
  <c r="AL247" i="56"/>
  <c r="AL106" i="56"/>
  <c r="AL43" i="56"/>
  <c r="AL108" i="56"/>
  <c r="AL109" i="56"/>
  <c r="AL308" i="56"/>
  <c r="AM308" i="56" s="1"/>
  <c r="AL312" i="56"/>
  <c r="AM312" i="56" s="1"/>
  <c r="AL313" i="56"/>
  <c r="AM313" i="56" s="1"/>
  <c r="AL113" i="56"/>
  <c r="AL114" i="56"/>
  <c r="AL45" i="56"/>
  <c r="AL116" i="56"/>
  <c r="AL192" i="56"/>
  <c r="AL216" i="56"/>
  <c r="AL119" i="56"/>
  <c r="AL48" i="56"/>
  <c r="AL49" i="56"/>
  <c r="AL122" i="56"/>
  <c r="AL51" i="56"/>
  <c r="AL53" i="56"/>
  <c r="AL205" i="56"/>
  <c r="AL54" i="56"/>
  <c r="AL232" i="56"/>
  <c r="AL55" i="56"/>
  <c r="AL56" i="56"/>
  <c r="AL296" i="56"/>
  <c r="AL57" i="56"/>
  <c r="AL132" i="56"/>
  <c r="AL58" i="56"/>
  <c r="AL134" i="56"/>
  <c r="AL203" i="56"/>
  <c r="AL59" i="56"/>
  <c r="AL60" i="56"/>
  <c r="AL314" i="56"/>
  <c r="AM314" i="56" s="1"/>
  <c r="AL139" i="56"/>
  <c r="AL209" i="56"/>
  <c r="AL141" i="56"/>
  <c r="AL61" i="56"/>
  <c r="AL171" i="56"/>
  <c r="AL64" i="56"/>
  <c r="AL155" i="56"/>
  <c r="AL66" i="56"/>
  <c r="AL68" i="56"/>
  <c r="AL183" i="56"/>
  <c r="AL69" i="56"/>
  <c r="AL299" i="56"/>
  <c r="AL151" i="56"/>
  <c r="AL70" i="56"/>
  <c r="AL153" i="56"/>
  <c r="AL190" i="56"/>
  <c r="AL71" i="56"/>
  <c r="AL156" i="56"/>
  <c r="AL169" i="56"/>
  <c r="AL158" i="56"/>
  <c r="AL219" i="56"/>
  <c r="AL277" i="56"/>
  <c r="AL161" i="56"/>
  <c r="AL285" i="56"/>
  <c r="AL284" i="56"/>
  <c r="AL164" i="56"/>
  <c r="AL72" i="56"/>
  <c r="AL166" i="56"/>
  <c r="AL167" i="56"/>
  <c r="AL73" i="56"/>
  <c r="AL75" i="56"/>
  <c r="AL170" i="56"/>
  <c r="AL275" i="56"/>
  <c r="AL172" i="56"/>
  <c r="AL271" i="56"/>
  <c r="AL76" i="56"/>
  <c r="AL175" i="56"/>
  <c r="AL286" i="56"/>
  <c r="AL78" i="56"/>
  <c r="AL178" i="56"/>
  <c r="AL191" i="56"/>
  <c r="AL180" i="56"/>
  <c r="AL79" i="56"/>
  <c r="AL80" i="56"/>
  <c r="AL82" i="56"/>
  <c r="AL184" i="56"/>
  <c r="AL84" i="56"/>
  <c r="AL186" i="56"/>
  <c r="AL187" i="56"/>
  <c r="AL193" i="56"/>
  <c r="AL85" i="56"/>
  <c r="AL199" i="56"/>
  <c r="AL86" i="56"/>
  <c r="AL87" i="56"/>
  <c r="AL88" i="56"/>
  <c r="AL89" i="56"/>
  <c r="AL195" i="56"/>
  <c r="AL196" i="56"/>
  <c r="AL197" i="56"/>
  <c r="AL165" i="56"/>
  <c r="AL188" i="56"/>
  <c r="AL200" i="56"/>
  <c r="AL90" i="56"/>
  <c r="AL202" i="56"/>
  <c r="AL92" i="56"/>
  <c r="AL95" i="56"/>
  <c r="AL201" i="56"/>
  <c r="AL244" i="56"/>
  <c r="AL150" i="56"/>
  <c r="AL96" i="56"/>
  <c r="AL97" i="56"/>
  <c r="AL98" i="56"/>
  <c r="AL99" i="56"/>
  <c r="AL212" i="56"/>
  <c r="AL101" i="56"/>
  <c r="AL102" i="56"/>
  <c r="AL215" i="56"/>
  <c r="AL204" i="56"/>
  <c r="AL105" i="56"/>
  <c r="AL107" i="56"/>
  <c r="AL110" i="56"/>
  <c r="AL111" i="56"/>
  <c r="AL292" i="56"/>
  <c r="AL112" i="56"/>
  <c r="AL221" i="56"/>
  <c r="AL208" i="56"/>
  <c r="AL115" i="56"/>
  <c r="AL226" i="56"/>
  <c r="AL206" i="56"/>
  <c r="AL228" i="56"/>
  <c r="AL229" i="56"/>
  <c r="AL117" i="56"/>
  <c r="AL231" i="56"/>
  <c r="AL159" i="56"/>
  <c r="AL118" i="56"/>
  <c r="AL300" i="56"/>
  <c r="AL179" i="56"/>
  <c r="AL236" i="56"/>
  <c r="AL237" i="56"/>
  <c r="AL238" i="56"/>
  <c r="AL239" i="56"/>
  <c r="AL233" i="56"/>
  <c r="AL298" i="56"/>
  <c r="AL242" i="56"/>
  <c r="AL243" i="56"/>
  <c r="AL120" i="56"/>
  <c r="AL291" i="56"/>
  <c r="AL121" i="56"/>
  <c r="AL177" i="56"/>
  <c r="AL249" i="56"/>
  <c r="AL250" i="56"/>
  <c r="AL251" i="56"/>
  <c r="AL245" i="56"/>
  <c r="AL253" i="56"/>
  <c r="AL254" i="56"/>
  <c r="AL255" i="56"/>
  <c r="AL256" i="56"/>
  <c r="AL123" i="56"/>
  <c r="AL260" i="56"/>
  <c r="AL261" i="56"/>
  <c r="AL262" i="56"/>
  <c r="AL149" i="56"/>
  <c r="AL264" i="56"/>
  <c r="AL265" i="56"/>
  <c r="AL266" i="56"/>
  <c r="AL124" i="56"/>
  <c r="AL268" i="56"/>
  <c r="AL125" i="56"/>
  <c r="AL270" i="56"/>
  <c r="AL213" i="56"/>
  <c r="AL126" i="56"/>
  <c r="AL273" i="56"/>
  <c r="AL274" i="56"/>
  <c r="AL127" i="56"/>
  <c r="AL128" i="56"/>
  <c r="AL182" i="56"/>
  <c r="AL129" i="56"/>
  <c r="AL279" i="56"/>
  <c r="AL130" i="56"/>
  <c r="AL281" i="56"/>
  <c r="AL282" i="56"/>
  <c r="AL293" i="56"/>
  <c r="AL278" i="56"/>
  <c r="AL131" i="56"/>
  <c r="AL148" i="56"/>
  <c r="AL133" i="56"/>
  <c r="AL223" i="56"/>
  <c r="AL289" i="56"/>
  <c r="AL290" i="56"/>
  <c r="AL135" i="56"/>
  <c r="AL136" i="56"/>
  <c r="AL137" i="56"/>
  <c r="AL294" i="56"/>
  <c r="AL198" i="56"/>
  <c r="AL207" i="56"/>
  <c r="AL297" i="56"/>
  <c r="AL138" i="56"/>
  <c r="AL140" i="56"/>
  <c r="AL142" i="56"/>
  <c r="AL143" i="56"/>
  <c r="AL144" i="56"/>
  <c r="AL162" i="56"/>
  <c r="AL241" i="56"/>
  <c r="AL305" i="56"/>
  <c r="AL227" i="56"/>
  <c r="AL145" i="56"/>
  <c r="AL276" i="56"/>
  <c r="AL309" i="56"/>
  <c r="AL310" i="56"/>
  <c r="AL311" i="56"/>
  <c r="AL218" i="56"/>
  <c r="AL283" i="56"/>
  <c r="AL272" i="56"/>
  <c r="AL315" i="56"/>
  <c r="AL6" i="56"/>
  <c r="AL7" i="56"/>
  <c r="AL8" i="56"/>
  <c r="AL9" i="56"/>
  <c r="AL160" i="56"/>
  <c r="AL287" i="56"/>
  <c r="AL154" i="56"/>
  <c r="AL240" i="56"/>
  <c r="AL210" i="56"/>
  <c r="AL288" i="56"/>
  <c r="AL225" i="56"/>
  <c r="AL18" i="56"/>
  <c r="AL10" i="56"/>
  <c r="AL5" i="56"/>
  <c r="G7" i="55"/>
  <c r="H7" i="55" s="1"/>
  <c r="G8" i="55"/>
  <c r="H8" i="55" s="1"/>
  <c r="G9" i="55"/>
  <c r="H9" i="55" s="1"/>
  <c r="G10" i="55"/>
  <c r="H10" i="55" s="1"/>
  <c r="G11" i="55"/>
  <c r="H11" i="55" s="1"/>
  <c r="G12" i="55"/>
  <c r="H12" i="55" s="1"/>
  <c r="G13" i="55"/>
  <c r="H13" i="55" s="1"/>
  <c r="G14" i="55"/>
  <c r="H14" i="55" s="1"/>
  <c r="G15" i="55"/>
  <c r="H15" i="55" s="1"/>
  <c r="G16" i="55"/>
  <c r="H16" i="55" s="1"/>
  <c r="G17" i="55"/>
  <c r="H17" i="55" s="1"/>
  <c r="G18" i="55"/>
  <c r="H18" i="55" s="1"/>
  <c r="G19" i="55"/>
  <c r="H19" i="55" s="1"/>
  <c r="G20" i="55"/>
  <c r="H20" i="55" s="1"/>
  <c r="G21" i="55"/>
  <c r="H21" i="55" s="1"/>
  <c r="G22" i="55"/>
  <c r="H22" i="55" s="1"/>
  <c r="G23" i="55"/>
  <c r="H23" i="55" s="1"/>
  <c r="G24" i="55"/>
  <c r="H24" i="55" s="1"/>
  <c r="G25" i="55"/>
  <c r="H25" i="55" s="1"/>
  <c r="G26" i="55"/>
  <c r="H26" i="55" s="1"/>
  <c r="G27" i="55"/>
  <c r="H27" i="55" s="1"/>
  <c r="G28" i="55"/>
  <c r="H28" i="55" s="1"/>
  <c r="G29" i="55"/>
  <c r="H29" i="55" s="1"/>
  <c r="G30" i="55"/>
  <c r="H30" i="55" s="1"/>
  <c r="G31" i="55"/>
  <c r="H31" i="55" s="1"/>
  <c r="G32" i="55"/>
  <c r="AJ307" i="56" s="1"/>
  <c r="G33" i="55"/>
  <c r="H33" i="55" s="1"/>
  <c r="G34" i="55"/>
  <c r="H34" i="55" s="1"/>
  <c r="G35" i="55"/>
  <c r="H35" i="55" s="1"/>
  <c r="G36" i="55"/>
  <c r="H36" i="55" s="1"/>
  <c r="G37" i="55"/>
  <c r="H37" i="55" s="1"/>
  <c r="G38" i="55"/>
  <c r="H38" i="55" s="1"/>
  <c r="G39" i="55"/>
  <c r="H39" i="55" s="1"/>
  <c r="G40" i="55"/>
  <c r="H40" i="55" s="1"/>
  <c r="G41" i="55"/>
  <c r="H41" i="55" s="1"/>
  <c r="G42" i="55"/>
  <c r="H42" i="55" s="1"/>
  <c r="G43" i="55"/>
  <c r="H43" i="55" s="1"/>
  <c r="G44" i="55"/>
  <c r="H44" i="55" s="1"/>
  <c r="G45" i="55"/>
  <c r="H45" i="55" s="1"/>
  <c r="G46" i="55"/>
  <c r="H46" i="55" s="1"/>
  <c r="G47" i="55"/>
  <c r="H47" i="55" s="1"/>
  <c r="G48" i="55"/>
  <c r="H48" i="55" s="1"/>
  <c r="G49" i="55"/>
  <c r="H49" i="55" s="1"/>
  <c r="G50" i="55"/>
  <c r="H50" i="55" s="1"/>
  <c r="G51" i="55"/>
  <c r="H51" i="55" s="1"/>
  <c r="G52" i="55"/>
  <c r="H52" i="55" s="1"/>
  <c r="G53" i="55"/>
  <c r="H53" i="55" s="1"/>
  <c r="G54" i="55"/>
  <c r="H54" i="55" s="1"/>
  <c r="G55" i="55"/>
  <c r="H55" i="55" s="1"/>
  <c r="G56" i="55"/>
  <c r="H56" i="55" s="1"/>
  <c r="G57" i="55"/>
  <c r="H57" i="55" s="1"/>
  <c r="G58" i="55"/>
  <c r="H58" i="55" s="1"/>
  <c r="G59" i="55"/>
  <c r="H59" i="55" s="1"/>
  <c r="G60" i="55"/>
  <c r="H60" i="55" s="1"/>
  <c r="G61" i="55"/>
  <c r="H61" i="55" s="1"/>
  <c r="G62" i="55"/>
  <c r="H62" i="55" s="1"/>
  <c r="G63" i="55"/>
  <c r="H63" i="55" s="1"/>
  <c r="G64" i="55"/>
  <c r="H64" i="55" s="1"/>
  <c r="G65" i="55"/>
  <c r="H65" i="55" s="1"/>
  <c r="G66" i="55"/>
  <c r="H66" i="55" s="1"/>
  <c r="G67" i="55"/>
  <c r="H67" i="55" s="1"/>
  <c r="G68" i="55"/>
  <c r="H68" i="55" s="1"/>
  <c r="G69" i="55"/>
  <c r="H69" i="55" s="1"/>
  <c r="G70" i="55"/>
  <c r="H70" i="55" s="1"/>
  <c r="G71" i="55"/>
  <c r="H71" i="55" s="1"/>
  <c r="G72" i="55"/>
  <c r="H72" i="55" s="1"/>
  <c r="G73" i="55"/>
  <c r="H73" i="55" s="1"/>
  <c r="G74" i="55"/>
  <c r="H74" i="55" s="1"/>
  <c r="G75" i="55"/>
  <c r="H75" i="55" s="1"/>
  <c r="G76" i="55"/>
  <c r="H76" i="55" s="1"/>
  <c r="G77" i="55"/>
  <c r="H77" i="55" s="1"/>
  <c r="G78" i="55"/>
  <c r="H78" i="55" s="1"/>
  <c r="G79" i="55"/>
  <c r="H79" i="55" s="1"/>
  <c r="G80" i="55"/>
  <c r="H80" i="55" s="1"/>
  <c r="G81" i="55"/>
  <c r="H81" i="55" s="1"/>
  <c r="G82" i="55"/>
  <c r="H82" i="55" s="1"/>
  <c r="G83" i="55"/>
  <c r="H83" i="55" s="1"/>
  <c r="G84" i="55"/>
  <c r="H84" i="55" s="1"/>
  <c r="G85" i="55"/>
  <c r="H85" i="55" s="1"/>
  <c r="G86" i="55"/>
  <c r="H86" i="55" s="1"/>
  <c r="G87" i="55"/>
  <c r="H87" i="55" s="1"/>
  <c r="G88" i="55"/>
  <c r="H88" i="55" s="1"/>
  <c r="G89" i="55"/>
  <c r="H89" i="55" s="1"/>
  <c r="G90" i="55"/>
  <c r="H90" i="55" s="1"/>
  <c r="G91" i="55"/>
  <c r="H91" i="55" s="1"/>
  <c r="G92" i="55"/>
  <c r="H92" i="55" s="1"/>
  <c r="G93" i="55"/>
  <c r="H93" i="55" s="1"/>
  <c r="G94" i="55"/>
  <c r="H94" i="55" s="1"/>
  <c r="G95" i="55"/>
  <c r="H95" i="55" s="1"/>
  <c r="G96" i="55"/>
  <c r="H96" i="55" s="1"/>
  <c r="G97" i="55"/>
  <c r="H97" i="55" s="1"/>
  <c r="G98" i="55"/>
  <c r="H98" i="55" s="1"/>
  <c r="G99" i="55"/>
  <c r="H99" i="55" s="1"/>
  <c r="G100" i="55"/>
  <c r="H100" i="55" s="1"/>
  <c r="G101" i="55"/>
  <c r="H101" i="55" s="1"/>
  <c r="G102" i="55"/>
  <c r="H102" i="55" s="1"/>
  <c r="G103" i="55"/>
  <c r="H103" i="55" s="1"/>
  <c r="G104" i="55"/>
  <c r="H104" i="55" s="1"/>
  <c r="G105" i="55"/>
  <c r="H105" i="55" s="1"/>
  <c r="G106" i="55"/>
  <c r="H106" i="55" s="1"/>
  <c r="G107" i="55"/>
  <c r="H107" i="55" s="1"/>
  <c r="G108" i="55"/>
  <c r="H108" i="55" s="1"/>
  <c r="G109" i="55"/>
  <c r="H109" i="55" s="1"/>
  <c r="G110" i="55"/>
  <c r="H110" i="55" s="1"/>
  <c r="G111" i="55"/>
  <c r="H111" i="55" s="1"/>
  <c r="G112" i="55"/>
  <c r="H112" i="55" s="1"/>
  <c r="G113" i="55"/>
  <c r="H113" i="55" s="1"/>
  <c r="G114" i="55"/>
  <c r="H114" i="55" s="1"/>
  <c r="G115" i="55"/>
  <c r="H115" i="55" s="1"/>
  <c r="G116" i="55"/>
  <c r="H116" i="55" s="1"/>
  <c r="G117" i="55"/>
  <c r="H117" i="55" s="1"/>
  <c r="G118" i="55"/>
  <c r="H118" i="55" s="1"/>
  <c r="G119" i="55"/>
  <c r="H119" i="55" s="1"/>
  <c r="G120" i="55"/>
  <c r="H120" i="55" s="1"/>
  <c r="G121" i="55"/>
  <c r="H121" i="55" s="1"/>
  <c r="G122" i="55"/>
  <c r="H122" i="55" s="1"/>
  <c r="G123" i="55"/>
  <c r="H123" i="55" s="1"/>
  <c r="G124" i="55"/>
  <c r="H124" i="55" s="1"/>
  <c r="G125" i="55"/>
  <c r="H125" i="55" s="1"/>
  <c r="G126" i="55"/>
  <c r="H126" i="55" s="1"/>
  <c r="G127" i="55"/>
  <c r="H127" i="55" s="1"/>
  <c r="G128" i="55"/>
  <c r="H128" i="55" s="1"/>
  <c r="G129" i="55"/>
  <c r="H129" i="55" s="1"/>
  <c r="G130" i="55"/>
  <c r="H130" i="55" s="1"/>
  <c r="G131" i="55"/>
  <c r="H131" i="55" s="1"/>
  <c r="G132" i="55"/>
  <c r="H132" i="55" s="1"/>
  <c r="G133" i="55"/>
  <c r="H133" i="55" s="1"/>
  <c r="G134" i="55"/>
  <c r="H134" i="55" s="1"/>
  <c r="G135" i="55"/>
  <c r="AJ314" i="56" s="1"/>
  <c r="G136" i="55"/>
  <c r="H136" i="55" s="1"/>
  <c r="G137" i="55"/>
  <c r="H137" i="55" s="1"/>
  <c r="G138" i="55"/>
  <c r="H138" i="55" s="1"/>
  <c r="G139" i="55"/>
  <c r="H139" i="55" s="1"/>
  <c r="G140" i="55"/>
  <c r="H140" i="55" s="1"/>
  <c r="G141" i="55"/>
  <c r="H141" i="55" s="1"/>
  <c r="G142" i="55"/>
  <c r="H142" i="55" s="1"/>
  <c r="G143" i="55"/>
  <c r="H143" i="55" s="1"/>
  <c r="G144" i="55"/>
  <c r="H144" i="55" s="1"/>
  <c r="G145" i="55"/>
  <c r="H145" i="55" s="1"/>
  <c r="G146" i="55"/>
  <c r="H146" i="55" s="1"/>
  <c r="G147" i="55"/>
  <c r="H147" i="55" s="1"/>
  <c r="G148" i="55"/>
  <c r="H148" i="55" s="1"/>
  <c r="G149" i="55"/>
  <c r="H149" i="55" s="1"/>
  <c r="G150" i="55"/>
  <c r="H150" i="55" s="1"/>
  <c r="G151" i="55"/>
  <c r="H151" i="55" s="1"/>
  <c r="G152" i="55"/>
  <c r="H152" i="55" s="1"/>
  <c r="G153" i="55"/>
  <c r="H153" i="55" s="1"/>
  <c r="G154" i="55"/>
  <c r="H154" i="55" s="1"/>
  <c r="G155" i="55"/>
  <c r="H155" i="55" s="1"/>
  <c r="G156" i="55"/>
  <c r="H156" i="55" s="1"/>
  <c r="G157" i="55"/>
  <c r="H157" i="55" s="1"/>
  <c r="G158" i="55"/>
  <c r="H158" i="55" s="1"/>
  <c r="G159" i="55"/>
  <c r="H159" i="55" s="1"/>
  <c r="G160" i="55"/>
  <c r="H160" i="55" s="1"/>
  <c r="G161" i="55"/>
  <c r="H161" i="55" s="1"/>
  <c r="G162" i="55"/>
  <c r="H162" i="55" s="1"/>
  <c r="G163" i="55"/>
  <c r="H163" i="55" s="1"/>
  <c r="G164" i="55"/>
  <c r="H164" i="55" s="1"/>
  <c r="G165" i="55"/>
  <c r="H165" i="55" s="1"/>
  <c r="G166" i="55"/>
  <c r="H166" i="55" s="1"/>
  <c r="G167" i="55"/>
  <c r="H167" i="55" s="1"/>
  <c r="G168" i="55"/>
  <c r="H168" i="55" s="1"/>
  <c r="G169" i="55"/>
  <c r="H169" i="55" s="1"/>
  <c r="G170" i="55"/>
  <c r="H170" i="55" s="1"/>
  <c r="G171" i="55"/>
  <c r="H171" i="55" s="1"/>
  <c r="G172" i="55"/>
  <c r="H172" i="55" s="1"/>
  <c r="G173" i="55"/>
  <c r="H173" i="55" s="1"/>
  <c r="G174" i="55"/>
  <c r="H174" i="55" s="1"/>
  <c r="G175" i="55"/>
  <c r="H175" i="55" s="1"/>
  <c r="G176" i="55"/>
  <c r="H176" i="55" s="1"/>
  <c r="G177" i="55"/>
  <c r="H177" i="55" s="1"/>
  <c r="G178" i="55"/>
  <c r="H178" i="55" s="1"/>
  <c r="G179" i="55"/>
  <c r="H179" i="55" s="1"/>
  <c r="G180" i="55"/>
  <c r="H180" i="55" s="1"/>
  <c r="G181" i="55"/>
  <c r="H181" i="55" s="1"/>
  <c r="G182" i="55"/>
  <c r="H182" i="55" s="1"/>
  <c r="G183" i="55"/>
  <c r="H183" i="55" s="1"/>
  <c r="G184" i="55"/>
  <c r="H184" i="55" s="1"/>
  <c r="G185" i="55"/>
  <c r="H185" i="55" s="1"/>
  <c r="G186" i="55"/>
  <c r="H186" i="55" s="1"/>
  <c r="G187" i="55"/>
  <c r="H187" i="55" s="1"/>
  <c r="G188" i="55"/>
  <c r="H188" i="55" s="1"/>
  <c r="G189" i="55"/>
  <c r="H189" i="55" s="1"/>
  <c r="G190" i="55"/>
  <c r="H190" i="55" s="1"/>
  <c r="G191" i="55"/>
  <c r="H191" i="55" s="1"/>
  <c r="G192" i="55"/>
  <c r="H192" i="55" s="1"/>
  <c r="G193" i="55"/>
  <c r="H193" i="55" s="1"/>
  <c r="G194" i="55"/>
  <c r="H194" i="55" s="1"/>
  <c r="G195" i="55"/>
  <c r="H195" i="55" s="1"/>
  <c r="G196" i="55"/>
  <c r="H196" i="55" s="1"/>
  <c r="G197" i="55"/>
  <c r="H197" i="55" s="1"/>
  <c r="G198" i="55"/>
  <c r="H198" i="55" s="1"/>
  <c r="G199" i="55"/>
  <c r="H199" i="55" s="1"/>
  <c r="G200" i="55"/>
  <c r="H200" i="55" s="1"/>
  <c r="G201" i="55"/>
  <c r="H201" i="55" s="1"/>
  <c r="G202" i="55"/>
  <c r="H202" i="55" s="1"/>
  <c r="G203" i="55"/>
  <c r="H203" i="55" s="1"/>
  <c r="G204" i="55"/>
  <c r="H204" i="55" s="1"/>
  <c r="G205" i="55"/>
  <c r="H205" i="55" s="1"/>
  <c r="G206" i="55"/>
  <c r="H206" i="55" s="1"/>
  <c r="G207" i="55"/>
  <c r="H207" i="55" s="1"/>
  <c r="G208" i="55"/>
  <c r="H208" i="55" s="1"/>
  <c r="G209" i="55"/>
  <c r="H209" i="55" s="1"/>
  <c r="G210" i="55"/>
  <c r="H210" i="55" s="1"/>
  <c r="G211" i="55"/>
  <c r="H211" i="55" s="1"/>
  <c r="G212" i="55"/>
  <c r="H212" i="55" s="1"/>
  <c r="G213" i="55"/>
  <c r="H213" i="55" s="1"/>
  <c r="G214" i="55"/>
  <c r="H214" i="55" s="1"/>
  <c r="G215" i="55"/>
  <c r="H215" i="55" s="1"/>
  <c r="G216" i="55"/>
  <c r="H216" i="55" s="1"/>
  <c r="G217" i="55"/>
  <c r="H217" i="55" s="1"/>
  <c r="G218" i="55"/>
  <c r="H218" i="55" s="1"/>
  <c r="G219" i="55"/>
  <c r="H219" i="55" s="1"/>
  <c r="G220" i="55"/>
  <c r="H220" i="55" s="1"/>
  <c r="G221" i="55"/>
  <c r="H221" i="55" s="1"/>
  <c r="G222" i="55"/>
  <c r="H222" i="55" s="1"/>
  <c r="G223" i="55"/>
  <c r="H223" i="55" s="1"/>
  <c r="G224" i="55"/>
  <c r="H224" i="55" s="1"/>
  <c r="G225" i="55"/>
  <c r="H225" i="55" s="1"/>
  <c r="G226" i="55"/>
  <c r="H226" i="55" s="1"/>
  <c r="G227" i="55"/>
  <c r="H227" i="55" s="1"/>
  <c r="G228" i="55"/>
  <c r="H228" i="55" s="1"/>
  <c r="G229" i="55"/>
  <c r="H229" i="55" s="1"/>
  <c r="G230" i="55"/>
  <c r="H230" i="55" s="1"/>
  <c r="G231" i="55"/>
  <c r="H231" i="55" s="1"/>
  <c r="G232" i="55"/>
  <c r="H232" i="55" s="1"/>
  <c r="G233" i="55"/>
  <c r="H233" i="55" s="1"/>
  <c r="G234" i="55"/>
  <c r="H234" i="55" s="1"/>
  <c r="G235" i="55"/>
  <c r="H235" i="55" s="1"/>
  <c r="G236" i="55"/>
  <c r="H236" i="55" s="1"/>
  <c r="G237" i="55"/>
  <c r="H237" i="55" s="1"/>
  <c r="G238" i="55"/>
  <c r="H238" i="55" s="1"/>
  <c r="G239" i="55"/>
  <c r="H239" i="55" s="1"/>
  <c r="G240" i="55"/>
  <c r="H240" i="55" s="1"/>
  <c r="G241" i="55"/>
  <c r="H241" i="55" s="1"/>
  <c r="G242" i="55"/>
  <c r="H242" i="55" s="1"/>
  <c r="G243" i="55"/>
  <c r="H243" i="55" s="1"/>
  <c r="G244" i="55"/>
  <c r="H244" i="55" s="1"/>
  <c r="G245" i="55"/>
  <c r="H245" i="55" s="1"/>
  <c r="G246" i="55"/>
  <c r="H246" i="55" s="1"/>
  <c r="G247" i="55"/>
  <c r="H247" i="55" s="1"/>
  <c r="G248" i="55"/>
  <c r="H248" i="55" s="1"/>
  <c r="G249" i="55"/>
  <c r="H249" i="55" s="1"/>
  <c r="G250" i="55"/>
  <c r="H250" i="55" s="1"/>
  <c r="G251" i="55"/>
  <c r="H251" i="55" s="1"/>
  <c r="G252" i="55"/>
  <c r="H252" i="55" s="1"/>
  <c r="G253" i="55"/>
  <c r="H253" i="55" s="1"/>
  <c r="G254" i="55"/>
  <c r="H254" i="55" s="1"/>
  <c r="G255" i="55"/>
  <c r="H255" i="55" s="1"/>
  <c r="G256" i="55"/>
  <c r="H256" i="55" s="1"/>
  <c r="G257" i="55"/>
  <c r="H257" i="55" s="1"/>
  <c r="G258" i="55"/>
  <c r="H258" i="55" s="1"/>
  <c r="G259" i="55"/>
  <c r="H259" i="55" s="1"/>
  <c r="G260" i="55"/>
  <c r="H260" i="55" s="1"/>
  <c r="G261" i="55"/>
  <c r="H261" i="55" s="1"/>
  <c r="G262" i="55"/>
  <c r="H262" i="55" s="1"/>
  <c r="G263" i="55"/>
  <c r="H263" i="55" s="1"/>
  <c r="G264" i="55"/>
  <c r="H264" i="55" s="1"/>
  <c r="G265" i="55"/>
  <c r="H265" i="55" s="1"/>
  <c r="G266" i="55"/>
  <c r="H266" i="55" s="1"/>
  <c r="G267" i="55"/>
  <c r="H267" i="55" s="1"/>
  <c r="G268" i="55"/>
  <c r="H268" i="55" s="1"/>
  <c r="G269" i="55"/>
  <c r="H269" i="55" s="1"/>
  <c r="G270" i="55"/>
  <c r="H270" i="55" s="1"/>
  <c r="G271" i="55"/>
  <c r="H271" i="55" s="1"/>
  <c r="G272" i="55"/>
  <c r="H272" i="55" s="1"/>
  <c r="G273" i="55"/>
  <c r="H273" i="55" s="1"/>
  <c r="G274" i="55"/>
  <c r="H274" i="55" s="1"/>
  <c r="G275" i="55"/>
  <c r="H275" i="55" s="1"/>
  <c r="G276" i="55"/>
  <c r="H276" i="55" s="1"/>
  <c r="G277" i="55"/>
  <c r="H277" i="55" s="1"/>
  <c r="G278" i="55"/>
  <c r="H278" i="55" s="1"/>
  <c r="G279" i="55"/>
  <c r="H279" i="55" s="1"/>
  <c r="G280" i="55"/>
  <c r="H280" i="55" s="1"/>
  <c r="G281" i="55"/>
  <c r="H281" i="55" s="1"/>
  <c r="G282" i="55"/>
  <c r="H282" i="55" s="1"/>
  <c r="G283" i="55"/>
  <c r="H283" i="55" s="1"/>
  <c r="G284" i="55"/>
  <c r="H284" i="55" s="1"/>
  <c r="G285" i="55"/>
  <c r="H285" i="55" s="1"/>
  <c r="G286" i="55"/>
  <c r="H286" i="55" s="1"/>
  <c r="G287" i="55"/>
  <c r="H287" i="55" s="1"/>
  <c r="G288" i="55"/>
  <c r="H288" i="55" s="1"/>
  <c r="G289" i="55"/>
  <c r="H289" i="55" s="1"/>
  <c r="G290" i="55"/>
  <c r="H290" i="55" s="1"/>
  <c r="G291" i="55"/>
  <c r="H291" i="55" s="1"/>
  <c r="G292" i="55"/>
  <c r="H292" i="55" s="1"/>
  <c r="G293" i="55"/>
  <c r="H293" i="55" s="1"/>
  <c r="G294" i="55"/>
  <c r="H294" i="55" s="1"/>
  <c r="G295" i="55"/>
  <c r="H295" i="55" s="1"/>
  <c r="G296" i="55"/>
  <c r="H296" i="55" s="1"/>
  <c r="G297" i="55"/>
  <c r="H297" i="55" s="1"/>
  <c r="G298" i="55"/>
  <c r="H298" i="55" s="1"/>
  <c r="G299" i="55"/>
  <c r="H299" i="55" s="1"/>
  <c r="G300" i="55"/>
  <c r="H300" i="55" s="1"/>
  <c r="G301" i="55"/>
  <c r="H301" i="55" s="1"/>
  <c r="G302" i="55"/>
  <c r="H302" i="55" s="1"/>
  <c r="G303" i="55"/>
  <c r="H303" i="55" s="1"/>
  <c r="G304" i="55"/>
  <c r="H304" i="55" s="1"/>
  <c r="G305" i="55"/>
  <c r="H305" i="55" s="1"/>
  <c r="G306" i="55"/>
  <c r="H306" i="55" s="1"/>
  <c r="G307" i="55"/>
  <c r="H307" i="55" s="1"/>
  <c r="G308" i="55"/>
  <c r="H308" i="55" s="1"/>
  <c r="G309" i="55"/>
  <c r="H309" i="55" s="1"/>
  <c r="G310" i="55"/>
  <c r="H310" i="55" s="1"/>
  <c r="G311" i="55"/>
  <c r="H311" i="55" s="1"/>
  <c r="G312" i="55"/>
  <c r="H312" i="55" s="1"/>
  <c r="G313" i="55"/>
  <c r="H313" i="55" s="1"/>
  <c r="G314" i="55"/>
  <c r="H314" i="55" s="1"/>
  <c r="G315" i="55"/>
  <c r="H315" i="55" s="1"/>
  <c r="G316" i="55"/>
  <c r="H316" i="55" s="1"/>
  <c r="G317" i="55"/>
  <c r="H317" i="55" s="1"/>
  <c r="G6" i="55"/>
  <c r="H6" i="55" s="1"/>
  <c r="AD314" i="56"/>
  <c r="AG314" i="56"/>
  <c r="AD308" i="56"/>
  <c r="AG308" i="56"/>
  <c r="AD312" i="56"/>
  <c r="AG312" i="56"/>
  <c r="AD313" i="56"/>
  <c r="AG313" i="56"/>
  <c r="AG307" i="56"/>
  <c r="AD307" i="56"/>
  <c r="C5" i="55"/>
  <c r="H32" i="55" l="1"/>
  <c r="H135" i="55"/>
  <c r="AR314" i="56"/>
  <c r="AR307" i="56"/>
  <c r="AJ312" i="56"/>
  <c r="AR312" i="56" s="1"/>
  <c r="AJ308" i="56"/>
  <c r="AR308" i="56" s="1"/>
  <c r="AJ313" i="56"/>
  <c r="AR313" i="56" s="1"/>
  <c r="W3" i="45"/>
  <c r="V3" i="45"/>
  <c r="U3" i="45"/>
  <c r="T3" i="45"/>
  <c r="W319" i="45"/>
  <c r="V319" i="45"/>
  <c r="U319" i="45"/>
  <c r="T319" i="45"/>
  <c r="D5" i="55" l="1"/>
  <c r="G5" i="55" s="1"/>
  <c r="AA3" i="45" l="1"/>
  <c r="AA319" i="45"/>
  <c r="Z3" i="45"/>
  <c r="Z319" i="45"/>
  <c r="I317" i="55"/>
  <c r="I316" i="55"/>
  <c r="I315" i="55"/>
  <c r="I314" i="55"/>
  <c r="I313" i="55"/>
  <c r="I312" i="55"/>
  <c r="I311" i="55"/>
  <c r="I310" i="55"/>
  <c r="I309" i="55"/>
  <c r="I308" i="55"/>
  <c r="I307" i="55"/>
  <c r="I306" i="55"/>
  <c r="I305" i="55"/>
  <c r="I304" i="55"/>
  <c r="I303" i="55"/>
  <c r="I302" i="55"/>
  <c r="I301" i="55"/>
  <c r="I300" i="55"/>
  <c r="I299" i="55"/>
  <c r="I298" i="55"/>
  <c r="I297" i="55"/>
  <c r="I296" i="55"/>
  <c r="I295" i="55"/>
  <c r="I294" i="55"/>
  <c r="I293" i="55"/>
  <c r="I292" i="55"/>
  <c r="I291" i="55"/>
  <c r="I290" i="55"/>
  <c r="I289" i="55"/>
  <c r="I288" i="55"/>
  <c r="I287" i="55"/>
  <c r="I286" i="55"/>
  <c r="I285" i="55"/>
  <c r="I284" i="55"/>
  <c r="I283" i="55"/>
  <c r="I282" i="55"/>
  <c r="I281" i="55"/>
  <c r="I280" i="55"/>
  <c r="I279" i="55"/>
  <c r="I278" i="55"/>
  <c r="I277" i="55"/>
  <c r="I276" i="55"/>
  <c r="I275" i="55"/>
  <c r="I274" i="55"/>
  <c r="I273" i="55"/>
  <c r="I272" i="55"/>
  <c r="I271" i="55"/>
  <c r="I270" i="55"/>
  <c r="I269" i="55"/>
  <c r="I268" i="55"/>
  <c r="I267" i="55"/>
  <c r="I266" i="55"/>
  <c r="I265" i="55"/>
  <c r="I264" i="55"/>
  <c r="I263" i="55"/>
  <c r="I262" i="55"/>
  <c r="I261" i="55"/>
  <c r="I260" i="55"/>
  <c r="I259" i="55"/>
  <c r="I258" i="55"/>
  <c r="I257" i="55"/>
  <c r="I256" i="55"/>
  <c r="I255" i="55"/>
  <c r="I254" i="55"/>
  <c r="I253" i="55"/>
  <c r="I252" i="55"/>
  <c r="I251" i="55"/>
  <c r="I250" i="55"/>
  <c r="I249" i="55"/>
  <c r="I248" i="55"/>
  <c r="I247" i="55"/>
  <c r="I246" i="55"/>
  <c r="I245" i="55"/>
  <c r="I244" i="55"/>
  <c r="I243" i="55"/>
  <c r="I242" i="55"/>
  <c r="I241" i="55"/>
  <c r="I240" i="55"/>
  <c r="I239" i="55"/>
  <c r="I238" i="55"/>
  <c r="I237" i="55"/>
  <c r="I236" i="55"/>
  <c r="I235" i="55"/>
  <c r="I234" i="55"/>
  <c r="I233" i="55"/>
  <c r="I232" i="55"/>
  <c r="I231" i="55"/>
  <c r="I230" i="55"/>
  <c r="I229" i="55"/>
  <c r="I228" i="55"/>
  <c r="I227" i="55"/>
  <c r="I226" i="55"/>
  <c r="I225" i="55"/>
  <c r="I224" i="55"/>
  <c r="I223" i="55"/>
  <c r="I222" i="55"/>
  <c r="I221" i="55"/>
  <c r="I220" i="55"/>
  <c r="I219" i="55"/>
  <c r="I218" i="55"/>
  <c r="I217" i="55"/>
  <c r="I216" i="55"/>
  <c r="I215" i="55"/>
  <c r="I214" i="55"/>
  <c r="I213" i="55"/>
  <c r="I212" i="55"/>
  <c r="I211" i="55"/>
  <c r="I210" i="55"/>
  <c r="I209" i="55"/>
  <c r="I208" i="55"/>
  <c r="I207" i="55"/>
  <c r="I206" i="55"/>
  <c r="I205" i="55"/>
  <c r="I204" i="55"/>
  <c r="I203" i="55"/>
  <c r="I202" i="55"/>
  <c r="I201" i="55"/>
  <c r="I200" i="55"/>
  <c r="I199" i="55"/>
  <c r="I198" i="55"/>
  <c r="I197" i="55"/>
  <c r="I196" i="55"/>
  <c r="I195" i="55"/>
  <c r="I194" i="55"/>
  <c r="I193" i="55"/>
  <c r="I192" i="55"/>
  <c r="I191" i="55"/>
  <c r="I190" i="55"/>
  <c r="I189" i="55"/>
  <c r="I188" i="55"/>
  <c r="I187" i="55"/>
  <c r="I186" i="55"/>
  <c r="I185" i="55"/>
  <c r="I184" i="55"/>
  <c r="I183" i="55"/>
  <c r="I182" i="55"/>
  <c r="I181" i="55"/>
  <c r="I180" i="55"/>
  <c r="I179" i="55"/>
  <c r="I178" i="55"/>
  <c r="I177" i="55"/>
  <c r="I176" i="55"/>
  <c r="I175" i="55"/>
  <c r="I174" i="55"/>
  <c r="I173" i="55"/>
  <c r="I172" i="55"/>
  <c r="I171" i="55"/>
  <c r="I170" i="55"/>
  <c r="I169" i="55"/>
  <c r="I168" i="55"/>
  <c r="I167" i="55"/>
  <c r="I166" i="55"/>
  <c r="I165"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39" i="55"/>
  <c r="I38" i="55"/>
  <c r="I37" i="55"/>
  <c r="I36" i="55"/>
  <c r="I35" i="55"/>
  <c r="I34" i="55"/>
  <c r="I33" i="55"/>
  <c r="I32" i="55"/>
  <c r="I31" i="55"/>
  <c r="I30" i="55"/>
  <c r="I29" i="55"/>
  <c r="I28" i="55"/>
  <c r="I27" i="55"/>
  <c r="I26" i="55"/>
  <c r="I25" i="55"/>
  <c r="I24" i="55"/>
  <c r="I23" i="55"/>
  <c r="I22" i="55"/>
  <c r="I21" i="55"/>
  <c r="I20" i="55"/>
  <c r="I19" i="55"/>
  <c r="I18" i="55"/>
  <c r="I17" i="55"/>
  <c r="I16" i="55"/>
  <c r="I15" i="55"/>
  <c r="I14" i="55"/>
  <c r="I13" i="55"/>
  <c r="I12" i="55"/>
  <c r="I11" i="55"/>
  <c r="I10" i="55"/>
  <c r="I9" i="55"/>
  <c r="I8" i="55"/>
  <c r="I7" i="55"/>
  <c r="I6" i="55"/>
  <c r="S6" i="56"/>
  <c r="S7" i="56"/>
  <c r="S8" i="56"/>
  <c r="S9" i="56"/>
  <c r="AG9" i="56" s="1"/>
  <c r="AU9" i="56" s="1"/>
  <c r="S160" i="56"/>
  <c r="AG160" i="56" s="1"/>
  <c r="S287" i="56"/>
  <c r="AG287" i="56" s="1"/>
  <c r="S154" i="56"/>
  <c r="AG154" i="56" s="1"/>
  <c r="S240" i="56"/>
  <c r="AG240" i="56" s="1"/>
  <c r="S210" i="56"/>
  <c r="AG210" i="56" s="1"/>
  <c r="S288" i="56"/>
  <c r="AG288" i="56" s="1"/>
  <c r="S16" i="56"/>
  <c r="AG16" i="56" s="1"/>
  <c r="S225" i="56"/>
  <c r="AG225" i="56" s="1"/>
  <c r="S18" i="56"/>
  <c r="AG18" i="56" s="1"/>
  <c r="AU18" i="56" s="1"/>
  <c r="S10" i="56"/>
  <c r="AG10" i="56" s="1"/>
  <c r="S11" i="56"/>
  <c r="S147" i="56"/>
  <c r="AG147" i="56" s="1"/>
  <c r="S246" i="56"/>
  <c r="AG246" i="56" s="1"/>
  <c r="S189" i="56"/>
  <c r="S146" i="56"/>
  <c r="AG146" i="56" s="1"/>
  <c r="S12" i="56"/>
  <c r="AG12" i="56" s="1"/>
  <c r="S258" i="56"/>
  <c r="AG258" i="56" s="1"/>
  <c r="S13" i="56"/>
  <c r="AG13" i="56" s="1"/>
  <c r="S28" i="56"/>
  <c r="S29" i="56"/>
  <c r="AG29" i="56" s="1"/>
  <c r="AU29" i="56" s="1"/>
  <c r="S14" i="56"/>
  <c r="AG14" i="56" s="1"/>
  <c r="S194" i="56"/>
  <c r="S33" i="56"/>
  <c r="S152" i="56"/>
  <c r="AG152" i="56" s="1"/>
  <c r="S257" i="56"/>
  <c r="AG257" i="56" s="1"/>
  <c r="S263" i="56"/>
  <c r="AG263" i="56" s="1"/>
  <c r="S15" i="56"/>
  <c r="AG15" i="56" s="1"/>
  <c r="S248" i="56"/>
  <c r="AG248" i="56" s="1"/>
  <c r="S157" i="56"/>
  <c r="AG157" i="56" s="1"/>
  <c r="S17" i="56"/>
  <c r="AG17" i="56" s="1"/>
  <c r="S19" i="56"/>
  <c r="S20" i="56"/>
  <c r="AG20" i="56" s="1"/>
  <c r="S222" i="56"/>
  <c r="AG222" i="56" s="1"/>
  <c r="S44" i="56"/>
  <c r="AG44" i="56" s="1"/>
  <c r="AU44" i="56" s="1"/>
  <c r="S211" i="56"/>
  <c r="S46" i="56"/>
  <c r="AG46" i="56" s="1"/>
  <c r="AU46" i="56" s="1"/>
  <c r="S47" i="56"/>
  <c r="AG47" i="56" s="1"/>
  <c r="AU47" i="56" s="1"/>
  <c r="S173" i="56"/>
  <c r="S21" i="56"/>
  <c r="AG21" i="56" s="1"/>
  <c r="S50" i="56"/>
  <c r="AG50" i="56" s="1"/>
  <c r="AU50" i="56" s="1"/>
  <c r="S22" i="56"/>
  <c r="AG22" i="56" s="1"/>
  <c r="S52" i="56"/>
  <c r="AG52" i="56" s="1"/>
  <c r="AU52" i="56" s="1"/>
  <c r="S23" i="56"/>
  <c r="S24" i="56"/>
  <c r="AG24" i="56" s="1"/>
  <c r="S280" i="56"/>
  <c r="AG280" i="56" s="1"/>
  <c r="S252" i="56"/>
  <c r="S25" i="56"/>
  <c r="S26" i="56"/>
  <c r="AG26" i="56" s="1"/>
  <c r="S301" i="56"/>
  <c r="AG301" i="56" s="1"/>
  <c r="S27" i="56"/>
  <c r="AG27" i="56" s="1"/>
  <c r="S163" i="56"/>
  <c r="AG163" i="56" s="1"/>
  <c r="S62" i="56"/>
  <c r="AG62" i="56" s="1"/>
  <c r="AU62" i="56" s="1"/>
  <c r="S63" i="56"/>
  <c r="AG63" i="56" s="1"/>
  <c r="AU63" i="56" s="1"/>
  <c r="S269" i="56"/>
  <c r="AG269" i="56" s="1"/>
  <c r="S65" i="56"/>
  <c r="S217" i="56"/>
  <c r="AG217" i="56" s="1"/>
  <c r="S67" i="56"/>
  <c r="AG67" i="56" s="1"/>
  <c r="AU67" i="56" s="1"/>
  <c r="S220" i="56"/>
  <c r="AG220" i="56" s="1"/>
  <c r="S230" i="56"/>
  <c r="S30" i="56"/>
  <c r="AG30" i="56" s="1"/>
  <c r="S224" i="56"/>
  <c r="AG224" i="56" s="1"/>
  <c r="S235" i="56"/>
  <c r="S31" i="56"/>
  <c r="AG31" i="56" s="1"/>
  <c r="S74" i="56"/>
  <c r="AG74" i="56" s="1"/>
  <c r="AU74" i="56" s="1"/>
  <c r="S32" i="56"/>
  <c r="AG32" i="56" s="1"/>
  <c r="S34" i="56"/>
  <c r="AG34" i="56" s="1"/>
  <c r="S77" i="56"/>
  <c r="S181" i="56"/>
  <c r="AG181" i="56" s="1"/>
  <c r="S185" i="56"/>
  <c r="AG185" i="56" s="1"/>
  <c r="S267" i="56"/>
  <c r="S81" i="56"/>
  <c r="S302" i="56"/>
  <c r="AG302" i="56" s="1"/>
  <c r="S83" i="56"/>
  <c r="AG83" i="56" s="1"/>
  <c r="AU83" i="56" s="1"/>
  <c r="S35" i="56"/>
  <c r="AG35" i="56" s="1"/>
  <c r="S36" i="56"/>
  <c r="AG36" i="56" s="1"/>
  <c r="S234" i="56"/>
  <c r="AG234" i="56" s="1"/>
  <c r="S37" i="56"/>
  <c r="AG37" i="56" s="1"/>
  <c r="S38" i="56"/>
  <c r="AG38" i="56" s="1"/>
  <c r="S168" i="56"/>
  <c r="S39" i="56"/>
  <c r="AG39" i="56" s="1"/>
  <c r="S91" i="56"/>
  <c r="AG91" i="56" s="1"/>
  <c r="AU91" i="56" s="1"/>
  <c r="S214" i="56"/>
  <c r="AG214" i="56" s="1"/>
  <c r="S93" i="56"/>
  <c r="S94" i="56"/>
  <c r="AG94" i="56" s="1"/>
  <c r="AU94" i="56" s="1"/>
  <c r="S40" i="56"/>
  <c r="S174" i="56"/>
  <c r="S41" i="56"/>
  <c r="AG41" i="56" s="1"/>
  <c r="S303" i="56"/>
  <c r="AG303" i="56" s="1"/>
  <c r="S295" i="56"/>
  <c r="AG295" i="56" s="1"/>
  <c r="S100" i="56"/>
  <c r="AG100" i="56" s="1"/>
  <c r="AU100" i="56" s="1"/>
  <c r="S42" i="56"/>
  <c r="S176" i="56"/>
  <c r="AG176" i="56" s="1"/>
  <c r="S103" i="56"/>
  <c r="S104" i="56"/>
  <c r="AG104" i="56" s="1"/>
  <c r="AU104" i="56" s="1"/>
  <c r="S247" i="56"/>
  <c r="S106" i="56"/>
  <c r="AG106" i="56" s="1"/>
  <c r="AU106" i="56" s="1"/>
  <c r="S43" i="56"/>
  <c r="AG43" i="56" s="1"/>
  <c r="S108" i="56"/>
  <c r="AG108" i="56" s="1"/>
  <c r="AU108" i="56" s="1"/>
  <c r="S109" i="56"/>
  <c r="AG109" i="56" s="1"/>
  <c r="AU109" i="56" s="1"/>
  <c r="S113" i="56"/>
  <c r="AG113" i="56" s="1"/>
  <c r="AU113" i="56" s="1"/>
  <c r="S114" i="56"/>
  <c r="AG114" i="56" s="1"/>
  <c r="S45" i="56"/>
  <c r="AG45" i="56" s="1"/>
  <c r="S116" i="56"/>
  <c r="S192" i="56"/>
  <c r="AG192" i="56" s="1"/>
  <c r="S216" i="56"/>
  <c r="AG216" i="56" s="1"/>
  <c r="S119" i="56"/>
  <c r="AG119" i="56" s="1"/>
  <c r="AU119" i="56" s="1"/>
  <c r="S48" i="56"/>
  <c r="S49" i="56"/>
  <c r="AG49" i="56" s="1"/>
  <c r="S122" i="56"/>
  <c r="AG122" i="56" s="1"/>
  <c r="AU122" i="56" s="1"/>
  <c r="S51" i="56"/>
  <c r="AG51" i="56" s="1"/>
  <c r="S53" i="56"/>
  <c r="AG53" i="56" s="1"/>
  <c r="S205" i="56"/>
  <c r="AG205" i="56" s="1"/>
  <c r="S54" i="56"/>
  <c r="AG54" i="56" s="1"/>
  <c r="S232" i="56"/>
  <c r="AG232" i="56" s="1"/>
  <c r="S55" i="56"/>
  <c r="S56" i="56"/>
  <c r="AG56" i="56" s="1"/>
  <c r="S296" i="56"/>
  <c r="AG296" i="56" s="1"/>
  <c r="S57" i="56"/>
  <c r="S132" i="56"/>
  <c r="AG132" i="56" s="1"/>
  <c r="AU132" i="56" s="1"/>
  <c r="S58" i="56"/>
  <c r="AG58" i="56" s="1"/>
  <c r="S134" i="56"/>
  <c r="AG134" i="56" s="1"/>
  <c r="AU134" i="56" s="1"/>
  <c r="S203" i="56"/>
  <c r="AG203" i="56" s="1"/>
  <c r="S59" i="56"/>
  <c r="AG59" i="56" s="1"/>
  <c r="S60" i="56"/>
  <c r="AG60" i="56" s="1"/>
  <c r="S139" i="56"/>
  <c r="AG139" i="56" s="1"/>
  <c r="AU139" i="56" s="1"/>
  <c r="S209" i="56"/>
  <c r="AG209" i="56" s="1"/>
  <c r="S141" i="56"/>
  <c r="S61" i="56"/>
  <c r="AG61" i="56" s="1"/>
  <c r="S171" i="56"/>
  <c r="AG171" i="56" s="1"/>
  <c r="S64" i="56"/>
  <c r="AG64" i="56" s="1"/>
  <c r="S155" i="56"/>
  <c r="S66" i="56"/>
  <c r="AG66" i="56" s="1"/>
  <c r="S68" i="56"/>
  <c r="S183" i="56"/>
  <c r="AG183" i="56" s="1"/>
  <c r="S69" i="56"/>
  <c r="AG69" i="56" s="1"/>
  <c r="S299" i="56"/>
  <c r="AG299" i="56" s="1"/>
  <c r="S151" i="56"/>
  <c r="AG151" i="56" s="1"/>
  <c r="AU151" i="56" s="1"/>
  <c r="S70" i="56"/>
  <c r="AG70" i="56" s="1"/>
  <c r="S153" i="56"/>
  <c r="S190" i="56"/>
  <c r="AG190" i="56" s="1"/>
  <c r="S71" i="56"/>
  <c r="AG71" i="56" s="1"/>
  <c r="S156" i="56"/>
  <c r="AG156" i="56" s="1"/>
  <c r="AU156" i="56" s="1"/>
  <c r="S169" i="56"/>
  <c r="S158" i="56"/>
  <c r="AG158" i="56" s="1"/>
  <c r="AU158" i="56" s="1"/>
  <c r="S219" i="56"/>
  <c r="AG219" i="56" s="1"/>
  <c r="S277" i="56"/>
  <c r="AG277" i="56" s="1"/>
  <c r="S161" i="56"/>
  <c r="AG161" i="56" s="1"/>
  <c r="AU161" i="56" s="1"/>
  <c r="S285" i="56"/>
  <c r="AG285" i="56" s="1"/>
  <c r="S284" i="56"/>
  <c r="AG284" i="56" s="1"/>
  <c r="S164" i="56"/>
  <c r="AG164" i="56" s="1"/>
  <c r="AU164" i="56" s="1"/>
  <c r="S72" i="56"/>
  <c r="S166" i="56"/>
  <c r="AG166" i="56" s="1"/>
  <c r="AU166" i="56" s="1"/>
  <c r="S167" i="56"/>
  <c r="AG167" i="56" s="1"/>
  <c r="AU167" i="56" s="1"/>
  <c r="S73" i="56"/>
  <c r="AG73" i="56" s="1"/>
  <c r="S75" i="56"/>
  <c r="AG75" i="56" s="1"/>
  <c r="S170" i="56"/>
  <c r="AG170" i="56" s="1"/>
  <c r="AU170" i="56" s="1"/>
  <c r="S275" i="56"/>
  <c r="AG275" i="56" s="1"/>
  <c r="S172" i="56"/>
  <c r="S271" i="56"/>
  <c r="AG271" i="56" s="1"/>
  <c r="S76" i="56"/>
  <c r="AG76" i="56" s="1"/>
  <c r="S175" i="56"/>
  <c r="AG175" i="56" s="1"/>
  <c r="AU175" i="56" s="1"/>
  <c r="S286" i="56"/>
  <c r="AG286" i="56" s="1"/>
  <c r="S78" i="56"/>
  <c r="S178" i="56"/>
  <c r="AG178" i="56" s="1"/>
  <c r="AU178" i="56" s="1"/>
  <c r="S191" i="56"/>
  <c r="AG191" i="56" s="1"/>
  <c r="S180" i="56"/>
  <c r="AG180" i="56" s="1"/>
  <c r="AU180" i="56" s="1"/>
  <c r="S79" i="56"/>
  <c r="S80" i="56"/>
  <c r="AG80" i="56" s="1"/>
  <c r="S82" i="56"/>
  <c r="AG82" i="56" s="1"/>
  <c r="S184" i="56"/>
  <c r="AG184" i="56" s="1"/>
  <c r="AU184" i="56" s="1"/>
  <c r="S84" i="56"/>
  <c r="AG84" i="56" s="1"/>
  <c r="S186" i="56"/>
  <c r="AG186" i="56" s="1"/>
  <c r="AU186" i="56" s="1"/>
  <c r="S187" i="56"/>
  <c r="AG187" i="56" s="1"/>
  <c r="AU187" i="56" s="1"/>
  <c r="S193" i="56"/>
  <c r="AG193" i="56" s="1"/>
  <c r="S85" i="56"/>
  <c r="S199" i="56"/>
  <c r="AG199" i="56" s="1"/>
  <c r="S86" i="56"/>
  <c r="AG86" i="56" s="1"/>
  <c r="S87" i="56"/>
  <c r="AG87" i="56" s="1"/>
  <c r="S88" i="56"/>
  <c r="AG88" i="56" s="1"/>
  <c r="S89" i="56"/>
  <c r="AG89" i="56" s="1"/>
  <c r="S195" i="56"/>
  <c r="AG195" i="56" s="1"/>
  <c r="AU195" i="56" s="1"/>
  <c r="S196" i="56"/>
  <c r="AG196" i="56" s="1"/>
  <c r="AU196" i="56" s="1"/>
  <c r="S197" i="56"/>
  <c r="AG197" i="56" s="1"/>
  <c r="AU197" i="56" s="1"/>
  <c r="S165" i="56"/>
  <c r="AG165" i="56" s="1"/>
  <c r="S188" i="56"/>
  <c r="AG188" i="56" s="1"/>
  <c r="S200" i="56"/>
  <c r="AG200" i="56" s="1"/>
  <c r="AU200" i="56" s="1"/>
  <c r="S90" i="56"/>
  <c r="S202" i="56"/>
  <c r="AG202" i="56" s="1"/>
  <c r="AU202" i="56" s="1"/>
  <c r="S92" i="56"/>
  <c r="AG92" i="56" s="1"/>
  <c r="S95" i="56"/>
  <c r="AG95" i="56" s="1"/>
  <c r="S201" i="56"/>
  <c r="AG201" i="56" s="1"/>
  <c r="S244" i="56"/>
  <c r="AG244" i="56" s="1"/>
  <c r="S150" i="56"/>
  <c r="AG150" i="56" s="1"/>
  <c r="S96" i="56"/>
  <c r="AG96" i="56" s="1"/>
  <c r="S97" i="56"/>
  <c r="AG97" i="56" s="1"/>
  <c r="S98" i="56"/>
  <c r="AG98" i="56" s="1"/>
  <c r="S99" i="56"/>
  <c r="AG99" i="56" s="1"/>
  <c r="S212" i="56"/>
  <c r="AG212" i="56" s="1"/>
  <c r="AU212" i="56" s="1"/>
  <c r="S101" i="56"/>
  <c r="S102" i="56"/>
  <c r="AG102" i="56" s="1"/>
  <c r="S215" i="56"/>
  <c r="AG215" i="56" s="1"/>
  <c r="AU215" i="56" s="1"/>
  <c r="S204" i="56"/>
  <c r="AG204" i="56" s="1"/>
  <c r="S105" i="56"/>
  <c r="AG105" i="56" s="1"/>
  <c r="S107" i="56"/>
  <c r="AG107" i="56" s="1"/>
  <c r="S110" i="56"/>
  <c r="AG110" i="56" s="1"/>
  <c r="S111" i="56"/>
  <c r="AG111" i="56" s="1"/>
  <c r="S292" i="56"/>
  <c r="AG292" i="56" s="1"/>
  <c r="S112" i="56"/>
  <c r="AG112" i="56" s="1"/>
  <c r="S221" i="56"/>
  <c r="AG221" i="56" s="1"/>
  <c r="S208" i="56"/>
  <c r="AG208" i="56" s="1"/>
  <c r="S115" i="56"/>
  <c r="S226" i="56"/>
  <c r="AG226" i="56" s="1"/>
  <c r="AU226" i="56" s="1"/>
  <c r="S206" i="56"/>
  <c r="AG206" i="56" s="1"/>
  <c r="S228" i="56"/>
  <c r="S229" i="56"/>
  <c r="AG229" i="56" s="1"/>
  <c r="AU229" i="56" s="1"/>
  <c r="S117" i="56"/>
  <c r="AG117" i="56" s="1"/>
  <c r="S231" i="56"/>
  <c r="AG231" i="56" s="1"/>
  <c r="AU231" i="56" s="1"/>
  <c r="S159" i="56"/>
  <c r="AG159" i="56" s="1"/>
  <c r="S118" i="56"/>
  <c r="AG118" i="56" s="1"/>
  <c r="S300" i="56"/>
  <c r="AG300" i="56" s="1"/>
  <c r="AU234" i="56" s="1"/>
  <c r="S179" i="56"/>
  <c r="AG179" i="56" s="1"/>
  <c r="S236" i="56"/>
  <c r="AG236" i="56" s="1"/>
  <c r="AU236" i="56" s="1"/>
  <c r="S237" i="56"/>
  <c r="S238" i="56"/>
  <c r="AG238" i="56" s="1"/>
  <c r="AU238" i="56" s="1"/>
  <c r="S239" i="56"/>
  <c r="AG239" i="56" s="1"/>
  <c r="AU239" i="56" s="1"/>
  <c r="S233" i="56"/>
  <c r="AG233" i="56" s="1"/>
  <c r="S298" i="56"/>
  <c r="AG298" i="56" s="1"/>
  <c r="S242" i="56"/>
  <c r="AG242" i="56" s="1"/>
  <c r="AU242" i="56" s="1"/>
  <c r="S243" i="56"/>
  <c r="AG243" i="56" s="1"/>
  <c r="AU243" i="56" s="1"/>
  <c r="S120" i="56"/>
  <c r="AG120" i="56" s="1"/>
  <c r="S291" i="56"/>
  <c r="AG291" i="56" s="1"/>
  <c r="S121" i="56"/>
  <c r="AG121" i="56" s="1"/>
  <c r="S304" i="56"/>
  <c r="AG304" i="56" s="1"/>
  <c r="S177" i="56"/>
  <c r="AG177" i="56" s="1"/>
  <c r="S249" i="56"/>
  <c r="S250" i="56"/>
  <c r="AG250" i="56" s="1"/>
  <c r="AU250" i="56" s="1"/>
  <c r="S251" i="56"/>
  <c r="AG251" i="56" s="1"/>
  <c r="AU251" i="56" s="1"/>
  <c r="S245" i="56"/>
  <c r="AG245" i="56" s="1"/>
  <c r="S253" i="56"/>
  <c r="AG253" i="56" s="1"/>
  <c r="AU253" i="56" s="1"/>
  <c r="S254" i="56"/>
  <c r="AG254" i="56" s="1"/>
  <c r="AU254" i="56" s="1"/>
  <c r="S255" i="56"/>
  <c r="AG255" i="56" s="1"/>
  <c r="AU255" i="56" s="1"/>
  <c r="S256" i="56"/>
  <c r="AG256" i="56" s="1"/>
  <c r="AU256" i="56" s="1"/>
  <c r="S306" i="56"/>
  <c r="AG306" i="56" s="1"/>
  <c r="S123" i="56"/>
  <c r="AG123" i="56" s="1"/>
  <c r="S259" i="56"/>
  <c r="AG259" i="56" s="1"/>
  <c r="AU259" i="56" s="1"/>
  <c r="S260" i="56"/>
  <c r="AG260" i="56" s="1"/>
  <c r="AU260" i="56" s="1"/>
  <c r="S261" i="56"/>
  <c r="S262" i="56"/>
  <c r="AG262" i="56" s="1"/>
  <c r="AU262" i="56" s="1"/>
  <c r="S149" i="56"/>
  <c r="AG149" i="56" s="1"/>
  <c r="S264" i="56"/>
  <c r="AG264" i="56" s="1"/>
  <c r="AU264" i="56" s="1"/>
  <c r="S265" i="56"/>
  <c r="S266" i="56"/>
  <c r="AG266" i="56" s="1"/>
  <c r="AU266" i="56" s="1"/>
  <c r="S124" i="56"/>
  <c r="AG124" i="56" s="1"/>
  <c r="S268" i="56"/>
  <c r="AG268" i="56" s="1"/>
  <c r="AU268" i="56" s="1"/>
  <c r="S125" i="56"/>
  <c r="AG125" i="56" s="1"/>
  <c r="S270" i="56"/>
  <c r="AG270" i="56" s="1"/>
  <c r="AU270" i="56" s="1"/>
  <c r="S213" i="56"/>
  <c r="AG213" i="56" s="1"/>
  <c r="S126" i="56"/>
  <c r="AG126" i="56" s="1"/>
  <c r="S273" i="56"/>
  <c r="AG273" i="56" s="1"/>
  <c r="AU273" i="56" s="1"/>
  <c r="S274" i="56"/>
  <c r="AG274" i="56" s="1"/>
  <c r="AU274" i="56" s="1"/>
  <c r="S127" i="56"/>
  <c r="AG127" i="56" s="1"/>
  <c r="AU275" i="56" s="1"/>
  <c r="S128" i="56"/>
  <c r="AG128" i="56" s="1"/>
  <c r="S182" i="56"/>
  <c r="AG182" i="56" s="1"/>
  <c r="S129" i="56"/>
  <c r="AG129" i="56" s="1"/>
  <c r="S279" i="56"/>
  <c r="AG279" i="56" s="1"/>
  <c r="AU279" i="56" s="1"/>
  <c r="S130" i="56"/>
  <c r="AG130" i="56" s="1"/>
  <c r="S281" i="56"/>
  <c r="AG281" i="56" s="1"/>
  <c r="AU281" i="56" s="1"/>
  <c r="S282" i="56"/>
  <c r="AG282" i="56" s="1"/>
  <c r="AU282" i="56" s="1"/>
  <c r="S293" i="56"/>
  <c r="AG293" i="56" s="1"/>
  <c r="S278" i="56"/>
  <c r="AG278" i="56" s="1"/>
  <c r="S131" i="56"/>
  <c r="S148" i="56"/>
  <c r="AG148" i="56" s="1"/>
  <c r="S133" i="56"/>
  <c r="AG133" i="56" s="1"/>
  <c r="S223" i="56"/>
  <c r="AG223" i="56" s="1"/>
  <c r="S289" i="56"/>
  <c r="S290" i="56"/>
  <c r="AG290" i="56" s="1"/>
  <c r="AU290" i="56" s="1"/>
  <c r="S135" i="56"/>
  <c r="AG135" i="56" s="1"/>
  <c r="S136" i="56"/>
  <c r="AG136" i="56" s="1"/>
  <c r="S137" i="56"/>
  <c r="AG137" i="56" s="1"/>
  <c r="S294" i="56"/>
  <c r="AG294" i="56" s="1"/>
  <c r="AU294" i="56" s="1"/>
  <c r="S198" i="56"/>
  <c r="AG198" i="56" s="1"/>
  <c r="AU295" i="56" s="1"/>
  <c r="S207" i="56"/>
  <c r="AG207" i="56" s="1"/>
  <c r="S297" i="56"/>
  <c r="AG297" i="56" s="1"/>
  <c r="AU297" i="56" s="1"/>
  <c r="S138" i="56"/>
  <c r="AG138" i="56" s="1"/>
  <c r="S140" i="56"/>
  <c r="AG140" i="56" s="1"/>
  <c r="S142" i="56"/>
  <c r="AG142" i="56" s="1"/>
  <c r="S143" i="56"/>
  <c r="AG143" i="56" s="1"/>
  <c r="S144" i="56"/>
  <c r="AG144" i="56" s="1"/>
  <c r="S162" i="56"/>
  <c r="AG162" i="56" s="1"/>
  <c r="S241" i="56"/>
  <c r="AG241" i="56" s="1"/>
  <c r="S305" i="56"/>
  <c r="AG305" i="56" s="1"/>
  <c r="AU305" i="56" s="1"/>
  <c r="S227" i="56"/>
  <c r="AG227" i="56" s="1"/>
  <c r="S145" i="56"/>
  <c r="AG145" i="56" s="1"/>
  <c r="AU307" i="56" s="1"/>
  <c r="S276" i="56"/>
  <c r="AG276" i="56" s="1"/>
  <c r="AU308" i="56" s="1"/>
  <c r="S309" i="56"/>
  <c r="AG309" i="56" s="1"/>
  <c r="AU309" i="56" s="1"/>
  <c r="S310" i="56"/>
  <c r="AG310" i="56" s="1"/>
  <c r="AU310" i="56" s="1"/>
  <c r="S311" i="56"/>
  <c r="AG311" i="56" s="1"/>
  <c r="AU311" i="56" s="1"/>
  <c r="S218" i="56"/>
  <c r="AG218" i="56" s="1"/>
  <c r="AU312" i="56" s="1"/>
  <c r="S283" i="56"/>
  <c r="AG283" i="56" s="1"/>
  <c r="AU313" i="56" s="1"/>
  <c r="S272" i="56"/>
  <c r="AG272" i="56" s="1"/>
  <c r="AU314" i="56" s="1"/>
  <c r="S315" i="56"/>
  <c r="AG315" i="56" s="1"/>
  <c r="AU315" i="56" s="1"/>
  <c r="S5" i="56"/>
  <c r="L6" i="14"/>
  <c r="L7" i="14"/>
  <c r="L8" i="14"/>
  <c r="L9" i="14"/>
  <c r="L10" i="14"/>
  <c r="L11" i="14"/>
  <c r="L12" i="14"/>
  <c r="L13" i="14"/>
  <c r="L14" i="14"/>
  <c r="L15" i="14"/>
  <c r="L16" i="14"/>
  <c r="L17" i="14"/>
  <c r="L18" i="14"/>
  <c r="L22" i="14"/>
  <c r="L23" i="14"/>
  <c r="L24" i="14"/>
  <c r="L25" i="14"/>
  <c r="L26" i="14"/>
  <c r="L27" i="14"/>
  <c r="L28" i="14"/>
  <c r="L29" i="14"/>
  <c r="K5" i="14"/>
  <c r="S318" i="54"/>
  <c r="L5" i="9"/>
  <c r="L6" i="9"/>
  <c r="L7" i="9"/>
  <c r="L8" i="9"/>
  <c r="L9" i="9"/>
  <c r="L10" i="9"/>
  <c r="L11" i="9"/>
  <c r="L12" i="9"/>
  <c r="L13" i="9"/>
  <c r="L14" i="9"/>
  <c r="L15" i="9"/>
  <c r="L16" i="9"/>
  <c r="L17" i="9"/>
  <c r="L18" i="9"/>
  <c r="L22" i="9"/>
  <c r="L23" i="9"/>
  <c r="L24" i="9"/>
  <c r="L25" i="9"/>
  <c r="L26" i="9"/>
  <c r="L27" i="9"/>
  <c r="L28" i="9"/>
  <c r="L29" i="9"/>
  <c r="K5" i="9"/>
  <c r="AB315" i="56"/>
  <c r="Y315" i="56"/>
  <c r="V315" i="56"/>
  <c r="P315" i="56"/>
  <c r="AB272" i="56"/>
  <c r="Y272" i="56"/>
  <c r="V272" i="56"/>
  <c r="P272" i="56"/>
  <c r="AB283" i="56"/>
  <c r="Y283" i="56"/>
  <c r="V283" i="56"/>
  <c r="P283" i="56"/>
  <c r="AB218" i="56"/>
  <c r="Y218" i="56"/>
  <c r="V218" i="56"/>
  <c r="P218" i="56"/>
  <c r="AB311" i="56"/>
  <c r="Y311" i="56"/>
  <c r="V311" i="56"/>
  <c r="P311" i="56"/>
  <c r="AB310" i="56"/>
  <c r="Y310" i="56"/>
  <c r="V310" i="56"/>
  <c r="P310" i="56"/>
  <c r="AB309" i="56"/>
  <c r="Y309" i="56"/>
  <c r="V309" i="56"/>
  <c r="AJ309" i="56" s="1"/>
  <c r="AX309" i="56" s="1"/>
  <c r="P309" i="56"/>
  <c r="AB276" i="56"/>
  <c r="Y276" i="56"/>
  <c r="V276" i="56"/>
  <c r="AJ276" i="56" s="1"/>
  <c r="AX308" i="56" s="1"/>
  <c r="P276" i="56"/>
  <c r="AB145" i="56"/>
  <c r="Y145" i="56"/>
  <c r="V145" i="56"/>
  <c r="P145" i="56"/>
  <c r="AB227" i="56"/>
  <c r="Y227" i="56"/>
  <c r="V227" i="56"/>
  <c r="P227" i="56"/>
  <c r="AB305" i="56"/>
  <c r="Y305" i="56"/>
  <c r="V305" i="56"/>
  <c r="P305" i="56"/>
  <c r="AB241" i="56"/>
  <c r="Y241" i="56"/>
  <c r="V241" i="56"/>
  <c r="P241" i="56"/>
  <c r="AB162" i="56"/>
  <c r="Y162" i="56"/>
  <c r="V162" i="56"/>
  <c r="P162" i="56"/>
  <c r="AB144" i="56"/>
  <c r="Y144" i="56"/>
  <c r="V144" i="56"/>
  <c r="P144" i="56"/>
  <c r="AB143" i="56"/>
  <c r="Y143" i="56"/>
  <c r="V143" i="56"/>
  <c r="P143" i="56"/>
  <c r="AB142" i="56"/>
  <c r="Y142" i="56"/>
  <c r="V142" i="56"/>
  <c r="P142" i="56"/>
  <c r="AB140" i="56"/>
  <c r="Y140" i="56"/>
  <c r="V140" i="56"/>
  <c r="P140" i="56"/>
  <c r="AB138" i="56"/>
  <c r="Y138" i="56"/>
  <c r="V138" i="56"/>
  <c r="P138" i="56"/>
  <c r="AB297" i="56"/>
  <c r="Y297" i="56"/>
  <c r="V297" i="56"/>
  <c r="P297" i="56"/>
  <c r="AB207" i="56"/>
  <c r="Y207" i="56"/>
  <c r="V207" i="56"/>
  <c r="P207" i="56"/>
  <c r="AB198" i="56"/>
  <c r="Y198" i="56"/>
  <c r="V198" i="56"/>
  <c r="P198" i="56"/>
  <c r="AB294" i="56"/>
  <c r="Y294" i="56"/>
  <c r="V294" i="56"/>
  <c r="AJ294" i="56" s="1"/>
  <c r="AX294" i="56" s="1"/>
  <c r="P294" i="56"/>
  <c r="AB137" i="56"/>
  <c r="Y137" i="56"/>
  <c r="V137" i="56"/>
  <c r="P137" i="56"/>
  <c r="AB136" i="56"/>
  <c r="Y136" i="56"/>
  <c r="V136" i="56"/>
  <c r="P136" i="56"/>
  <c r="AB135" i="56"/>
  <c r="Y135" i="56"/>
  <c r="V135" i="56"/>
  <c r="P135" i="56"/>
  <c r="Y290" i="56"/>
  <c r="V290" i="56"/>
  <c r="P290" i="56"/>
  <c r="AG289" i="56"/>
  <c r="AU289" i="56" s="1"/>
  <c r="AB289" i="56"/>
  <c r="Y289" i="56"/>
  <c r="V289" i="56"/>
  <c r="P289" i="56"/>
  <c r="AB223" i="56"/>
  <c r="Y223" i="56"/>
  <c r="V223" i="56"/>
  <c r="P223" i="56"/>
  <c r="AB133" i="56"/>
  <c r="Y133" i="56"/>
  <c r="V133" i="56"/>
  <c r="P133" i="56"/>
  <c r="AB148" i="56"/>
  <c r="Y148" i="56"/>
  <c r="V148" i="56"/>
  <c r="P148" i="56"/>
  <c r="AG131" i="56"/>
  <c r="AB131" i="56"/>
  <c r="Y131" i="56"/>
  <c r="V131" i="56"/>
  <c r="P131" i="56"/>
  <c r="AB278" i="56"/>
  <c r="Y278" i="56"/>
  <c r="V278" i="56"/>
  <c r="P278" i="56"/>
  <c r="AB293" i="56"/>
  <c r="Y293" i="56"/>
  <c r="V293" i="56"/>
  <c r="P293" i="56"/>
  <c r="Y282" i="56"/>
  <c r="V282" i="56"/>
  <c r="P282" i="56"/>
  <c r="AB281" i="56"/>
  <c r="Y281" i="56"/>
  <c r="V281" i="56"/>
  <c r="P281" i="56"/>
  <c r="AB130" i="56"/>
  <c r="Y130" i="56"/>
  <c r="V130" i="56"/>
  <c r="P130" i="56"/>
  <c r="AB279" i="56"/>
  <c r="Y279" i="56"/>
  <c r="V279" i="56"/>
  <c r="AJ279" i="56" s="1"/>
  <c r="AX279" i="56" s="1"/>
  <c r="P279" i="56"/>
  <c r="AB129" i="56"/>
  <c r="Y129" i="56"/>
  <c r="V129" i="56"/>
  <c r="P129" i="56"/>
  <c r="AB182" i="56"/>
  <c r="Y182" i="56"/>
  <c r="V182" i="56"/>
  <c r="P182" i="56"/>
  <c r="AB128" i="56"/>
  <c r="Y128" i="56"/>
  <c r="V128" i="56"/>
  <c r="AJ128" i="56" s="1"/>
  <c r="P128" i="56"/>
  <c r="AB127" i="56"/>
  <c r="Y127" i="56"/>
  <c r="V127" i="56"/>
  <c r="P127" i="56"/>
  <c r="Y274" i="56"/>
  <c r="V274" i="56"/>
  <c r="AJ274" i="56" s="1"/>
  <c r="AX274" i="56" s="1"/>
  <c r="P274" i="56"/>
  <c r="AB273" i="56"/>
  <c r="Y273" i="56"/>
  <c r="V273" i="56"/>
  <c r="P273" i="56"/>
  <c r="AB126" i="56"/>
  <c r="Y126" i="56"/>
  <c r="V126" i="56"/>
  <c r="P126" i="56"/>
  <c r="AB213" i="56"/>
  <c r="Y213" i="56"/>
  <c r="V213" i="56"/>
  <c r="P213" i="56"/>
  <c r="AB270" i="56"/>
  <c r="Y270" i="56"/>
  <c r="V270" i="56"/>
  <c r="P270" i="56"/>
  <c r="AB125" i="56"/>
  <c r="Y125" i="56"/>
  <c r="V125" i="56"/>
  <c r="P125" i="56"/>
  <c r="AB268" i="56"/>
  <c r="Y268" i="56"/>
  <c r="V268" i="56"/>
  <c r="P268" i="56"/>
  <c r="AB124" i="56"/>
  <c r="Y124" i="56"/>
  <c r="V124" i="56"/>
  <c r="P124" i="56"/>
  <c r="Y266" i="56"/>
  <c r="V266" i="56"/>
  <c r="P266" i="56"/>
  <c r="AG265" i="56"/>
  <c r="AU265" i="56" s="1"/>
  <c r="AB265" i="56"/>
  <c r="AP265" i="56" s="1"/>
  <c r="BD265" i="56" s="1"/>
  <c r="Y265" i="56"/>
  <c r="V265" i="56"/>
  <c r="P265" i="56"/>
  <c r="AB264" i="56"/>
  <c r="Y264" i="56"/>
  <c r="V264" i="56"/>
  <c r="P264" i="56"/>
  <c r="AB149" i="56"/>
  <c r="Y149" i="56"/>
  <c r="V149" i="56"/>
  <c r="P149" i="56"/>
  <c r="AB262" i="56"/>
  <c r="Y262" i="56"/>
  <c r="V262" i="56"/>
  <c r="P262" i="56"/>
  <c r="AG261" i="56"/>
  <c r="AU261" i="56" s="1"/>
  <c r="AB261" i="56"/>
  <c r="Y261" i="56"/>
  <c r="V261" i="56"/>
  <c r="AJ261" i="56" s="1"/>
  <c r="AX261" i="56" s="1"/>
  <c r="P261" i="56"/>
  <c r="AB260" i="56"/>
  <c r="Y260" i="56"/>
  <c r="V260" i="56"/>
  <c r="P260" i="56"/>
  <c r="AB259" i="56"/>
  <c r="AP259" i="56" s="1"/>
  <c r="BD259" i="56" s="1"/>
  <c r="Y259" i="56"/>
  <c r="AM259" i="56" s="1"/>
  <c r="BA259" i="56" s="1"/>
  <c r="V259" i="56"/>
  <c r="P259" i="56"/>
  <c r="AB123" i="56"/>
  <c r="Y123" i="56"/>
  <c r="V123" i="56"/>
  <c r="P123" i="56"/>
  <c r="AB306" i="56"/>
  <c r="AP306" i="56" s="1"/>
  <c r="Y306" i="56"/>
  <c r="AM306" i="56" s="1"/>
  <c r="V306" i="56"/>
  <c r="AJ306" i="56" s="1"/>
  <c r="P306" i="56"/>
  <c r="AB256" i="56"/>
  <c r="Y256" i="56"/>
  <c r="V256" i="56"/>
  <c r="P256" i="56"/>
  <c r="AB255" i="56"/>
  <c r="Y255" i="56"/>
  <c r="V255" i="56"/>
  <c r="P255" i="56"/>
  <c r="AB254" i="56"/>
  <c r="Y254" i="56"/>
  <c r="V254" i="56"/>
  <c r="AJ254" i="56" s="1"/>
  <c r="AX254" i="56" s="1"/>
  <c r="P254" i="56"/>
  <c r="AB253" i="56"/>
  <c r="Y253" i="56"/>
  <c r="V253" i="56"/>
  <c r="P253" i="56"/>
  <c r="AB245" i="56"/>
  <c r="Y245" i="56"/>
  <c r="V245" i="56"/>
  <c r="P245" i="56"/>
  <c r="AB251" i="56"/>
  <c r="Y251" i="56"/>
  <c r="V251" i="56"/>
  <c r="AJ251" i="56" s="1"/>
  <c r="AX251" i="56" s="1"/>
  <c r="P251" i="56"/>
  <c r="AB250" i="56"/>
  <c r="Y250" i="56"/>
  <c r="V250" i="56"/>
  <c r="P250" i="56"/>
  <c r="AG249" i="56"/>
  <c r="AU249" i="56" s="1"/>
  <c r="AB249" i="56"/>
  <c r="Y249" i="56"/>
  <c r="V249" i="56"/>
  <c r="P249" i="56"/>
  <c r="AB177" i="56"/>
  <c r="Y177" i="56"/>
  <c r="V177" i="56"/>
  <c r="AJ177" i="56" s="1"/>
  <c r="P177" i="56"/>
  <c r="AB304" i="56"/>
  <c r="AP304" i="56" s="1"/>
  <c r="Y304" i="56"/>
  <c r="AM304" i="56" s="1"/>
  <c r="V304" i="56"/>
  <c r="AB121" i="56"/>
  <c r="Y121" i="56"/>
  <c r="V121" i="56"/>
  <c r="P121" i="56"/>
  <c r="AB291" i="56"/>
  <c r="Y291" i="56"/>
  <c r="V291" i="56"/>
  <c r="P291" i="56"/>
  <c r="AB120" i="56"/>
  <c r="Y120" i="56"/>
  <c r="V120" i="56"/>
  <c r="P120" i="56"/>
  <c r="AB243" i="56"/>
  <c r="Y243" i="56"/>
  <c r="V243" i="56"/>
  <c r="P243" i="56"/>
  <c r="AB242" i="56"/>
  <c r="Y242" i="56"/>
  <c r="V242" i="56"/>
  <c r="P242" i="56"/>
  <c r="AB298" i="56"/>
  <c r="Y298" i="56"/>
  <c r="V298" i="56"/>
  <c r="P298" i="56"/>
  <c r="AB233" i="56"/>
  <c r="Y233" i="56"/>
  <c r="V233" i="56"/>
  <c r="P233" i="56"/>
  <c r="AB239" i="56"/>
  <c r="AP239" i="56" s="1"/>
  <c r="BD239" i="56" s="1"/>
  <c r="Y239" i="56"/>
  <c r="AM239" i="56" s="1"/>
  <c r="V239" i="56"/>
  <c r="P239" i="56"/>
  <c r="AB238" i="56"/>
  <c r="Y238" i="56"/>
  <c r="V238" i="56"/>
  <c r="P238" i="56"/>
  <c r="AG237" i="56"/>
  <c r="AU237" i="56" s="1"/>
  <c r="AB237" i="56"/>
  <c r="Y237" i="56"/>
  <c r="V237" i="56"/>
  <c r="P237" i="56"/>
  <c r="AB236" i="56"/>
  <c r="Y236" i="56"/>
  <c r="V236" i="56"/>
  <c r="P236" i="56"/>
  <c r="AB179" i="56"/>
  <c r="Y179" i="56"/>
  <c r="V179" i="56"/>
  <c r="P179" i="56"/>
  <c r="Y300" i="56"/>
  <c r="V300" i="56"/>
  <c r="P300" i="56"/>
  <c r="AB118" i="56"/>
  <c r="Y118" i="56"/>
  <c r="V118" i="56"/>
  <c r="P118" i="56"/>
  <c r="AB159" i="56"/>
  <c r="Y159" i="56"/>
  <c r="V159" i="56"/>
  <c r="P159" i="56"/>
  <c r="AB231" i="56"/>
  <c r="Y231" i="56"/>
  <c r="V231" i="56"/>
  <c r="P231" i="56"/>
  <c r="AB117" i="56"/>
  <c r="Y117" i="56"/>
  <c r="V117" i="56"/>
  <c r="P117" i="56"/>
  <c r="AB229" i="56"/>
  <c r="Y229" i="56"/>
  <c r="V229" i="56"/>
  <c r="P229" i="56"/>
  <c r="AG228" i="56"/>
  <c r="AU228" i="56" s="1"/>
  <c r="AB228" i="56"/>
  <c r="Y228" i="56"/>
  <c r="V228" i="56"/>
  <c r="P228" i="56"/>
  <c r="AB206" i="56"/>
  <c r="Y206" i="56"/>
  <c r="V206" i="56"/>
  <c r="P206" i="56"/>
  <c r="Y226" i="56"/>
  <c r="V226" i="56"/>
  <c r="P226" i="56"/>
  <c r="AG115" i="56"/>
  <c r="AB115" i="56"/>
  <c r="Y115" i="56"/>
  <c r="V115" i="56"/>
  <c r="P115" i="56"/>
  <c r="AB208" i="56"/>
  <c r="Y208" i="56"/>
  <c r="V208" i="56"/>
  <c r="P208" i="56"/>
  <c r="AB221" i="56"/>
  <c r="Y221" i="56"/>
  <c r="V221" i="56"/>
  <c r="P221" i="56"/>
  <c r="AB112" i="56"/>
  <c r="Y112" i="56"/>
  <c r="V112" i="56"/>
  <c r="P112" i="56"/>
  <c r="AB292" i="56"/>
  <c r="Y292" i="56"/>
  <c r="V292" i="56"/>
  <c r="AJ292" i="56" s="1"/>
  <c r="P292" i="56"/>
  <c r="AB111" i="56"/>
  <c r="Y111" i="56"/>
  <c r="V111" i="56"/>
  <c r="P111" i="56"/>
  <c r="AB110" i="56"/>
  <c r="Y110" i="56"/>
  <c r="V110" i="56"/>
  <c r="P110" i="56"/>
  <c r="Y107" i="56"/>
  <c r="V107" i="56"/>
  <c r="P107" i="56"/>
  <c r="AB105" i="56"/>
  <c r="Y105" i="56"/>
  <c r="V105" i="56"/>
  <c r="P105" i="56"/>
  <c r="AB204" i="56"/>
  <c r="Y204" i="56"/>
  <c r="V204" i="56"/>
  <c r="P204" i="56"/>
  <c r="AB215" i="56"/>
  <c r="Y215" i="56"/>
  <c r="V215" i="56"/>
  <c r="P215" i="56"/>
  <c r="AB102" i="56"/>
  <c r="Y102" i="56"/>
  <c r="V102" i="56"/>
  <c r="P102" i="56"/>
  <c r="AG101" i="56"/>
  <c r="AB101" i="56"/>
  <c r="Y101" i="56"/>
  <c r="V101" i="56"/>
  <c r="P101" i="56"/>
  <c r="AB212" i="56"/>
  <c r="Y212" i="56"/>
  <c r="V212" i="56"/>
  <c r="P212" i="56"/>
  <c r="AB99" i="56"/>
  <c r="Y99" i="56"/>
  <c r="V99" i="56"/>
  <c r="P99" i="56"/>
  <c r="Y98" i="56"/>
  <c r="V98" i="56"/>
  <c r="P98" i="56"/>
  <c r="AB97" i="56"/>
  <c r="Y97" i="56"/>
  <c r="V97" i="56"/>
  <c r="P97" i="56"/>
  <c r="AB96" i="56"/>
  <c r="Y96" i="56"/>
  <c r="V96" i="56"/>
  <c r="P96" i="56"/>
  <c r="AB150" i="56"/>
  <c r="Y150" i="56"/>
  <c r="V150" i="56"/>
  <c r="P150" i="56"/>
  <c r="AB244" i="56"/>
  <c r="Y244" i="56"/>
  <c r="V244" i="56"/>
  <c r="P244" i="56"/>
  <c r="AB201" i="56"/>
  <c r="Y201" i="56"/>
  <c r="V201" i="56"/>
  <c r="P201" i="56"/>
  <c r="AB95" i="56"/>
  <c r="Y95" i="56"/>
  <c r="V95" i="56"/>
  <c r="P95" i="56"/>
  <c r="AB92" i="56"/>
  <c r="Y92" i="56"/>
  <c r="V92" i="56"/>
  <c r="P92" i="56"/>
  <c r="Y202" i="56"/>
  <c r="V202" i="56"/>
  <c r="P202" i="56"/>
  <c r="AG90" i="56"/>
  <c r="AU201" i="56" s="1"/>
  <c r="AB90" i="56"/>
  <c r="Y90" i="56"/>
  <c r="AM90" i="56" s="1"/>
  <c r="V90" i="56"/>
  <c r="AJ90" i="56" s="1"/>
  <c r="P90" i="56"/>
  <c r="AB200" i="56"/>
  <c r="Y200" i="56"/>
  <c r="V200" i="56"/>
  <c r="P200" i="56"/>
  <c r="AB188" i="56"/>
  <c r="Y188" i="56"/>
  <c r="V188" i="56"/>
  <c r="P188" i="56"/>
  <c r="AB165" i="56"/>
  <c r="Y165" i="56"/>
  <c r="V165" i="56"/>
  <c r="AJ165" i="56" s="1"/>
  <c r="P165" i="56"/>
  <c r="AB197" i="56"/>
  <c r="Y197" i="56"/>
  <c r="V197" i="56"/>
  <c r="P197" i="56"/>
  <c r="AB196" i="56"/>
  <c r="Y196" i="56"/>
  <c r="V196" i="56"/>
  <c r="P196" i="56"/>
  <c r="AB195" i="56"/>
  <c r="Y195" i="56"/>
  <c r="V195" i="56"/>
  <c r="AJ195" i="56" s="1"/>
  <c r="AX195" i="56" s="1"/>
  <c r="P195" i="56"/>
  <c r="AB89" i="56"/>
  <c r="Y89" i="56"/>
  <c r="V89" i="56"/>
  <c r="P89" i="56"/>
  <c r="AB88" i="56"/>
  <c r="Y88" i="56"/>
  <c r="V88" i="56"/>
  <c r="P88" i="56"/>
  <c r="AB87" i="56"/>
  <c r="Y87" i="56"/>
  <c r="V87" i="56"/>
  <c r="AJ87" i="56" s="1"/>
  <c r="P87" i="56"/>
  <c r="AB86" i="56"/>
  <c r="Y86" i="56"/>
  <c r="V86" i="56"/>
  <c r="P86" i="56"/>
  <c r="AB199" i="56"/>
  <c r="Y199" i="56"/>
  <c r="V199" i="56"/>
  <c r="P199" i="56"/>
  <c r="AG85" i="56"/>
  <c r="AB85" i="56"/>
  <c r="Y85" i="56"/>
  <c r="V85" i="56"/>
  <c r="P85" i="56"/>
  <c r="AB193" i="56"/>
  <c r="Y193" i="56"/>
  <c r="V193" i="56"/>
  <c r="P193" i="56"/>
  <c r="AB187" i="56"/>
  <c r="Y187" i="56"/>
  <c r="V187" i="56"/>
  <c r="P187" i="56"/>
  <c r="Y186" i="56"/>
  <c r="V186" i="56"/>
  <c r="P186" i="56"/>
  <c r="AB84" i="56"/>
  <c r="Y84" i="56"/>
  <c r="V84" i="56"/>
  <c r="P84" i="56"/>
  <c r="AB184" i="56"/>
  <c r="Y184" i="56"/>
  <c r="V184" i="56"/>
  <c r="P184" i="56"/>
  <c r="Y82" i="56"/>
  <c r="V82" i="56"/>
  <c r="P82" i="56"/>
  <c r="AB80" i="56"/>
  <c r="Y80" i="56"/>
  <c r="V80" i="56"/>
  <c r="P80" i="56"/>
  <c r="AG79" i="56"/>
  <c r="AU181" i="56" s="1"/>
  <c r="AB79" i="56"/>
  <c r="Y79" i="56"/>
  <c r="V79" i="56"/>
  <c r="P79" i="56"/>
  <c r="AB180" i="56"/>
  <c r="Y180" i="56"/>
  <c r="V180" i="56"/>
  <c r="P180" i="56"/>
  <c r="AB191" i="56"/>
  <c r="Y191" i="56"/>
  <c r="V191" i="56"/>
  <c r="P191" i="56"/>
  <c r="AB178" i="56"/>
  <c r="Y178" i="56"/>
  <c r="V178" i="56"/>
  <c r="AJ178" i="56" s="1"/>
  <c r="AX178" i="56" s="1"/>
  <c r="P178" i="56"/>
  <c r="AG78" i="56"/>
  <c r="AB78" i="56"/>
  <c r="Y78" i="56"/>
  <c r="V78" i="56"/>
  <c r="P78" i="56"/>
  <c r="AB286" i="56"/>
  <c r="Y286" i="56"/>
  <c r="V286" i="56"/>
  <c r="P286" i="56"/>
  <c r="AB175" i="56"/>
  <c r="Y175" i="56"/>
  <c r="V175" i="56"/>
  <c r="AJ175" i="56" s="1"/>
  <c r="AX175" i="56" s="1"/>
  <c r="P175" i="56"/>
  <c r="AB76" i="56"/>
  <c r="Y76" i="56"/>
  <c r="V76" i="56"/>
  <c r="P76" i="56"/>
  <c r="AB271" i="56"/>
  <c r="Y271" i="56"/>
  <c r="V271" i="56"/>
  <c r="P271" i="56"/>
  <c r="AG172" i="56"/>
  <c r="AU172" i="56" s="1"/>
  <c r="AB172" i="56"/>
  <c r="Y172" i="56"/>
  <c r="V172" i="56"/>
  <c r="P172" i="56"/>
  <c r="AB275" i="56"/>
  <c r="Y275" i="56"/>
  <c r="V275" i="56"/>
  <c r="P275" i="56"/>
  <c r="AB170" i="56"/>
  <c r="Y170" i="56"/>
  <c r="V170" i="56"/>
  <c r="P170" i="56"/>
  <c r="AB75" i="56"/>
  <c r="Y75" i="56"/>
  <c r="V75" i="56"/>
  <c r="P75" i="56"/>
  <c r="AB73" i="56"/>
  <c r="Y73" i="56"/>
  <c r="V73" i="56"/>
  <c r="P73" i="56"/>
  <c r="AB167" i="56"/>
  <c r="AP167" i="56" s="1"/>
  <c r="BD167" i="56" s="1"/>
  <c r="Y167" i="56"/>
  <c r="V167" i="56"/>
  <c r="P167" i="56"/>
  <c r="AB166" i="56"/>
  <c r="Y166" i="56"/>
  <c r="V166" i="56"/>
  <c r="P166" i="56"/>
  <c r="AG72" i="56"/>
  <c r="AB72" i="56"/>
  <c r="Y72" i="56"/>
  <c r="V72" i="56"/>
  <c r="P72" i="56"/>
  <c r="AB164" i="56"/>
  <c r="Y164" i="56"/>
  <c r="V164" i="56"/>
  <c r="AJ164" i="56" s="1"/>
  <c r="AX164" i="56" s="1"/>
  <c r="P164" i="56"/>
  <c r="AB284" i="56"/>
  <c r="Y284" i="56"/>
  <c r="V284" i="56"/>
  <c r="P284" i="56"/>
  <c r="AB285" i="56"/>
  <c r="Y285" i="56"/>
  <c r="V285" i="56"/>
  <c r="P285" i="56"/>
  <c r="AB161" i="56"/>
  <c r="Y161" i="56"/>
  <c r="V161" i="56"/>
  <c r="AJ161" i="56" s="1"/>
  <c r="AX161" i="56" s="1"/>
  <c r="P161" i="56"/>
  <c r="AB277" i="56"/>
  <c r="Y277" i="56"/>
  <c r="V277" i="56"/>
  <c r="P277" i="56"/>
  <c r="AB219" i="56"/>
  <c r="Y219" i="56"/>
  <c r="V219" i="56"/>
  <c r="P219" i="56"/>
  <c r="Y158" i="56"/>
  <c r="V158" i="56"/>
  <c r="AJ158" i="56" s="1"/>
  <c r="AX158" i="56" s="1"/>
  <c r="P158" i="56"/>
  <c r="AG169" i="56"/>
  <c r="AB169" i="56"/>
  <c r="Y169" i="56"/>
  <c r="V169" i="56"/>
  <c r="P169" i="56"/>
  <c r="AB156" i="56"/>
  <c r="Y156" i="56"/>
  <c r="V156" i="56"/>
  <c r="P156" i="56"/>
  <c r="AB71" i="56"/>
  <c r="Y71" i="56"/>
  <c r="V71" i="56"/>
  <c r="AJ71" i="56" s="1"/>
  <c r="P71" i="56"/>
  <c r="AB190" i="56"/>
  <c r="Y190" i="56"/>
  <c r="V190" i="56"/>
  <c r="P190" i="56"/>
  <c r="AG153" i="56"/>
  <c r="AU153" i="56" s="1"/>
  <c r="AB153" i="56"/>
  <c r="Y153" i="56"/>
  <c r="V153" i="56"/>
  <c r="P153" i="56"/>
  <c r="AB70" i="56"/>
  <c r="Y70" i="56"/>
  <c r="V70" i="56"/>
  <c r="AJ70" i="56" s="1"/>
  <c r="P70" i="56"/>
  <c r="AB151" i="56"/>
  <c r="Y151" i="56"/>
  <c r="V151" i="56"/>
  <c r="P151" i="56"/>
  <c r="Y299" i="56"/>
  <c r="V299" i="56"/>
  <c r="P299" i="56"/>
  <c r="AB69" i="56"/>
  <c r="Y69" i="56"/>
  <c r="V69" i="56"/>
  <c r="P69" i="56"/>
  <c r="AB183" i="56"/>
  <c r="Y183" i="56"/>
  <c r="V183" i="56"/>
  <c r="P183" i="56"/>
  <c r="AG68" i="56"/>
  <c r="AU147" i="56" s="1"/>
  <c r="AB68" i="56"/>
  <c r="Y68" i="56"/>
  <c r="V68" i="56"/>
  <c r="P68" i="56"/>
  <c r="AB66" i="56"/>
  <c r="Y66" i="56"/>
  <c r="V66" i="56"/>
  <c r="P66" i="56"/>
  <c r="AG155" i="56"/>
  <c r="AB155" i="56"/>
  <c r="Y155" i="56"/>
  <c r="V155" i="56"/>
  <c r="P155" i="56"/>
  <c r="AB64" i="56"/>
  <c r="Y64" i="56"/>
  <c r="V64" i="56"/>
  <c r="P64" i="56"/>
  <c r="AB171" i="56"/>
  <c r="Y171" i="56"/>
  <c r="V171" i="56"/>
  <c r="P171" i="56"/>
  <c r="AB61" i="56"/>
  <c r="Y61" i="56"/>
  <c r="V61" i="56"/>
  <c r="P61" i="56"/>
  <c r="AG141" i="56"/>
  <c r="AU141" i="56" s="1"/>
  <c r="AB141" i="56"/>
  <c r="Y141" i="56"/>
  <c r="V141" i="56"/>
  <c r="P141" i="56"/>
  <c r="AB209" i="56"/>
  <c r="Y209" i="56"/>
  <c r="V209" i="56"/>
  <c r="P209" i="56"/>
  <c r="AB139" i="56"/>
  <c r="AP139" i="56" s="1"/>
  <c r="BD139" i="56" s="1"/>
  <c r="Y139" i="56"/>
  <c r="AM139" i="56" s="1"/>
  <c r="V139" i="56"/>
  <c r="AJ139" i="56" s="1"/>
  <c r="AX139" i="56" s="1"/>
  <c r="P139" i="56"/>
  <c r="AB60" i="56"/>
  <c r="Y60" i="56"/>
  <c r="V60" i="56"/>
  <c r="P60" i="56"/>
  <c r="AB59" i="56"/>
  <c r="Y59" i="56"/>
  <c r="V59" i="56"/>
  <c r="P59" i="56"/>
  <c r="Y203" i="56"/>
  <c r="V203" i="56"/>
  <c r="P203" i="56"/>
  <c r="AB134" i="56"/>
  <c r="Y134" i="56"/>
  <c r="V134" i="56"/>
  <c r="P134" i="56"/>
  <c r="AB58" i="56"/>
  <c r="Y58" i="56"/>
  <c r="V58" i="56"/>
  <c r="P58" i="56"/>
  <c r="AB132" i="56"/>
  <c r="Y132" i="56"/>
  <c r="V132" i="56"/>
  <c r="P132" i="56"/>
  <c r="AG57" i="56"/>
  <c r="AB57" i="56"/>
  <c r="Y57" i="56"/>
  <c r="V57" i="56"/>
  <c r="P57" i="56"/>
  <c r="AB296" i="56"/>
  <c r="Y296" i="56"/>
  <c r="V296" i="56"/>
  <c r="P296" i="56"/>
  <c r="AB56" i="56"/>
  <c r="Y56" i="56"/>
  <c r="V56" i="56"/>
  <c r="P56" i="56"/>
  <c r="AG55" i="56"/>
  <c r="Y55" i="56"/>
  <c r="V55" i="56"/>
  <c r="AB232" i="56"/>
  <c r="Y232" i="56"/>
  <c r="V232" i="56"/>
  <c r="P232" i="56"/>
  <c r="AB54" i="56"/>
  <c r="Y54" i="56"/>
  <c r="V54" i="56"/>
  <c r="P54" i="56"/>
  <c r="Y205" i="56"/>
  <c r="V205" i="56"/>
  <c r="P205" i="56"/>
  <c r="AB53" i="56"/>
  <c r="Y53" i="56"/>
  <c r="V53" i="56"/>
  <c r="P53" i="56"/>
  <c r="AB51" i="56"/>
  <c r="Y51" i="56"/>
  <c r="V51" i="56"/>
  <c r="Y122" i="56"/>
  <c r="V122" i="56"/>
  <c r="P122" i="56"/>
  <c r="AB49" i="56"/>
  <c r="Y49" i="56"/>
  <c r="V49" i="56"/>
  <c r="P49" i="56"/>
  <c r="AG48" i="56"/>
  <c r="AU120" i="56" s="1"/>
  <c r="AB48" i="56"/>
  <c r="Y48" i="56"/>
  <c r="V48" i="56"/>
  <c r="P48" i="56"/>
  <c r="AB119" i="56"/>
  <c r="Y119" i="56"/>
  <c r="V119" i="56"/>
  <c r="P119" i="56"/>
  <c r="AB216" i="56"/>
  <c r="Y216" i="56"/>
  <c r="V216" i="56"/>
  <c r="P216" i="56"/>
  <c r="AB192" i="56"/>
  <c r="Y192" i="56"/>
  <c r="V192" i="56"/>
  <c r="P192" i="56"/>
  <c r="AG116" i="56"/>
  <c r="Y116" i="56"/>
  <c r="V116" i="56"/>
  <c r="P116" i="56"/>
  <c r="AB45" i="56"/>
  <c r="Y45" i="56"/>
  <c r="V45" i="56"/>
  <c r="AB114" i="56"/>
  <c r="Y114" i="56"/>
  <c r="V114" i="56"/>
  <c r="P114" i="56"/>
  <c r="Y113" i="56"/>
  <c r="AM113" i="56" s="1"/>
  <c r="V113" i="56"/>
  <c r="AJ113" i="56" s="1"/>
  <c r="AX113" i="56" s="1"/>
  <c r="P113" i="56"/>
  <c r="AB109" i="56"/>
  <c r="Y109" i="56"/>
  <c r="V109" i="56"/>
  <c r="P109" i="56"/>
  <c r="Y108" i="56"/>
  <c r="V108" i="56"/>
  <c r="P108" i="56"/>
  <c r="AB43" i="56"/>
  <c r="Y43" i="56"/>
  <c r="V43" i="56"/>
  <c r="P43" i="56"/>
  <c r="AB106" i="56"/>
  <c r="Y106" i="56"/>
  <c r="V106" i="56"/>
  <c r="P106" i="56"/>
  <c r="AG247" i="56"/>
  <c r="AU105" i="56" s="1"/>
  <c r="AB247" i="56"/>
  <c r="Y247" i="56"/>
  <c r="V247" i="56"/>
  <c r="P247" i="56"/>
  <c r="AB104" i="56"/>
  <c r="Y104" i="56"/>
  <c r="V104" i="56"/>
  <c r="P104" i="56"/>
  <c r="AG103" i="56"/>
  <c r="AU103" i="56" s="1"/>
  <c r="AB103" i="56"/>
  <c r="Y103" i="56"/>
  <c r="V103" i="56"/>
  <c r="P103" i="56"/>
  <c r="Y176" i="56"/>
  <c r="V176" i="56"/>
  <c r="P176" i="56"/>
  <c r="AG42" i="56"/>
  <c r="AB42" i="56"/>
  <c r="Y42" i="56"/>
  <c r="V42" i="56"/>
  <c r="P42" i="56"/>
  <c r="Y100" i="56"/>
  <c r="V100" i="56"/>
  <c r="P100" i="56"/>
  <c r="AB295" i="56"/>
  <c r="Y295" i="56"/>
  <c r="V295" i="56"/>
  <c r="P295" i="56"/>
  <c r="AB303" i="56"/>
  <c r="AP303" i="56" s="1"/>
  <c r="Y303" i="56"/>
  <c r="AM303" i="56" s="1"/>
  <c r="V303" i="56"/>
  <c r="P303" i="56"/>
  <c r="AB41" i="56"/>
  <c r="Y41" i="56"/>
  <c r="V41" i="56"/>
  <c r="P41" i="56"/>
  <c r="AG174" i="56"/>
  <c r="Y174" i="56"/>
  <c r="V174" i="56"/>
  <c r="P174" i="56"/>
  <c r="AG40" i="56"/>
  <c r="AB40" i="56"/>
  <c r="Y40" i="56"/>
  <c r="V40" i="56"/>
  <c r="P40" i="56"/>
  <c r="AB94" i="56"/>
  <c r="Y94" i="56"/>
  <c r="V94" i="56"/>
  <c r="P94" i="56"/>
  <c r="AG93" i="56"/>
  <c r="AU93" i="56" s="1"/>
  <c r="AB93" i="56"/>
  <c r="Y93" i="56"/>
  <c r="V93" i="56"/>
  <c r="P93" i="56"/>
  <c r="AB214" i="56"/>
  <c r="Y214" i="56"/>
  <c r="V214" i="56"/>
  <c r="P214" i="56"/>
  <c r="AB91" i="56"/>
  <c r="Y91" i="56"/>
  <c r="V91" i="56"/>
  <c r="P91" i="56"/>
  <c r="Y39" i="56"/>
  <c r="V39" i="56"/>
  <c r="P39" i="56"/>
  <c r="AG168" i="56"/>
  <c r="AU89" i="56" s="1"/>
  <c r="AB168" i="56"/>
  <c r="Y168" i="56"/>
  <c r="V168" i="56"/>
  <c r="P168" i="56"/>
  <c r="Y38" i="56"/>
  <c r="V38" i="56"/>
  <c r="P38" i="56"/>
  <c r="AB37" i="56"/>
  <c r="Y37" i="56"/>
  <c r="V37" i="56"/>
  <c r="P37" i="56"/>
  <c r="AB234" i="56"/>
  <c r="Y234" i="56"/>
  <c r="V234" i="56"/>
  <c r="P234" i="56"/>
  <c r="AB36" i="56"/>
  <c r="Y36" i="56"/>
  <c r="V36" i="56"/>
  <c r="P36" i="56"/>
  <c r="AB35" i="56"/>
  <c r="Y35" i="56"/>
  <c r="V35" i="56"/>
  <c r="P35" i="56"/>
  <c r="AB83" i="56"/>
  <c r="Y83" i="56"/>
  <c r="V83" i="56"/>
  <c r="P83" i="56"/>
  <c r="AB302" i="56"/>
  <c r="AP302" i="56" s="1"/>
  <c r="Y302" i="56"/>
  <c r="AM302" i="56" s="1"/>
  <c r="V302" i="56"/>
  <c r="P302" i="56"/>
  <c r="AG81" i="56"/>
  <c r="AU81" i="56" s="1"/>
  <c r="AB81" i="56"/>
  <c r="Y81" i="56"/>
  <c r="V81" i="56"/>
  <c r="P81" i="56"/>
  <c r="AG267" i="56"/>
  <c r="AB267" i="56"/>
  <c r="Y267" i="56"/>
  <c r="V267" i="56"/>
  <c r="P267" i="56"/>
  <c r="AB185" i="56"/>
  <c r="Y185" i="56"/>
  <c r="V185" i="56"/>
  <c r="P185" i="56"/>
  <c r="AB181" i="56"/>
  <c r="AP181" i="56" s="1"/>
  <c r="Y181" i="56"/>
  <c r="V181" i="56"/>
  <c r="P181" i="56"/>
  <c r="AG77" i="56"/>
  <c r="AU77" i="56" s="1"/>
  <c r="AB77" i="56"/>
  <c r="Y77" i="56"/>
  <c r="V77" i="56"/>
  <c r="P77" i="56"/>
  <c r="AB34" i="56"/>
  <c r="Y34" i="56"/>
  <c r="AM34" i="56" s="1"/>
  <c r="V34" i="56"/>
  <c r="P34" i="56"/>
  <c r="AB32" i="56"/>
  <c r="Y32" i="56"/>
  <c r="V32" i="56"/>
  <c r="P32" i="56"/>
  <c r="AB74" i="56"/>
  <c r="Y74" i="56"/>
  <c r="V74" i="56"/>
  <c r="P74" i="56"/>
  <c r="Y31" i="56"/>
  <c r="V31" i="56"/>
  <c r="P31" i="56"/>
  <c r="AG235" i="56"/>
  <c r="AB235" i="56"/>
  <c r="Y235" i="56"/>
  <c r="V235" i="56"/>
  <c r="P235" i="56"/>
  <c r="AB224" i="56"/>
  <c r="Y224" i="56"/>
  <c r="V224" i="56"/>
  <c r="P224" i="56"/>
  <c r="AB30" i="56"/>
  <c r="Y30" i="56"/>
  <c r="V30" i="56"/>
  <c r="P30" i="56"/>
  <c r="AG230" i="56"/>
  <c r="AB230" i="56"/>
  <c r="Y230" i="56"/>
  <c r="V230" i="56"/>
  <c r="P230" i="56"/>
  <c r="AB220" i="56"/>
  <c r="Y220" i="56"/>
  <c r="V220" i="56"/>
  <c r="P220" i="56"/>
  <c r="AB67" i="56"/>
  <c r="Y67" i="56"/>
  <c r="V67" i="56"/>
  <c r="P67" i="56"/>
  <c r="AB217" i="56"/>
  <c r="Y217" i="56"/>
  <c r="V217" i="56"/>
  <c r="P217" i="56"/>
  <c r="AG65" i="56"/>
  <c r="AU65" i="56" s="1"/>
  <c r="AB65" i="56"/>
  <c r="Y65" i="56"/>
  <c r="V65" i="56"/>
  <c r="P65" i="56"/>
  <c r="AB269" i="56"/>
  <c r="Y269" i="56"/>
  <c r="V269" i="56"/>
  <c r="P269" i="56"/>
  <c r="AB63" i="56"/>
  <c r="Y63" i="56"/>
  <c r="V63" i="56"/>
  <c r="P63" i="56"/>
  <c r="AB62" i="56"/>
  <c r="Y62" i="56"/>
  <c r="V62" i="56"/>
  <c r="P62" i="56"/>
  <c r="AB163" i="56"/>
  <c r="Y163" i="56"/>
  <c r="V163" i="56"/>
  <c r="P163" i="56"/>
  <c r="AB27" i="56"/>
  <c r="Y27" i="56"/>
  <c r="V27" i="56"/>
  <c r="P27" i="56"/>
  <c r="AB301" i="56"/>
  <c r="Y301" i="56"/>
  <c r="V301" i="56"/>
  <c r="P301" i="56"/>
  <c r="AB26" i="56"/>
  <c r="Y26" i="56"/>
  <c r="V26" i="56"/>
  <c r="P26" i="56"/>
  <c r="AG25" i="56"/>
  <c r="AB25" i="56"/>
  <c r="Y25" i="56"/>
  <c r="V25" i="56"/>
  <c r="P25" i="56"/>
  <c r="AG252" i="56"/>
  <c r="AU56" i="56" s="1"/>
  <c r="AB252" i="56"/>
  <c r="Y252" i="56"/>
  <c r="V252" i="56"/>
  <c r="P252" i="56"/>
  <c r="AB280" i="56"/>
  <c r="Y280" i="56"/>
  <c r="V280" i="56"/>
  <c r="P280" i="56"/>
  <c r="AB24" i="56"/>
  <c r="Y24" i="56"/>
  <c r="V24" i="56"/>
  <c r="P24" i="56"/>
  <c r="AG23" i="56"/>
  <c r="AB23" i="56"/>
  <c r="Y23" i="56"/>
  <c r="V23" i="56"/>
  <c r="P23" i="56"/>
  <c r="AB52" i="56"/>
  <c r="Y52" i="56"/>
  <c r="V52" i="56"/>
  <c r="P52" i="56"/>
  <c r="AB22" i="56"/>
  <c r="Y22" i="56"/>
  <c r="V22" i="56"/>
  <c r="P22" i="56"/>
  <c r="AB50" i="56"/>
  <c r="Y50" i="56"/>
  <c r="V50" i="56"/>
  <c r="P50" i="56"/>
  <c r="AB21" i="56"/>
  <c r="Y21" i="56"/>
  <c r="V21" i="56"/>
  <c r="P21" i="56"/>
  <c r="AG173" i="56"/>
  <c r="AB173" i="56"/>
  <c r="Y173" i="56"/>
  <c r="V173" i="56"/>
  <c r="P173" i="56"/>
  <c r="AB47" i="56"/>
  <c r="Y47" i="56"/>
  <c r="V47" i="56"/>
  <c r="P47" i="56"/>
  <c r="AB46" i="56"/>
  <c r="Y46" i="56"/>
  <c r="V46" i="56"/>
  <c r="P46" i="56"/>
  <c r="AG211" i="56"/>
  <c r="AB211" i="56"/>
  <c r="Y211" i="56"/>
  <c r="V211" i="56"/>
  <c r="P211" i="56"/>
  <c r="AB44" i="56"/>
  <c r="Y44" i="56"/>
  <c r="V44" i="56"/>
  <c r="P44" i="56"/>
  <c r="AB222" i="56"/>
  <c r="Y222" i="56"/>
  <c r="V222" i="56"/>
  <c r="P222" i="56"/>
  <c r="AB20" i="56"/>
  <c r="Y20" i="56"/>
  <c r="V20" i="56"/>
  <c r="P20" i="56"/>
  <c r="AG19" i="56"/>
  <c r="AB19" i="56"/>
  <c r="Y19" i="56"/>
  <c r="V19" i="56"/>
  <c r="P19" i="56"/>
  <c r="AB17" i="56"/>
  <c r="Y17" i="56"/>
  <c r="V17" i="56"/>
  <c r="P17" i="56"/>
  <c r="AB157" i="56"/>
  <c r="Y157" i="56"/>
  <c r="V157" i="56"/>
  <c r="P157" i="56"/>
  <c r="AB248" i="56"/>
  <c r="Y248" i="56"/>
  <c r="V248" i="56"/>
  <c r="P248" i="56"/>
  <c r="AB15" i="56"/>
  <c r="Y15" i="56"/>
  <c r="V15" i="56"/>
  <c r="AJ15" i="56" s="1"/>
  <c r="P15" i="56"/>
  <c r="AB263" i="56"/>
  <c r="Y263" i="56"/>
  <c r="V263" i="56"/>
  <c r="P263" i="56"/>
  <c r="AB257" i="56"/>
  <c r="Y257" i="56"/>
  <c r="V257" i="56"/>
  <c r="P257" i="56"/>
  <c r="AB152" i="56"/>
  <c r="Y152" i="56"/>
  <c r="V152" i="56"/>
  <c r="AJ152" i="56" s="1"/>
  <c r="P152" i="56"/>
  <c r="AG33" i="56"/>
  <c r="AU33" i="56" s="1"/>
  <c r="AB33" i="56"/>
  <c r="Y33" i="56"/>
  <c r="V33" i="56"/>
  <c r="P33" i="56"/>
  <c r="AG194" i="56"/>
  <c r="AU31" i="56" s="1"/>
  <c r="AB194" i="56"/>
  <c r="Y194" i="56"/>
  <c r="V194" i="56"/>
  <c r="P194" i="56"/>
  <c r="AB14" i="56"/>
  <c r="Y14" i="56"/>
  <c r="V14" i="56"/>
  <c r="AJ14" i="56" s="1"/>
  <c r="P14" i="56"/>
  <c r="AB29" i="56"/>
  <c r="Y29" i="56"/>
  <c r="V29" i="56"/>
  <c r="P29" i="56"/>
  <c r="AG28" i="56"/>
  <c r="AU28" i="56" s="1"/>
  <c r="AB28" i="56"/>
  <c r="Y28" i="56"/>
  <c r="V28" i="56"/>
  <c r="P28" i="56"/>
  <c r="AB13" i="56"/>
  <c r="Y13" i="56"/>
  <c r="V13" i="56"/>
  <c r="AJ13" i="56" s="1"/>
  <c r="P13" i="56"/>
  <c r="AB258" i="56"/>
  <c r="Y258" i="56"/>
  <c r="V258" i="56"/>
  <c r="P258" i="56"/>
  <c r="AB12" i="56"/>
  <c r="Y12" i="56"/>
  <c r="V12" i="56"/>
  <c r="P12" i="56"/>
  <c r="AB146" i="56"/>
  <c r="Y146" i="56"/>
  <c r="V146" i="56"/>
  <c r="AJ146" i="56" s="1"/>
  <c r="P146" i="56"/>
  <c r="AG189" i="56"/>
  <c r="AB189" i="56"/>
  <c r="Y189" i="56"/>
  <c r="V189" i="56"/>
  <c r="P189" i="56"/>
  <c r="AB246" i="56"/>
  <c r="Y246" i="56"/>
  <c r="V246" i="56"/>
  <c r="P246" i="56"/>
  <c r="AB147" i="56"/>
  <c r="Y147" i="56"/>
  <c r="V147" i="56"/>
  <c r="AJ147" i="56" s="1"/>
  <c r="P147" i="56"/>
  <c r="AG11" i="56"/>
  <c r="AB11" i="56"/>
  <c r="Y11" i="56"/>
  <c r="V11" i="56"/>
  <c r="P11" i="56"/>
  <c r="AB10" i="56"/>
  <c r="Y10" i="56"/>
  <c r="V10" i="56"/>
  <c r="P10" i="56"/>
  <c r="AB18" i="56"/>
  <c r="Y18" i="56"/>
  <c r="V18" i="56"/>
  <c r="AJ18" i="56" s="1"/>
  <c r="AX18" i="56" s="1"/>
  <c r="P18" i="56"/>
  <c r="AB225" i="56"/>
  <c r="Y225" i="56"/>
  <c r="V225" i="56"/>
  <c r="P225" i="56"/>
  <c r="AU16" i="56"/>
  <c r="AB16" i="56"/>
  <c r="Y16" i="56"/>
  <c r="AM16" i="56" s="1"/>
  <c r="V16" i="56"/>
  <c r="AJ16" i="56" s="1"/>
  <c r="P16" i="56"/>
  <c r="AB288" i="56"/>
  <c r="Y288" i="56"/>
  <c r="V288" i="56"/>
  <c r="AJ288" i="56" s="1"/>
  <c r="P288" i="56"/>
  <c r="AB210" i="56"/>
  <c r="Y210" i="56"/>
  <c r="V210" i="56"/>
  <c r="P210" i="56"/>
  <c r="AB240" i="56"/>
  <c r="Y240" i="56"/>
  <c r="V240" i="56"/>
  <c r="P240" i="56"/>
  <c r="AB154" i="56"/>
  <c r="Y154" i="56"/>
  <c r="V154" i="56"/>
  <c r="P154" i="56"/>
  <c r="AB287" i="56"/>
  <c r="Y287" i="56"/>
  <c r="V287" i="56"/>
  <c r="P287" i="56"/>
  <c r="AB160" i="56"/>
  <c r="Y160" i="56"/>
  <c r="V160" i="56"/>
  <c r="P160" i="56"/>
  <c r="AB9" i="56"/>
  <c r="Y9" i="56"/>
  <c r="V9" i="56"/>
  <c r="P9" i="56"/>
  <c r="AG8" i="56"/>
  <c r="AU8" i="56" s="1"/>
  <c r="AB8" i="56"/>
  <c r="Y8" i="56"/>
  <c r="AM8" i="56" s="1"/>
  <c r="V8" i="56"/>
  <c r="P8" i="56"/>
  <c r="AG7" i="56"/>
  <c r="AU7" i="56" s="1"/>
  <c r="AB7" i="56"/>
  <c r="Y7" i="56"/>
  <c r="V7" i="56"/>
  <c r="P7" i="56"/>
  <c r="AG6" i="56"/>
  <c r="AU6" i="56" s="1"/>
  <c r="AB6" i="56"/>
  <c r="Y6" i="56"/>
  <c r="V6" i="56"/>
  <c r="P6" i="56"/>
  <c r="AB5" i="56"/>
  <c r="Y5" i="56"/>
  <c r="V5" i="56"/>
  <c r="I319" i="45"/>
  <c r="N319" i="45"/>
  <c r="O319" i="45"/>
  <c r="S319" i="45"/>
  <c r="X319" i="45"/>
  <c r="AU306" i="56" l="1"/>
  <c r="AU41" i="56"/>
  <c r="AU248" i="56"/>
  <c r="AU69" i="56"/>
  <c r="AU95" i="56"/>
  <c r="AU271" i="56"/>
  <c r="AU285" i="56"/>
  <c r="AU232" i="56"/>
  <c r="AU53" i="56"/>
  <c r="AU291" i="56"/>
  <c r="AU146" i="56"/>
  <c r="AU45" i="56"/>
  <c r="AU288" i="56"/>
  <c r="AU240" i="56"/>
  <c r="AU131" i="56"/>
  <c r="AU154" i="56"/>
  <c r="AU79" i="56"/>
  <c r="AU30" i="56"/>
  <c r="AU145" i="56"/>
  <c r="AU157" i="56"/>
  <c r="AU276" i="56"/>
  <c r="AU163" i="56"/>
  <c r="AU59" i="56"/>
  <c r="AU128" i="56"/>
  <c r="AU190" i="56"/>
  <c r="AU14" i="56"/>
  <c r="AU269" i="56"/>
  <c r="AU142" i="56"/>
  <c r="AU17" i="56"/>
  <c r="AU48" i="56"/>
  <c r="AU72" i="56"/>
  <c r="AU143" i="56"/>
  <c r="AU118" i="56"/>
  <c r="AU107" i="56"/>
  <c r="AU51" i="56"/>
  <c r="AU71" i="56"/>
  <c r="AU213" i="56"/>
  <c r="AU258" i="56"/>
  <c r="AU66" i="56"/>
  <c r="AU117" i="56"/>
  <c r="AU42" i="56"/>
  <c r="AU58" i="56"/>
  <c r="AU80" i="56"/>
  <c r="AU303" i="56"/>
  <c r="AU165" i="56"/>
  <c r="AU299" i="56"/>
  <c r="AD10" i="56"/>
  <c r="AU304" i="56"/>
  <c r="AU176" i="56"/>
  <c r="AU292" i="56"/>
  <c r="AU284" i="56"/>
  <c r="AU57" i="56"/>
  <c r="AU205" i="56"/>
  <c r="AU244" i="56"/>
  <c r="AU296" i="56"/>
  <c r="AU280" i="56"/>
  <c r="AU272" i="56"/>
  <c r="AU224" i="56"/>
  <c r="AU216" i="56"/>
  <c r="AU168" i="56"/>
  <c r="AU160" i="56"/>
  <c r="AU152" i="56"/>
  <c r="AU144" i="56"/>
  <c r="AU135" i="56"/>
  <c r="AU127" i="56"/>
  <c r="AU92" i="56"/>
  <c r="AU84" i="56"/>
  <c r="AU76" i="56"/>
  <c r="AU68" i="56"/>
  <c r="AU60" i="56"/>
  <c r="AU36" i="56"/>
  <c r="AU19" i="56"/>
  <c r="AU11" i="56"/>
  <c r="AU209" i="56"/>
  <c r="AU191" i="56"/>
  <c r="AU183" i="56"/>
  <c r="AD7" i="56"/>
  <c r="AG5" i="56"/>
  <c r="AU5" i="56" s="1"/>
  <c r="AD5" i="56"/>
  <c r="AU300" i="56"/>
  <c r="AD6" i="56"/>
  <c r="BA239" i="56"/>
  <c r="BA113" i="56"/>
  <c r="BA139" i="56"/>
  <c r="AU22" i="56"/>
  <c r="AU278" i="56"/>
  <c r="AU192" i="56"/>
  <c r="AU230" i="56"/>
  <c r="AU207" i="56"/>
  <c r="AU283" i="56"/>
  <c r="AU227" i="56"/>
  <c r="AU208" i="56"/>
  <c r="AU287" i="56"/>
  <c r="AU263" i="56"/>
  <c r="AU247" i="56"/>
  <c r="AU223" i="56"/>
  <c r="AU199" i="56"/>
  <c r="AU126" i="56"/>
  <c r="AU99" i="56"/>
  <c r="AU75" i="56"/>
  <c r="AU32" i="56"/>
  <c r="AU26" i="56"/>
  <c r="AU43" i="56"/>
  <c r="AX152" i="56"/>
  <c r="AU155" i="56"/>
  <c r="AU177" i="56"/>
  <c r="AU302" i="56"/>
  <c r="AU286" i="56"/>
  <c r="AU246" i="56"/>
  <c r="AU222" i="56"/>
  <c r="AU112" i="56"/>
  <c r="AU206" i="56"/>
  <c r="AU198" i="56"/>
  <c r="AU182" i="56"/>
  <c r="AU174" i="56"/>
  <c r="AU150" i="56"/>
  <c r="AU125" i="56"/>
  <c r="AU98" i="56"/>
  <c r="AU25" i="56"/>
  <c r="AU27" i="56"/>
  <c r="AX15" i="56"/>
  <c r="AU96" i="56"/>
  <c r="AU301" i="56"/>
  <c r="AU293" i="56"/>
  <c r="AU277" i="56"/>
  <c r="AU245" i="56"/>
  <c r="AU221" i="56"/>
  <c r="AU173" i="56"/>
  <c r="AU149" i="56"/>
  <c r="AU124" i="56"/>
  <c r="AU97" i="56"/>
  <c r="AU73" i="56"/>
  <c r="AU49" i="56"/>
  <c r="AU24" i="56"/>
  <c r="AU189" i="56"/>
  <c r="AU225" i="56"/>
  <c r="AU252" i="56"/>
  <c r="AU204" i="56"/>
  <c r="AU188" i="56"/>
  <c r="AU148" i="56"/>
  <c r="AU123" i="56"/>
  <c r="AU88" i="56"/>
  <c r="AU64" i="56"/>
  <c r="AU40" i="56"/>
  <c r="AU15" i="56"/>
  <c r="AU82" i="56"/>
  <c r="AU214" i="56"/>
  <c r="AX276" i="56"/>
  <c r="AU267" i="56"/>
  <c r="AU235" i="56"/>
  <c r="AU219" i="56"/>
  <c r="AU110" i="56"/>
  <c r="AU211" i="56"/>
  <c r="AU203" i="56"/>
  <c r="AU179" i="56"/>
  <c r="AU171" i="56"/>
  <c r="AU87" i="56"/>
  <c r="AU39" i="56"/>
  <c r="AU130" i="56"/>
  <c r="AU159" i="56"/>
  <c r="AU20" i="56"/>
  <c r="AU35" i="56"/>
  <c r="AU298" i="56"/>
  <c r="AU138" i="56"/>
  <c r="AU218" i="56"/>
  <c r="AU210" i="56"/>
  <c r="AU194" i="56"/>
  <c r="AU162" i="56"/>
  <c r="AU137" i="56"/>
  <c r="AU129" i="56"/>
  <c r="AU121" i="56"/>
  <c r="AU102" i="56"/>
  <c r="AU86" i="56"/>
  <c r="AU78" i="56"/>
  <c r="AU70" i="56"/>
  <c r="AU54" i="56"/>
  <c r="AU38" i="56"/>
  <c r="AU21" i="56"/>
  <c r="AU13" i="56"/>
  <c r="AU55" i="56"/>
  <c r="AU23" i="56"/>
  <c r="AU10" i="56"/>
  <c r="AU90" i="56"/>
  <c r="AU101" i="56"/>
  <c r="AU133" i="56"/>
  <c r="AU220" i="56"/>
  <c r="AU111" i="56"/>
  <c r="AU257" i="56"/>
  <c r="AU241" i="56"/>
  <c r="AU233" i="56"/>
  <c r="AU217" i="56"/>
  <c r="AU193" i="56"/>
  <c r="AU185" i="56"/>
  <c r="AU169" i="56"/>
  <c r="AU136" i="56"/>
  <c r="AU85" i="56"/>
  <c r="AU61" i="56"/>
  <c r="AU37" i="56"/>
  <c r="AU12" i="56"/>
  <c r="AU114" i="56"/>
  <c r="AU140" i="56"/>
  <c r="AU115" i="56"/>
  <c r="AU34" i="56"/>
  <c r="AU116" i="56"/>
  <c r="AP60" i="56"/>
  <c r="AM264" i="56"/>
  <c r="AM296" i="56"/>
  <c r="AP142" i="56"/>
  <c r="AP59" i="56"/>
  <c r="AP104" i="56"/>
  <c r="BD104" i="56" s="1"/>
  <c r="AM233" i="56"/>
  <c r="AM278" i="56"/>
  <c r="AM53" i="56"/>
  <c r="AM45" i="56"/>
  <c r="AM276" i="56"/>
  <c r="AM93" i="56"/>
  <c r="AM217" i="56"/>
  <c r="AM127" i="56"/>
  <c r="AM96" i="56"/>
  <c r="AM98" i="56"/>
  <c r="AM311" i="56"/>
  <c r="AP263" i="56"/>
  <c r="AP271" i="56"/>
  <c r="AM121" i="56"/>
  <c r="AP133" i="56"/>
  <c r="AP227" i="56"/>
  <c r="BD306" i="56" s="1"/>
  <c r="AM195" i="56"/>
  <c r="AM101" i="56"/>
  <c r="AM235" i="56"/>
  <c r="AP81" i="56"/>
  <c r="BD81" i="56" s="1"/>
  <c r="AM58" i="56"/>
  <c r="AP95" i="56"/>
  <c r="AP130" i="56"/>
  <c r="AP68" i="56"/>
  <c r="AM79" i="56"/>
  <c r="AP273" i="56"/>
  <c r="BD273" i="56" s="1"/>
  <c r="AM305" i="56"/>
  <c r="AP159" i="56"/>
  <c r="AM189" i="56"/>
  <c r="AP32" i="56"/>
  <c r="AP141" i="56"/>
  <c r="BD141" i="56" s="1"/>
  <c r="AM115" i="56"/>
  <c r="AD254" i="56"/>
  <c r="AD236" i="56"/>
  <c r="AD139" i="56"/>
  <c r="AR139" i="56" s="1"/>
  <c r="AP270" i="56"/>
  <c r="BD270" i="56" s="1"/>
  <c r="AP196" i="56"/>
  <c r="BD196" i="56" s="1"/>
  <c r="AM165" i="56"/>
  <c r="AM201" i="56"/>
  <c r="AP110" i="56"/>
  <c r="AP182" i="56"/>
  <c r="AM42" i="56"/>
  <c r="AP64" i="56"/>
  <c r="AM158" i="56"/>
  <c r="AP80" i="56"/>
  <c r="AM272" i="56"/>
  <c r="AP170" i="56"/>
  <c r="BD170" i="56" s="1"/>
  <c r="AP184" i="56"/>
  <c r="BD184" i="56" s="1"/>
  <c r="AP88" i="56"/>
  <c r="AM243" i="56"/>
  <c r="AP150" i="56"/>
  <c r="AM204" i="56"/>
  <c r="AM236" i="56"/>
  <c r="AP162" i="56"/>
  <c r="BD303" i="56" s="1"/>
  <c r="AM207" i="56"/>
  <c r="AP124" i="56"/>
  <c r="AM87" i="56"/>
  <c r="AP251" i="56"/>
  <c r="BD251" i="56" s="1"/>
  <c r="AD13" i="56"/>
  <c r="AM230" i="56"/>
  <c r="AM176" i="56"/>
  <c r="AP43" i="56"/>
  <c r="AP216" i="56"/>
  <c r="AP286" i="56"/>
  <c r="AP229" i="56"/>
  <c r="BD229" i="56" s="1"/>
  <c r="AJ6" i="56"/>
  <c r="AX6" i="56" s="1"/>
  <c r="AM63" i="56"/>
  <c r="AJ9" i="56"/>
  <c r="AX9" i="56" s="1"/>
  <c r="AJ154" i="56"/>
  <c r="AJ5" i="56"/>
  <c r="AX5" i="56" s="1"/>
  <c r="AM22" i="56"/>
  <c r="AM24" i="56"/>
  <c r="AM25" i="56"/>
  <c r="AM27" i="56"/>
  <c r="AM55" i="56"/>
  <c r="AM57" i="56"/>
  <c r="AM134" i="56"/>
  <c r="AD183" i="56"/>
  <c r="AJ75" i="56"/>
  <c r="AJ172" i="56"/>
  <c r="AX172" i="56" s="1"/>
  <c r="AM175" i="56"/>
  <c r="AM178" i="56"/>
  <c r="AM186" i="56"/>
  <c r="AD188" i="56"/>
  <c r="AJ253" i="56"/>
  <c r="AX253" i="56" s="1"/>
  <c r="AJ256" i="56"/>
  <c r="AX256" i="56" s="1"/>
  <c r="AJ126" i="56"/>
  <c r="AM157" i="56"/>
  <c r="AM20" i="56"/>
  <c r="AM211" i="56"/>
  <c r="AM173" i="56"/>
  <c r="AP22" i="56"/>
  <c r="AP25" i="56"/>
  <c r="AD30" i="56"/>
  <c r="AJ192" i="56"/>
  <c r="AX192" i="56" s="1"/>
  <c r="AJ48" i="56"/>
  <c r="AP51" i="56"/>
  <c r="AJ205" i="56"/>
  <c r="AP57" i="56"/>
  <c r="AP134" i="56"/>
  <c r="BD134" i="56" s="1"/>
  <c r="AJ284" i="56"/>
  <c r="AJ166" i="56"/>
  <c r="AX166" i="56" s="1"/>
  <c r="AM75" i="56"/>
  <c r="AM172" i="56"/>
  <c r="AJ82" i="56"/>
  <c r="AM253" i="56"/>
  <c r="AM256" i="56"/>
  <c r="AJ123" i="56"/>
  <c r="AP261" i="56"/>
  <c r="BD261" i="56" s="1"/>
  <c r="AJ125" i="56"/>
  <c r="AP20" i="56"/>
  <c r="AJ277" i="56"/>
  <c r="AM250" i="56"/>
  <c r="AP253" i="56"/>
  <c r="BD253" i="56" s="1"/>
  <c r="AP256" i="56"/>
  <c r="BD256" i="56" s="1"/>
  <c r="AM123" i="56"/>
  <c r="AD262" i="56"/>
  <c r="AJ218" i="56"/>
  <c r="AX312" i="56" s="1"/>
  <c r="AP315" i="56"/>
  <c r="BD315" i="56" s="1"/>
  <c r="AM263" i="56"/>
  <c r="AM48" i="56"/>
  <c r="AP209" i="56"/>
  <c r="AP171" i="56"/>
  <c r="AP66" i="56"/>
  <c r="AP69" i="56"/>
  <c r="AP99" i="56"/>
  <c r="AP102" i="56"/>
  <c r="AP105" i="56"/>
  <c r="AJ236" i="56"/>
  <c r="AX236" i="56" s="1"/>
  <c r="AJ239" i="56"/>
  <c r="AX239" i="56" s="1"/>
  <c r="AP242" i="56"/>
  <c r="BD242" i="56" s="1"/>
  <c r="AP291" i="56"/>
  <c r="AJ304" i="56"/>
  <c r="AP250" i="56"/>
  <c r="BD250" i="56" s="1"/>
  <c r="AD306" i="56"/>
  <c r="AR306" i="56" s="1"/>
  <c r="AM33" i="56"/>
  <c r="AM39" i="56"/>
  <c r="AD141" i="56"/>
  <c r="AD64" i="56"/>
  <c r="AD68" i="56"/>
  <c r="AM112" i="56"/>
  <c r="AD233" i="56"/>
  <c r="AD243" i="56"/>
  <c r="AD121" i="56"/>
  <c r="AJ137" i="56"/>
  <c r="AD276" i="56"/>
  <c r="AM258" i="56"/>
  <c r="AP211" i="56"/>
  <c r="AM192" i="56"/>
  <c r="AD17" i="56"/>
  <c r="AJ303" i="56"/>
  <c r="AJ103" i="56"/>
  <c r="AX103" i="56" s="1"/>
  <c r="AJ106" i="56"/>
  <c r="AX106" i="56" s="1"/>
  <c r="AM109" i="56"/>
  <c r="AP114" i="56"/>
  <c r="BD114" i="56" s="1"/>
  <c r="AP151" i="56"/>
  <c r="BD151" i="56" s="1"/>
  <c r="AP190" i="56"/>
  <c r="AP169" i="56"/>
  <c r="AM202" i="56"/>
  <c r="AJ98" i="56"/>
  <c r="AJ101" i="56"/>
  <c r="AJ204" i="56"/>
  <c r="AM110" i="56"/>
  <c r="AP112" i="56"/>
  <c r="AP115" i="56"/>
  <c r="AJ206" i="56"/>
  <c r="AJ117" i="56"/>
  <c r="AJ118" i="56"/>
  <c r="AM282" i="56"/>
  <c r="AM131" i="56"/>
  <c r="AM137" i="56"/>
  <c r="AP157" i="56"/>
  <c r="AM37" i="56"/>
  <c r="AM103" i="56"/>
  <c r="AM106" i="56"/>
  <c r="AP109" i="56"/>
  <c r="BD109" i="56" s="1"/>
  <c r="AM116" i="56"/>
  <c r="AJ203" i="56"/>
  <c r="AM61" i="56"/>
  <c r="AM155" i="56"/>
  <c r="AM183" i="56"/>
  <c r="AM206" i="56"/>
  <c r="AD289" i="56"/>
  <c r="AJ290" i="56"/>
  <c r="AX290" i="56" s="1"/>
  <c r="AP173" i="56"/>
  <c r="AD288" i="56"/>
  <c r="AJ52" i="56"/>
  <c r="AX52" i="56" s="1"/>
  <c r="AM35" i="56"/>
  <c r="AP232" i="56"/>
  <c r="AJ56" i="56"/>
  <c r="AJ132" i="56"/>
  <c r="AX132" i="56" s="1"/>
  <c r="AJ187" i="56"/>
  <c r="AX187" i="56" s="1"/>
  <c r="AJ199" i="56"/>
  <c r="AP188" i="56"/>
  <c r="AJ95" i="56"/>
  <c r="AJ150" i="56"/>
  <c r="AJ208" i="56"/>
  <c r="AJ262" i="56"/>
  <c r="AX262" i="56" s="1"/>
  <c r="AM29" i="56"/>
  <c r="AJ17" i="56"/>
  <c r="AJ222" i="56"/>
  <c r="AJ46" i="56"/>
  <c r="AX46" i="56" s="1"/>
  <c r="AJ21" i="56"/>
  <c r="AM299" i="56"/>
  <c r="AP191" i="56"/>
  <c r="AM95" i="56"/>
  <c r="AM150" i="56"/>
  <c r="AP101" i="56"/>
  <c r="AP204" i="56"/>
  <c r="AM117" i="56"/>
  <c r="AM118" i="56"/>
  <c r="AP236" i="56"/>
  <c r="BD236" i="56" s="1"/>
  <c r="AJ298" i="56"/>
  <c r="AJ120" i="56"/>
  <c r="AD177" i="56"/>
  <c r="AP289" i="56"/>
  <c r="BD289" i="56" s="1"/>
  <c r="AJ135" i="56"/>
  <c r="AP297" i="56"/>
  <c r="BD297" i="56" s="1"/>
  <c r="AJ144" i="56"/>
  <c r="AM210" i="56"/>
  <c r="AJ83" i="56"/>
  <c r="AX83" i="56" s="1"/>
  <c r="AJ234" i="56"/>
  <c r="AM168" i="56"/>
  <c r="AP214" i="56"/>
  <c r="AP40" i="56"/>
  <c r="AD104" i="56"/>
  <c r="AD43" i="56"/>
  <c r="AJ108" i="56"/>
  <c r="AX108" i="56" s="1"/>
  <c r="AM114" i="56"/>
  <c r="AD99" i="56"/>
  <c r="AD102" i="56"/>
  <c r="AD105" i="56"/>
  <c r="AJ107" i="56"/>
  <c r="AD259" i="56"/>
  <c r="AD270" i="56"/>
  <c r="AD273" i="56"/>
  <c r="AM182" i="56"/>
  <c r="AM130" i="56"/>
  <c r="AP293" i="56"/>
  <c r="AP148" i="56"/>
  <c r="AP294" i="56"/>
  <c r="BD294" i="56" s="1"/>
  <c r="AJ140" i="56"/>
  <c r="AM144" i="56"/>
  <c r="AP225" i="56"/>
  <c r="AP258" i="56"/>
  <c r="AP33" i="56"/>
  <c r="BD33" i="56" s="1"/>
  <c r="AJ176" i="56"/>
  <c r="AM108" i="56"/>
  <c r="AJ116" i="56"/>
  <c r="AX116" i="56" s="1"/>
  <c r="AM122" i="56"/>
  <c r="AJ186" i="56"/>
  <c r="AX186" i="56" s="1"/>
  <c r="AM274" i="56"/>
  <c r="AD278" i="56"/>
  <c r="AP135" i="56"/>
  <c r="AJ207" i="56"/>
  <c r="AM140" i="56"/>
  <c r="AJ315" i="56"/>
  <c r="AX315" i="56" s="1"/>
  <c r="AP210" i="56"/>
  <c r="AP189" i="56"/>
  <c r="AP29" i="56"/>
  <c r="BD29" i="56" s="1"/>
  <c r="AD21" i="56"/>
  <c r="AD280" i="56"/>
  <c r="AD26" i="56"/>
  <c r="AD163" i="56"/>
  <c r="AD67" i="56"/>
  <c r="AJ74" i="56"/>
  <c r="AX74" i="56" s="1"/>
  <c r="AJ77" i="56"/>
  <c r="AX77" i="56" s="1"/>
  <c r="AJ267" i="56"/>
  <c r="AP83" i="56"/>
  <c r="BD83" i="56" s="1"/>
  <c r="AP234" i="56"/>
  <c r="AJ91" i="56"/>
  <c r="AX91" i="56" s="1"/>
  <c r="AJ94" i="56"/>
  <c r="AX94" i="56" s="1"/>
  <c r="AM41" i="56"/>
  <c r="AM247" i="56"/>
  <c r="AM119" i="56"/>
  <c r="AJ232" i="56"/>
  <c r="AP296" i="56"/>
  <c r="AP58" i="56"/>
  <c r="AD60" i="56"/>
  <c r="AJ151" i="56"/>
  <c r="AX151" i="56" s="1"/>
  <c r="AJ190" i="56"/>
  <c r="AJ169" i="56"/>
  <c r="AM277" i="56"/>
  <c r="AM284" i="56"/>
  <c r="AM166" i="56"/>
  <c r="AP75" i="56"/>
  <c r="AP172" i="56"/>
  <c r="BD172" i="56" s="1"/>
  <c r="AP175" i="56"/>
  <c r="BD175" i="56" s="1"/>
  <c r="AP178" i="56"/>
  <c r="BD178" i="56" s="1"/>
  <c r="AD80" i="56"/>
  <c r="AD193" i="56"/>
  <c r="AM85" i="56"/>
  <c r="AD291" i="56"/>
  <c r="AJ265" i="56"/>
  <c r="AX265" i="56" s="1"/>
  <c r="AM268" i="56"/>
  <c r="AM213" i="56"/>
  <c r="AM223" i="56"/>
  <c r="AM11" i="56"/>
  <c r="AP287" i="56"/>
  <c r="AP11" i="56"/>
  <c r="AM287" i="56"/>
  <c r="AM225" i="56"/>
  <c r="AP160" i="56"/>
  <c r="AP246" i="56"/>
  <c r="AP28" i="56"/>
  <c r="BD28" i="56" s="1"/>
  <c r="AP257" i="56"/>
  <c r="BD257" i="56" s="1"/>
  <c r="AP19" i="56"/>
  <c r="AP47" i="56"/>
  <c r="BD47" i="56" s="1"/>
  <c r="AP23" i="56"/>
  <c r="AP301" i="56"/>
  <c r="AP65" i="56"/>
  <c r="BD65" i="56" s="1"/>
  <c r="AP220" i="56"/>
  <c r="BD68" i="56" s="1"/>
  <c r="AP224" i="56"/>
  <c r="AM36" i="56"/>
  <c r="AJ99" i="56"/>
  <c r="AJ102" i="56"/>
  <c r="AJ105" i="56"/>
  <c r="AM111" i="56"/>
  <c r="AM221" i="56"/>
  <c r="AP254" i="56"/>
  <c r="BD254" i="56" s="1"/>
  <c r="AJ259" i="56"/>
  <c r="AX259" i="56" s="1"/>
  <c r="AP262" i="56"/>
  <c r="BD262" i="56" s="1"/>
  <c r="AP128" i="56"/>
  <c r="AP279" i="56"/>
  <c r="BD279" i="56" s="1"/>
  <c r="AD148" i="56"/>
  <c r="AJ133" i="56"/>
  <c r="AD305" i="56"/>
  <c r="AJ227" i="56"/>
  <c r="AX306" i="56" s="1"/>
  <c r="AP218" i="56"/>
  <c r="BD312" i="56" s="1"/>
  <c r="AP8" i="56"/>
  <c r="BD8" i="56" s="1"/>
  <c r="AP7" i="56"/>
  <c r="BD7" i="56" s="1"/>
  <c r="AP240" i="56"/>
  <c r="AP10" i="56"/>
  <c r="AP12" i="56"/>
  <c r="AP194" i="56"/>
  <c r="AP248" i="56"/>
  <c r="AP44" i="56"/>
  <c r="BD44" i="56" s="1"/>
  <c r="AP50" i="56"/>
  <c r="BD50" i="56" s="1"/>
  <c r="AP252" i="56"/>
  <c r="AP62" i="56"/>
  <c r="BD62" i="56" s="1"/>
  <c r="AJ31" i="56"/>
  <c r="AJ39" i="56"/>
  <c r="AX90" i="56" s="1"/>
  <c r="AM174" i="56"/>
  <c r="AJ299" i="56"/>
  <c r="AP86" i="56"/>
  <c r="AP89" i="56"/>
  <c r="AP197" i="56"/>
  <c r="BD197" i="56" s="1"/>
  <c r="AP200" i="56"/>
  <c r="BD200" i="56" s="1"/>
  <c r="AJ228" i="56"/>
  <c r="AX228" i="56" s="1"/>
  <c r="AJ231" i="56"/>
  <c r="AX231" i="56" s="1"/>
  <c r="AM300" i="56"/>
  <c r="AM237" i="56"/>
  <c r="AP177" i="56"/>
  <c r="AJ264" i="56"/>
  <c r="AX264" i="56" s="1"/>
  <c r="AM124" i="56"/>
  <c r="AM270" i="56"/>
  <c r="AM273" i="56"/>
  <c r="AJ278" i="56"/>
  <c r="AM133" i="56"/>
  <c r="AJ162" i="56"/>
  <c r="AP309" i="56"/>
  <c r="BD309" i="56" s="1"/>
  <c r="AJ272" i="56"/>
  <c r="AX314" i="56" s="1"/>
  <c r="BA8" i="56"/>
  <c r="AJ280" i="56"/>
  <c r="AJ26" i="56"/>
  <c r="AJ163" i="56"/>
  <c r="AJ269" i="56"/>
  <c r="AJ67" i="56"/>
  <c r="AX67" i="56" s="1"/>
  <c r="AJ30" i="56"/>
  <c r="AX70" i="56" s="1"/>
  <c r="AM31" i="56"/>
  <c r="AM185" i="56"/>
  <c r="AP49" i="56"/>
  <c r="AJ51" i="56"/>
  <c r="AM54" i="56"/>
  <c r="AJ60" i="56"/>
  <c r="AJ141" i="56"/>
  <c r="AX141" i="56" s="1"/>
  <c r="AJ64" i="56"/>
  <c r="AJ68" i="56"/>
  <c r="AX147" i="56" s="1"/>
  <c r="AM153" i="56"/>
  <c r="AM156" i="56"/>
  <c r="AP219" i="56"/>
  <c r="AP285" i="56"/>
  <c r="AP72" i="56"/>
  <c r="AJ191" i="56"/>
  <c r="AJ80" i="56"/>
  <c r="AM84" i="56"/>
  <c r="AP193" i="56"/>
  <c r="AJ127" i="56"/>
  <c r="AJ129" i="56"/>
  <c r="AJ281" i="56"/>
  <c r="AX281" i="56" s="1"/>
  <c r="AJ311" i="56"/>
  <c r="AX311" i="56" s="1"/>
  <c r="AM46" i="56"/>
  <c r="AM21" i="56"/>
  <c r="AM52" i="56"/>
  <c r="AM280" i="56"/>
  <c r="AM26" i="56"/>
  <c r="AM163" i="56"/>
  <c r="AM269" i="56"/>
  <c r="AM67" i="56"/>
  <c r="AM30" i="56"/>
  <c r="AP34" i="56"/>
  <c r="AP185" i="56"/>
  <c r="AJ35" i="56"/>
  <c r="AJ37" i="56"/>
  <c r="AX87" i="56" s="1"/>
  <c r="AP93" i="56"/>
  <c r="BD93" i="56" s="1"/>
  <c r="AP42" i="56"/>
  <c r="AJ109" i="56"/>
  <c r="AX109" i="56" s="1"/>
  <c r="AP45" i="56"/>
  <c r="AM51" i="56"/>
  <c r="AP54" i="56"/>
  <c r="AJ57" i="56"/>
  <c r="AJ134" i="56"/>
  <c r="AX134" i="56" s="1"/>
  <c r="AM60" i="56"/>
  <c r="AM141" i="56"/>
  <c r="AM64" i="56"/>
  <c r="AM68" i="56"/>
  <c r="AJ167" i="56"/>
  <c r="AX167" i="56" s="1"/>
  <c r="AJ170" i="56"/>
  <c r="AX170" i="56" s="1"/>
  <c r="AJ271" i="56"/>
  <c r="AJ286" i="56"/>
  <c r="AJ88" i="56"/>
  <c r="AJ196" i="56"/>
  <c r="AX196" i="56" s="1"/>
  <c r="AJ188" i="56"/>
  <c r="AP228" i="56"/>
  <c r="BD228" i="56" s="1"/>
  <c r="AP231" i="56"/>
  <c r="BD231" i="56" s="1"/>
  <c r="AD238" i="56"/>
  <c r="AM242" i="56"/>
  <c r="AM291" i="56"/>
  <c r="AJ250" i="56"/>
  <c r="AX250" i="56" s="1"/>
  <c r="AM261" i="56"/>
  <c r="AP264" i="56"/>
  <c r="BD264" i="56" s="1"/>
  <c r="AD268" i="56"/>
  <c r="AD213" i="56"/>
  <c r="AM129" i="56"/>
  <c r="AM281" i="56"/>
  <c r="AP278" i="56"/>
  <c r="AJ142" i="56"/>
  <c r="AD232" i="56"/>
  <c r="AD212" i="56"/>
  <c r="AD265" i="56"/>
  <c r="AD207" i="56"/>
  <c r="AJ297" i="56"/>
  <c r="AX297" i="56" s="1"/>
  <c r="AJ305" i="56"/>
  <c r="AX305" i="56" s="1"/>
  <c r="AM12" i="56"/>
  <c r="AM9" i="56"/>
  <c r="AM146" i="56"/>
  <c r="AM15" i="56"/>
  <c r="AP6" i="56"/>
  <c r="BD6" i="56" s="1"/>
  <c r="AP288" i="56"/>
  <c r="AP146" i="56"/>
  <c r="AP15" i="56"/>
  <c r="AP52" i="56"/>
  <c r="BD52" i="56" s="1"/>
  <c r="AP163" i="56"/>
  <c r="AD12" i="56"/>
  <c r="AD28" i="56"/>
  <c r="AD194" i="56"/>
  <c r="AD257" i="56"/>
  <c r="AD248" i="56"/>
  <c r="AD19" i="56"/>
  <c r="AD44" i="56"/>
  <c r="AD23" i="56"/>
  <c r="AM246" i="56"/>
  <c r="AM6" i="56"/>
  <c r="AM18" i="56"/>
  <c r="AM14" i="56"/>
  <c r="AM222" i="56"/>
  <c r="AP9" i="56"/>
  <c r="BD9" i="56" s="1"/>
  <c r="AP147" i="56"/>
  <c r="AP14" i="56"/>
  <c r="AP17" i="56"/>
  <c r="AP46" i="56"/>
  <c r="BD46" i="56" s="1"/>
  <c r="AP280" i="56"/>
  <c r="AP67" i="56"/>
  <c r="BD67" i="56" s="1"/>
  <c r="AD160" i="56"/>
  <c r="AD240" i="56"/>
  <c r="AD246" i="56"/>
  <c r="AP24" i="56"/>
  <c r="AP27" i="56"/>
  <c r="AP63" i="56"/>
  <c r="BD63" i="56" s="1"/>
  <c r="AP217" i="56"/>
  <c r="AP230" i="56"/>
  <c r="AP235" i="56"/>
  <c r="AD185" i="56"/>
  <c r="AD302" i="56"/>
  <c r="AM83" i="56"/>
  <c r="AM234" i="56"/>
  <c r="AP168" i="56"/>
  <c r="AD93" i="56"/>
  <c r="AJ41" i="56"/>
  <c r="AD42" i="56"/>
  <c r="AJ247" i="56"/>
  <c r="AD18" i="56"/>
  <c r="AD147" i="56"/>
  <c r="AD14" i="56"/>
  <c r="AD152" i="56"/>
  <c r="AD15" i="56"/>
  <c r="AD46" i="56"/>
  <c r="AD9" i="56"/>
  <c r="AD154" i="56"/>
  <c r="AD146" i="56"/>
  <c r="AD222" i="56"/>
  <c r="AM160" i="56"/>
  <c r="AM194" i="56"/>
  <c r="AM257" i="56"/>
  <c r="AM248" i="56"/>
  <c r="AM19" i="56"/>
  <c r="AM44" i="56"/>
  <c r="AM47" i="56"/>
  <c r="AM50" i="56"/>
  <c r="AD52" i="56"/>
  <c r="AM23" i="56"/>
  <c r="AM252" i="56"/>
  <c r="AM301" i="56"/>
  <c r="AM62" i="56"/>
  <c r="AM65" i="56"/>
  <c r="AM220" i="56"/>
  <c r="AM224" i="56"/>
  <c r="AP74" i="56"/>
  <c r="BD74" i="56" s="1"/>
  <c r="AM240" i="56"/>
  <c r="AD32" i="56"/>
  <c r="AD181" i="56"/>
  <c r="AD81" i="56"/>
  <c r="AD8" i="56"/>
  <c r="AD287" i="56"/>
  <c r="AD210" i="56"/>
  <c r="AD225" i="56"/>
  <c r="AD11" i="56"/>
  <c r="AD189" i="56"/>
  <c r="AD258" i="56"/>
  <c r="AD29" i="56"/>
  <c r="AD33" i="56"/>
  <c r="AD263" i="56"/>
  <c r="AD157" i="56"/>
  <c r="AD20" i="56"/>
  <c r="AD211" i="56"/>
  <c r="AD173" i="56"/>
  <c r="AD22" i="56"/>
  <c r="AD24" i="56"/>
  <c r="AD25" i="56"/>
  <c r="AD27" i="56"/>
  <c r="AD63" i="56"/>
  <c r="AD217" i="56"/>
  <c r="AD230" i="56"/>
  <c r="AD235" i="56"/>
  <c r="AJ34" i="56"/>
  <c r="AJ185" i="56"/>
  <c r="AJ302" i="56"/>
  <c r="AP36" i="56"/>
  <c r="AD168" i="56"/>
  <c r="AM28" i="56"/>
  <c r="AD83" i="56"/>
  <c r="AD234" i="56"/>
  <c r="AM10" i="56"/>
  <c r="AM154" i="56"/>
  <c r="AM147" i="56"/>
  <c r="AM17" i="56"/>
  <c r="AM7" i="56"/>
  <c r="AM288" i="56"/>
  <c r="AM13" i="56"/>
  <c r="AM152" i="56"/>
  <c r="AP154" i="56"/>
  <c r="AP18" i="56"/>
  <c r="BD18" i="56" s="1"/>
  <c r="AP13" i="56"/>
  <c r="AP152" i="56"/>
  <c r="AP222" i="56"/>
  <c r="AP21" i="56"/>
  <c r="AP26" i="56"/>
  <c r="AP269" i="56"/>
  <c r="AP30" i="56"/>
  <c r="AD74" i="56"/>
  <c r="AD77" i="56"/>
  <c r="AD267" i="56"/>
  <c r="AD91" i="56"/>
  <c r="AD94" i="56"/>
  <c r="AJ119" i="56"/>
  <c r="AX119" i="56" s="1"/>
  <c r="AD54" i="56"/>
  <c r="AD153" i="56"/>
  <c r="AD156" i="56"/>
  <c r="AP79" i="56"/>
  <c r="BD181" i="56" s="1"/>
  <c r="AD84" i="56"/>
  <c r="AJ85" i="56"/>
  <c r="AD200" i="56"/>
  <c r="AJ7" i="56"/>
  <c r="AX7" i="56" s="1"/>
  <c r="AJ160" i="56"/>
  <c r="AJ240" i="56"/>
  <c r="AX13" i="56" s="1"/>
  <c r="AJ10" i="56"/>
  <c r="AJ246" i="56"/>
  <c r="AJ12" i="56"/>
  <c r="AJ28" i="56"/>
  <c r="AX28" i="56" s="1"/>
  <c r="AJ194" i="56"/>
  <c r="AJ257" i="56"/>
  <c r="AJ248" i="56"/>
  <c r="AJ19" i="56"/>
  <c r="AJ44" i="56"/>
  <c r="AX44" i="56" s="1"/>
  <c r="AJ47" i="56"/>
  <c r="AX47" i="56" s="1"/>
  <c r="AJ50" i="56"/>
  <c r="AX50" i="56" s="1"/>
  <c r="AJ23" i="56"/>
  <c r="AJ252" i="56"/>
  <c r="AJ301" i="56"/>
  <c r="AJ62" i="56"/>
  <c r="AX62" i="56" s="1"/>
  <c r="AJ65" i="56"/>
  <c r="AX65" i="56" s="1"/>
  <c r="AJ220" i="56"/>
  <c r="AJ224" i="56"/>
  <c r="AX71" i="56" s="1"/>
  <c r="AM74" i="56"/>
  <c r="AM77" i="56"/>
  <c r="AM267" i="56"/>
  <c r="AD35" i="56"/>
  <c r="AD37" i="56"/>
  <c r="AJ38" i="56"/>
  <c r="AM91" i="56"/>
  <c r="AM94" i="56"/>
  <c r="AP41" i="56"/>
  <c r="AJ295" i="56"/>
  <c r="AP247" i="56"/>
  <c r="AD109" i="56"/>
  <c r="AP119" i="56"/>
  <c r="BD119" i="56" s="1"/>
  <c r="AD51" i="56"/>
  <c r="AJ53" i="56"/>
  <c r="AM232" i="56"/>
  <c r="AD57" i="56"/>
  <c r="AD134" i="56"/>
  <c r="AJ61" i="56"/>
  <c r="AJ155" i="56"/>
  <c r="AJ183" i="56"/>
  <c r="AM151" i="56"/>
  <c r="AM190" i="56"/>
  <c r="AM169" i="56"/>
  <c r="AP277" i="56"/>
  <c r="AP284" i="56"/>
  <c r="AP166" i="56"/>
  <c r="BD166" i="56" s="1"/>
  <c r="AD170" i="56"/>
  <c r="AD271" i="56"/>
  <c r="AD286" i="56"/>
  <c r="AD191" i="56"/>
  <c r="AJ180" i="56"/>
  <c r="AX180" i="56" s="1"/>
  <c r="AD34" i="56"/>
  <c r="AP77" i="56"/>
  <c r="BD77" i="56" s="1"/>
  <c r="AP267" i="56"/>
  <c r="AJ36" i="56"/>
  <c r="AM38" i="56"/>
  <c r="AP91" i="56"/>
  <c r="BD91" i="56" s="1"/>
  <c r="AP94" i="56"/>
  <c r="BD94" i="56" s="1"/>
  <c r="AD303" i="56"/>
  <c r="AM295" i="56"/>
  <c r="AD103" i="56"/>
  <c r="AD106" i="56"/>
  <c r="AD45" i="56"/>
  <c r="AD192" i="56"/>
  <c r="AD48" i="56"/>
  <c r="AM203" i="56"/>
  <c r="AD161" i="56"/>
  <c r="AD164" i="56"/>
  <c r="AD167" i="56"/>
  <c r="AJ73" i="56"/>
  <c r="AJ275" i="56"/>
  <c r="AJ76" i="56"/>
  <c r="AJ78" i="56"/>
  <c r="AX177" i="56" s="1"/>
  <c r="AM180" i="56"/>
  <c r="AD187" i="56"/>
  <c r="AD126" i="56"/>
  <c r="AD214" i="56"/>
  <c r="AD40" i="56"/>
  <c r="AJ174" i="56"/>
  <c r="AP295" i="56"/>
  <c r="AJ104" i="56"/>
  <c r="AX104" i="56" s="1"/>
  <c r="AJ43" i="56"/>
  <c r="AJ216" i="56"/>
  <c r="AJ49" i="56"/>
  <c r="AP53" i="56"/>
  <c r="AM56" i="56"/>
  <c r="AM132" i="56"/>
  <c r="AP61" i="56"/>
  <c r="AP155" i="56"/>
  <c r="AP183" i="56"/>
  <c r="AD70" i="56"/>
  <c r="AD71" i="56"/>
  <c r="AJ219" i="56"/>
  <c r="AJ285" i="56"/>
  <c r="AJ72" i="56"/>
  <c r="AX165" i="56" s="1"/>
  <c r="AM73" i="56"/>
  <c r="AM275" i="56"/>
  <c r="AM76" i="56"/>
  <c r="AM78" i="56"/>
  <c r="AP180" i="56"/>
  <c r="BD180" i="56" s="1"/>
  <c r="AD184" i="56"/>
  <c r="AJ93" i="56"/>
  <c r="AX93" i="56" s="1"/>
  <c r="AJ42" i="56"/>
  <c r="AM104" i="56"/>
  <c r="AM43" i="56"/>
  <c r="AD114" i="56"/>
  <c r="AJ45" i="56"/>
  <c r="AM216" i="56"/>
  <c r="AM49" i="56"/>
  <c r="AJ54" i="56"/>
  <c r="AP56" i="56"/>
  <c r="AP132" i="56"/>
  <c r="BD132" i="56" s="1"/>
  <c r="AD59" i="56"/>
  <c r="AD209" i="56"/>
  <c r="AD171" i="56"/>
  <c r="AD66" i="56"/>
  <c r="AD69" i="56"/>
  <c r="AJ153" i="56"/>
  <c r="AX153" i="56" s="1"/>
  <c r="AJ156" i="56"/>
  <c r="AX156" i="56" s="1"/>
  <c r="AM219" i="56"/>
  <c r="AM285" i="56"/>
  <c r="AM72" i="56"/>
  <c r="AP73" i="56"/>
  <c r="AP275" i="56"/>
  <c r="AP76" i="56"/>
  <c r="AP78" i="56"/>
  <c r="BD78" i="56" s="1"/>
  <c r="AD296" i="56"/>
  <c r="AD58" i="56"/>
  <c r="AD208" i="56"/>
  <c r="AD41" i="56"/>
  <c r="AD247" i="56"/>
  <c r="AD119" i="56"/>
  <c r="AJ55" i="56"/>
  <c r="AX128" i="56" s="1"/>
  <c r="AD190" i="56"/>
  <c r="AD169" i="56"/>
  <c r="AD244" i="56"/>
  <c r="AD97" i="56"/>
  <c r="AD260" i="56"/>
  <c r="AJ32" i="56"/>
  <c r="AP35" i="56"/>
  <c r="AD53" i="56"/>
  <c r="AD61" i="56"/>
  <c r="AD155" i="56"/>
  <c r="AD92" i="56"/>
  <c r="AD304" i="56"/>
  <c r="AD47" i="56"/>
  <c r="AD50" i="56"/>
  <c r="AD252" i="56"/>
  <c r="AD301" i="56"/>
  <c r="AD62" i="56"/>
  <c r="AD65" i="56"/>
  <c r="AD220" i="56"/>
  <c r="AD224" i="56"/>
  <c r="AJ181" i="56"/>
  <c r="AJ81" i="56"/>
  <c r="AX81" i="56" s="1"/>
  <c r="AP37" i="56"/>
  <c r="AJ214" i="56"/>
  <c r="AJ40" i="56"/>
  <c r="AD295" i="56"/>
  <c r="AJ100" i="56"/>
  <c r="AX100" i="56" s="1"/>
  <c r="AJ8" i="56"/>
  <c r="AX8" i="56" s="1"/>
  <c r="AJ287" i="56"/>
  <c r="AJ210" i="56"/>
  <c r="AX14" i="56" s="1"/>
  <c r="AJ225" i="56"/>
  <c r="AJ11" i="56"/>
  <c r="AJ189" i="56"/>
  <c r="AJ258" i="56"/>
  <c r="AJ29" i="56"/>
  <c r="AX29" i="56" s="1"/>
  <c r="AJ33" i="56"/>
  <c r="AX33" i="56" s="1"/>
  <c r="AJ263" i="56"/>
  <c r="AJ157" i="56"/>
  <c r="AJ20" i="56"/>
  <c r="AJ211" i="56"/>
  <c r="AJ173" i="56"/>
  <c r="AJ22" i="56"/>
  <c r="AJ24" i="56"/>
  <c r="AJ25" i="56"/>
  <c r="AJ27" i="56"/>
  <c r="AJ63" i="56"/>
  <c r="AX63" i="56" s="1"/>
  <c r="AJ217" i="56"/>
  <c r="AJ230" i="56"/>
  <c r="AJ235" i="56"/>
  <c r="AM32" i="56"/>
  <c r="AM181" i="56"/>
  <c r="AM81" i="56"/>
  <c r="AD36" i="56"/>
  <c r="AJ168" i="56"/>
  <c r="AM214" i="56"/>
  <c r="AM40" i="56"/>
  <c r="AM100" i="56"/>
  <c r="AP103" i="56"/>
  <c r="BD103" i="56" s="1"/>
  <c r="AP106" i="56"/>
  <c r="BD106" i="56" s="1"/>
  <c r="AJ114" i="56"/>
  <c r="AX114" i="56" s="1"/>
  <c r="AP192" i="56"/>
  <c r="AP48" i="56"/>
  <c r="AM205" i="56"/>
  <c r="AD56" i="56"/>
  <c r="AD132" i="56"/>
  <c r="AJ59" i="56"/>
  <c r="AJ209" i="56"/>
  <c r="AJ171" i="56"/>
  <c r="AJ66" i="56"/>
  <c r="AX146" i="56" s="1"/>
  <c r="AJ69" i="56"/>
  <c r="AD151" i="56"/>
  <c r="AM70" i="56"/>
  <c r="AM71" i="56"/>
  <c r="AP161" i="56"/>
  <c r="BD161" i="56" s="1"/>
  <c r="AP164" i="56"/>
  <c r="BD164" i="56" s="1"/>
  <c r="AJ79" i="56"/>
  <c r="AM184" i="56"/>
  <c r="AP187" i="56"/>
  <c r="BD187" i="56" s="1"/>
  <c r="AP199" i="56"/>
  <c r="AD111" i="56"/>
  <c r="AD292" i="56"/>
  <c r="AD298" i="56"/>
  <c r="AD120" i="56"/>
  <c r="AD125" i="56"/>
  <c r="AD216" i="56"/>
  <c r="AD49" i="56"/>
  <c r="AJ122" i="56"/>
  <c r="AX122" i="56" s="1"/>
  <c r="AJ296" i="56"/>
  <c r="AJ58" i="56"/>
  <c r="AM59" i="56"/>
  <c r="AM209" i="56"/>
  <c r="AM171" i="56"/>
  <c r="AM66" i="56"/>
  <c r="AM69" i="56"/>
  <c r="AP70" i="56"/>
  <c r="AP71" i="56"/>
  <c r="AD219" i="56"/>
  <c r="AD285" i="56"/>
  <c r="AD72" i="56"/>
  <c r="AD73" i="56"/>
  <c r="AD275" i="56"/>
  <c r="AD76" i="56"/>
  <c r="AD78" i="56"/>
  <c r="AD180" i="56"/>
  <c r="AJ184" i="56"/>
  <c r="AX184" i="56" s="1"/>
  <c r="AM187" i="56"/>
  <c r="AM199" i="56"/>
  <c r="AM88" i="56"/>
  <c r="AM196" i="56"/>
  <c r="AM188" i="56"/>
  <c r="AP201" i="56"/>
  <c r="AP96" i="56"/>
  <c r="AD215" i="56"/>
  <c r="AJ110" i="56"/>
  <c r="AJ112" i="56"/>
  <c r="AJ115" i="56"/>
  <c r="AM228" i="56"/>
  <c r="AM231" i="56"/>
  <c r="AP237" i="56"/>
  <c r="BD237" i="56" s="1"/>
  <c r="AJ242" i="56"/>
  <c r="AX242" i="56" s="1"/>
  <c r="AJ291" i="56"/>
  <c r="AD249" i="56"/>
  <c r="AD245" i="56"/>
  <c r="AD255" i="56"/>
  <c r="AD149" i="56"/>
  <c r="AJ124" i="56"/>
  <c r="AJ270" i="56"/>
  <c r="AX270" i="56" s="1"/>
  <c r="AJ273" i="56"/>
  <c r="AX273" i="56" s="1"/>
  <c r="AM128" i="56"/>
  <c r="AM279" i="56"/>
  <c r="AP131" i="56"/>
  <c r="AP223" i="56"/>
  <c r="AD138" i="56"/>
  <c r="AD143" i="56"/>
  <c r="AD310" i="56"/>
  <c r="AD283" i="56"/>
  <c r="AD86" i="56"/>
  <c r="AD89" i="56"/>
  <c r="AD197" i="56"/>
  <c r="AD229" i="56"/>
  <c r="AD159" i="56"/>
  <c r="AD182" i="56"/>
  <c r="AD130" i="56"/>
  <c r="AM290" i="56"/>
  <c r="AD136" i="56"/>
  <c r="AD293" i="56"/>
  <c r="AP137" i="56"/>
  <c r="AD198" i="56"/>
  <c r="AP207" i="56"/>
  <c r="AP140" i="56"/>
  <c r="AP144" i="56"/>
  <c r="BD302" i="56" s="1"/>
  <c r="AP305" i="56"/>
  <c r="BD305" i="56" s="1"/>
  <c r="AD145" i="56"/>
  <c r="AP276" i="56"/>
  <c r="BD308" i="56" s="1"/>
  <c r="AP311" i="56"/>
  <c r="BD311" i="56" s="1"/>
  <c r="AP272" i="56"/>
  <c r="BD314" i="56" s="1"/>
  <c r="AD179" i="56"/>
  <c r="AD251" i="56"/>
  <c r="AJ266" i="56"/>
  <c r="AX266" i="56" s="1"/>
  <c r="AD135" i="56"/>
  <c r="AD294" i="56"/>
  <c r="AD297" i="56"/>
  <c r="AD142" i="56"/>
  <c r="AD162" i="56"/>
  <c r="AD227" i="56"/>
  <c r="AD309" i="56"/>
  <c r="AD218" i="56"/>
  <c r="AD315" i="56"/>
  <c r="AM82" i="56"/>
  <c r="AP85" i="56"/>
  <c r="AP87" i="56"/>
  <c r="AP195" i="56"/>
  <c r="BD195" i="56" s="1"/>
  <c r="AP165" i="56"/>
  <c r="AP90" i="56"/>
  <c r="AD201" i="56"/>
  <c r="AD96" i="56"/>
  <c r="AJ212" i="56"/>
  <c r="AX212" i="56" s="1"/>
  <c r="AJ215" i="56"/>
  <c r="AX215" i="56" s="1"/>
  <c r="AM107" i="56"/>
  <c r="AM292" i="56"/>
  <c r="AM208" i="56"/>
  <c r="AP206" i="56"/>
  <c r="AP117" i="56"/>
  <c r="AP118" i="56"/>
  <c r="AD237" i="56"/>
  <c r="AM298" i="56"/>
  <c r="AM120" i="56"/>
  <c r="AJ249" i="56"/>
  <c r="AX249" i="56" s="1"/>
  <c r="AJ245" i="56"/>
  <c r="AJ255" i="56"/>
  <c r="AX255" i="56" s="1"/>
  <c r="AP123" i="56"/>
  <c r="AJ260" i="56"/>
  <c r="AX260" i="56" s="1"/>
  <c r="AJ149" i="56"/>
  <c r="AM266" i="56"/>
  <c r="AM125" i="56"/>
  <c r="AM126" i="56"/>
  <c r="AP127" i="56"/>
  <c r="AP129" i="56"/>
  <c r="AP281" i="56"/>
  <c r="BD281" i="56" s="1"/>
  <c r="AD131" i="56"/>
  <c r="AD223" i="56"/>
  <c r="AJ136" i="56"/>
  <c r="AX292" i="56" s="1"/>
  <c r="AJ198" i="56"/>
  <c r="AJ138" i="56"/>
  <c r="AJ143" i="56"/>
  <c r="AJ241" i="56"/>
  <c r="AJ145" i="56"/>
  <c r="AX307" i="56" s="1"/>
  <c r="AJ310" i="56"/>
  <c r="AX310" i="56" s="1"/>
  <c r="AJ283" i="56"/>
  <c r="AX313" i="56" s="1"/>
  <c r="AD199" i="56"/>
  <c r="AD88" i="56"/>
  <c r="AD196" i="56"/>
  <c r="AJ92" i="56"/>
  <c r="AX203" i="56" s="1"/>
  <c r="AJ244" i="56"/>
  <c r="AJ97" i="56"/>
  <c r="AM212" i="56"/>
  <c r="AM215" i="56"/>
  <c r="AP292" i="56"/>
  <c r="AP208" i="56"/>
  <c r="AD228" i="56"/>
  <c r="AD231" i="56"/>
  <c r="AJ179" i="56"/>
  <c r="AJ238" i="56"/>
  <c r="AX238" i="56" s="1"/>
  <c r="AP298" i="56"/>
  <c r="AP120" i="56"/>
  <c r="AM249" i="56"/>
  <c r="AM245" i="56"/>
  <c r="AM255" i="56"/>
  <c r="AM260" i="56"/>
  <c r="AM149" i="56"/>
  <c r="AP125" i="56"/>
  <c r="AP126" i="56"/>
  <c r="AD128" i="56"/>
  <c r="AD279" i="56"/>
  <c r="AJ293" i="56"/>
  <c r="AJ148" i="56"/>
  <c r="AJ289" i="56"/>
  <c r="AX289" i="56" s="1"/>
  <c r="AM136" i="56"/>
  <c r="AM198" i="56"/>
  <c r="AM138" i="56"/>
  <c r="AM143" i="56"/>
  <c r="AM241" i="56"/>
  <c r="AM145" i="56"/>
  <c r="AM310" i="56"/>
  <c r="AM283" i="56"/>
  <c r="AJ193" i="56"/>
  <c r="AJ86" i="56"/>
  <c r="AJ89" i="56"/>
  <c r="AJ197" i="56"/>
  <c r="AX197" i="56" s="1"/>
  <c r="AJ200" i="56"/>
  <c r="AX200" i="56" s="1"/>
  <c r="AM92" i="56"/>
  <c r="AM244" i="56"/>
  <c r="AM97" i="56"/>
  <c r="AP212" i="56"/>
  <c r="BD212" i="56" s="1"/>
  <c r="AP215" i="56"/>
  <c r="BD215" i="56" s="1"/>
  <c r="AD110" i="56"/>
  <c r="AD112" i="56"/>
  <c r="AD115" i="56"/>
  <c r="AJ226" i="56"/>
  <c r="AX226" i="56" s="1"/>
  <c r="AJ229" i="56"/>
  <c r="AX229" i="56" s="1"/>
  <c r="AJ159" i="56"/>
  <c r="AM179" i="56"/>
  <c r="AM238" i="56"/>
  <c r="AD242" i="56"/>
  <c r="AP249" i="56"/>
  <c r="BD249" i="56" s="1"/>
  <c r="AP245" i="56"/>
  <c r="AP255" i="56"/>
  <c r="BD255" i="56" s="1"/>
  <c r="AP260" i="56"/>
  <c r="BD260" i="56" s="1"/>
  <c r="AP149" i="56"/>
  <c r="AD124" i="56"/>
  <c r="AJ182" i="56"/>
  <c r="AJ130" i="56"/>
  <c r="AM293" i="56"/>
  <c r="AM148" i="56"/>
  <c r="AM289" i="56"/>
  <c r="AP136" i="56"/>
  <c r="AP198" i="56"/>
  <c r="AP138" i="56"/>
  <c r="AP143" i="56"/>
  <c r="AP241" i="56"/>
  <c r="BD304" i="56" s="1"/>
  <c r="AP145" i="56"/>
  <c r="BD307" i="56" s="1"/>
  <c r="AP310" i="56"/>
  <c r="BD310" i="56" s="1"/>
  <c r="AP283" i="56"/>
  <c r="BD313" i="56" s="1"/>
  <c r="AP153" i="56"/>
  <c r="BD153" i="56" s="1"/>
  <c r="AP156" i="56"/>
  <c r="BD156" i="56" s="1"/>
  <c r="AD277" i="56"/>
  <c r="AD284" i="56"/>
  <c r="AD166" i="56"/>
  <c r="AD75" i="56"/>
  <c r="AD172" i="56"/>
  <c r="AD175" i="56"/>
  <c r="AD178" i="56"/>
  <c r="AD79" i="56"/>
  <c r="AJ84" i="56"/>
  <c r="AM193" i="56"/>
  <c r="AM86" i="56"/>
  <c r="AM89" i="56"/>
  <c r="AM197" i="56"/>
  <c r="AM200" i="56"/>
  <c r="AP92" i="56"/>
  <c r="AP244" i="56"/>
  <c r="AP97" i="56"/>
  <c r="AD101" i="56"/>
  <c r="AD204" i="56"/>
  <c r="AJ111" i="56"/>
  <c r="AJ221" i="56"/>
  <c r="AM226" i="56"/>
  <c r="AM229" i="56"/>
  <c r="AM159" i="56"/>
  <c r="AP179" i="56"/>
  <c r="AP238" i="56"/>
  <c r="BD238" i="56" s="1"/>
  <c r="AJ233" i="56"/>
  <c r="AJ243" i="56"/>
  <c r="AX243" i="56" s="1"/>
  <c r="AJ121" i="56"/>
  <c r="AD250" i="56"/>
  <c r="AD253" i="56"/>
  <c r="AD256" i="56"/>
  <c r="AD261" i="56"/>
  <c r="AD264" i="56"/>
  <c r="AJ268" i="56"/>
  <c r="AX268" i="56" s="1"/>
  <c r="AJ213" i="56"/>
  <c r="AD140" i="56"/>
  <c r="AD144" i="56"/>
  <c r="AD311" i="56"/>
  <c r="AD272" i="56"/>
  <c r="AD95" i="56"/>
  <c r="AD150" i="56"/>
  <c r="AD239" i="56"/>
  <c r="AD133" i="56"/>
  <c r="AM161" i="56"/>
  <c r="AM164" i="56"/>
  <c r="AM167" i="56"/>
  <c r="AM170" i="56"/>
  <c r="AM271" i="56"/>
  <c r="AM286" i="56"/>
  <c r="AM191" i="56"/>
  <c r="AM80" i="56"/>
  <c r="AP84" i="56"/>
  <c r="AD85" i="56"/>
  <c r="AD87" i="56"/>
  <c r="AD195" i="56"/>
  <c r="AD165" i="56"/>
  <c r="AD90" i="56"/>
  <c r="AJ202" i="56"/>
  <c r="AX202" i="56" s="1"/>
  <c r="AJ201" i="56"/>
  <c r="AJ96" i="56"/>
  <c r="AM99" i="56"/>
  <c r="AM102" i="56"/>
  <c r="AM105" i="56"/>
  <c r="AP111" i="56"/>
  <c r="AP221" i="56"/>
  <c r="AD206" i="56"/>
  <c r="AD117" i="56"/>
  <c r="AD118" i="56"/>
  <c r="AJ300" i="56"/>
  <c r="AJ237" i="56"/>
  <c r="AX237" i="56" s="1"/>
  <c r="AP233" i="56"/>
  <c r="AP243" i="56"/>
  <c r="BD243" i="56" s="1"/>
  <c r="AP121" i="56"/>
  <c r="AM177" i="56"/>
  <c r="AM251" i="56"/>
  <c r="AM254" i="56"/>
  <c r="AD123" i="56"/>
  <c r="AM262" i="56"/>
  <c r="AM265" i="56"/>
  <c r="AP268" i="56"/>
  <c r="BD268" i="56" s="1"/>
  <c r="AP213" i="56"/>
  <c r="AD127" i="56"/>
  <c r="AD129" i="56"/>
  <c r="AD281" i="56"/>
  <c r="AJ282" i="56"/>
  <c r="AX282" i="56" s="1"/>
  <c r="AJ131" i="56"/>
  <c r="AJ223" i="56"/>
  <c r="AX288" i="56" s="1"/>
  <c r="AM135" i="56"/>
  <c r="AD137" i="56"/>
  <c r="AM294" i="56"/>
  <c r="AM297" i="56"/>
  <c r="AM142" i="56"/>
  <c r="AM162" i="56"/>
  <c r="AM227" i="56"/>
  <c r="AM309" i="56"/>
  <c r="AM218" i="56"/>
  <c r="AM315" i="56"/>
  <c r="AX16" i="56"/>
  <c r="BA16" i="56"/>
  <c r="AP16" i="56"/>
  <c r="BD16" i="56" s="1"/>
  <c r="AD16" i="56"/>
  <c r="AB3" i="45"/>
  <c r="AB319" i="45"/>
  <c r="Y3" i="45"/>
  <c r="Y319" i="45"/>
  <c r="I164" i="55"/>
  <c r="I5" i="55"/>
  <c r="I40" i="55"/>
  <c r="L5" i="14"/>
  <c r="AD221" i="56"/>
  <c r="AD269" i="56"/>
  <c r="AD241" i="56"/>
  <c r="AP5" i="56"/>
  <c r="BD5" i="56" s="1"/>
  <c r="AM5" i="56"/>
  <c r="AB38" i="56"/>
  <c r="AP38" i="56" s="1"/>
  <c r="AB122" i="56"/>
  <c r="AP122" i="56" s="1"/>
  <c r="BD122" i="56" s="1"/>
  <c r="AB108" i="56"/>
  <c r="AP108" i="56" s="1"/>
  <c r="BD108" i="56" s="1"/>
  <c r="AB100" i="56"/>
  <c r="AP100" i="56" s="1"/>
  <c r="BD100" i="56" s="1"/>
  <c r="AB55" i="56"/>
  <c r="AP55" i="56" s="1"/>
  <c r="AB31" i="56"/>
  <c r="AP31" i="56" s="1"/>
  <c r="AB39" i="56"/>
  <c r="AD39" i="56" s="1"/>
  <c r="AB205" i="56"/>
  <c r="AP205" i="56" s="1"/>
  <c r="AB174" i="56"/>
  <c r="AP174" i="56" s="1"/>
  <c r="AB176" i="56"/>
  <c r="AP176" i="56" s="1"/>
  <c r="AB113" i="56"/>
  <c r="AP113" i="56" s="1"/>
  <c r="BD113" i="56" s="1"/>
  <c r="AB116" i="56"/>
  <c r="AD116" i="56" s="1"/>
  <c r="AB107" i="56"/>
  <c r="AD107" i="56" s="1"/>
  <c r="AB202" i="56"/>
  <c r="AP202" i="56" s="1"/>
  <c r="BD202" i="56" s="1"/>
  <c r="AB299" i="56"/>
  <c r="AP299" i="56" s="1"/>
  <c r="BD150" i="56" s="1"/>
  <c r="AB82" i="56"/>
  <c r="AP82" i="56" s="1"/>
  <c r="AB226" i="56"/>
  <c r="AP226" i="56" s="1"/>
  <c r="BD226" i="56" s="1"/>
  <c r="AB186" i="56"/>
  <c r="AP186" i="56" s="1"/>
  <c r="BD186" i="56" s="1"/>
  <c r="AB98" i="56"/>
  <c r="AP98" i="56" s="1"/>
  <c r="AB203" i="56"/>
  <c r="AD203" i="56" s="1"/>
  <c r="AB158" i="56"/>
  <c r="AP158" i="56" s="1"/>
  <c r="BD158" i="56" s="1"/>
  <c r="AB300" i="56"/>
  <c r="AP300" i="56" s="1"/>
  <c r="AB282" i="56"/>
  <c r="AP282" i="56" s="1"/>
  <c r="BD282" i="56" s="1"/>
  <c r="AB290" i="56"/>
  <c r="AD290" i="56" s="1"/>
  <c r="AB266" i="56"/>
  <c r="AD266" i="56" s="1"/>
  <c r="AB274" i="56"/>
  <c r="AP274" i="56" s="1"/>
  <c r="BD274" i="56" s="1"/>
  <c r="B19" i="1"/>
  <c r="C17" i="1"/>
  <c r="AX41" i="56" l="1"/>
  <c r="BD152" i="56"/>
  <c r="BD169" i="56"/>
  <c r="BD102" i="56"/>
  <c r="BD73" i="56"/>
  <c r="BD286" i="56"/>
  <c r="BF239" i="56"/>
  <c r="BD209" i="56"/>
  <c r="BD188" i="56"/>
  <c r="BF139" i="56"/>
  <c r="AX205" i="56"/>
  <c r="AX285" i="56"/>
  <c r="BD12" i="56"/>
  <c r="BD285" i="56"/>
  <c r="AX194" i="56"/>
  <c r="AX252" i="56"/>
  <c r="BD271" i="56"/>
  <c r="BD258" i="56"/>
  <c r="BD190" i="56"/>
  <c r="BD296" i="56"/>
  <c r="AX57" i="56"/>
  <c r="AX304" i="56"/>
  <c r="AX208" i="56"/>
  <c r="BD80" i="56"/>
  <c r="BD224" i="56"/>
  <c r="AX105" i="56"/>
  <c r="AX88" i="56"/>
  <c r="BD69" i="56"/>
  <c r="AX154" i="56"/>
  <c r="AX295" i="56"/>
  <c r="AX23" i="56"/>
  <c r="AX284" i="56"/>
  <c r="BD25" i="56"/>
  <c r="BD183" i="56"/>
  <c r="AX181" i="56"/>
  <c r="BD210" i="56"/>
  <c r="AX140" i="56"/>
  <c r="BD160" i="56"/>
  <c r="AX188" i="56"/>
  <c r="AX60" i="56"/>
  <c r="BD72" i="56"/>
  <c r="BD293" i="56"/>
  <c r="BD59" i="56"/>
  <c r="BD133" i="56"/>
  <c r="BD128" i="56"/>
  <c r="AR43" i="56"/>
  <c r="AR171" i="56"/>
  <c r="AX246" i="56"/>
  <c r="AX280" i="56"/>
  <c r="AR188" i="56"/>
  <c r="AR159" i="56"/>
  <c r="BD275" i="56"/>
  <c r="AR102" i="56"/>
  <c r="AX286" i="56"/>
  <c r="AX225" i="56"/>
  <c r="AR90" i="56"/>
  <c r="AX283" i="56"/>
  <c r="AX54" i="56"/>
  <c r="BD88" i="56"/>
  <c r="AR80" i="56"/>
  <c r="AX48" i="56"/>
  <c r="BD105" i="56"/>
  <c r="AR288" i="56"/>
  <c r="AX101" i="56"/>
  <c r="AR177" i="56"/>
  <c r="AR191" i="56"/>
  <c r="AR40" i="56"/>
  <c r="BD124" i="56"/>
  <c r="BD101" i="56"/>
  <c r="BD246" i="56"/>
  <c r="AX277" i="56"/>
  <c r="AX191" i="56"/>
  <c r="BD269" i="56"/>
  <c r="AR214" i="56"/>
  <c r="AX17" i="56"/>
  <c r="BD34" i="56"/>
  <c r="AR17" i="56"/>
  <c r="BD227" i="56"/>
  <c r="BD168" i="56"/>
  <c r="AX118" i="56"/>
  <c r="AX82" i="56"/>
  <c r="BD295" i="56"/>
  <c r="BD148" i="56"/>
  <c r="AX107" i="56"/>
  <c r="BD288" i="56"/>
  <c r="AR285" i="56"/>
  <c r="AR142" i="56"/>
  <c r="AR32" i="56"/>
  <c r="AX85" i="56"/>
  <c r="BD89" i="56"/>
  <c r="AR135" i="56"/>
  <c r="AX235" i="56"/>
  <c r="AR69" i="56"/>
  <c r="AR232" i="56"/>
  <c r="AX176" i="56"/>
  <c r="BD130" i="56"/>
  <c r="AR88" i="56"/>
  <c r="AX143" i="56"/>
  <c r="AX76" i="56"/>
  <c r="AR248" i="56"/>
  <c r="AR14" i="56"/>
  <c r="AX204" i="56"/>
  <c r="AR66" i="56"/>
  <c r="AX11" i="56"/>
  <c r="AR72" i="56"/>
  <c r="AR222" i="56"/>
  <c r="AR280" i="56"/>
  <c r="AR275" i="56"/>
  <c r="BD145" i="56"/>
  <c r="BD70" i="56"/>
  <c r="AR301" i="56"/>
  <c r="AR129" i="56"/>
  <c r="AR84" i="56"/>
  <c r="AR124" i="56"/>
  <c r="AR277" i="56"/>
  <c r="AR118" i="56"/>
  <c r="AR61" i="56"/>
  <c r="AR110" i="56"/>
  <c r="AR173" i="56"/>
  <c r="AR235" i="56"/>
  <c r="AR53" i="56"/>
  <c r="L21" i="14"/>
  <c r="L21" i="9"/>
  <c r="AR298" i="56"/>
  <c r="BD27" i="56"/>
  <c r="AR8" i="56"/>
  <c r="BF8" i="56" s="1"/>
  <c r="BD284" i="56"/>
  <c r="BD182" i="56"/>
  <c r="AR34" i="56"/>
  <c r="AR258" i="56"/>
  <c r="AR16" i="56"/>
  <c r="BF16" i="56" s="1"/>
  <c r="AR92" i="56"/>
  <c r="AR125" i="56"/>
  <c r="AR120" i="56"/>
  <c r="AR199" i="56"/>
  <c r="AR209" i="56"/>
  <c r="AR181" i="56"/>
  <c r="AR219" i="56"/>
  <c r="AR73" i="56"/>
  <c r="BD64" i="56"/>
  <c r="AR152" i="56"/>
  <c r="AR252" i="56"/>
  <c r="AR257" i="56"/>
  <c r="BD66" i="56"/>
  <c r="AR51" i="56"/>
  <c r="AR21" i="56"/>
  <c r="AX144" i="56"/>
  <c r="AR36" i="56"/>
  <c r="AR11" i="56"/>
  <c r="AR259" i="56"/>
  <c r="BF259" i="56" s="1"/>
  <c r="AR117" i="56"/>
  <c r="AR131" i="56"/>
  <c r="AR211" i="56"/>
  <c r="AR27" i="56"/>
  <c r="AR101" i="56"/>
  <c r="AR278" i="56"/>
  <c r="BD189" i="56"/>
  <c r="AR240" i="56"/>
  <c r="AR68" i="56"/>
  <c r="AR30" i="56"/>
  <c r="AR223" i="56"/>
  <c r="AR41" i="56"/>
  <c r="AR48" i="56"/>
  <c r="AR20" i="56"/>
  <c r="AR25" i="56"/>
  <c r="AR87" i="56"/>
  <c r="AR79" i="56"/>
  <c r="AR96" i="56"/>
  <c r="AR233" i="56"/>
  <c r="AR137" i="56"/>
  <c r="AR148" i="56"/>
  <c r="AR59" i="56"/>
  <c r="AR89" i="56"/>
  <c r="AR293" i="56"/>
  <c r="AR143" i="56"/>
  <c r="AR128" i="56"/>
  <c r="AR71" i="56"/>
  <c r="AX95" i="56"/>
  <c r="AR56" i="56"/>
  <c r="AR267" i="56"/>
  <c r="AR160" i="56"/>
  <c r="AR234" i="56"/>
  <c r="BD60" i="56"/>
  <c r="BD40" i="56"/>
  <c r="AR246" i="56"/>
  <c r="AX199" i="56"/>
  <c r="AX137" i="56"/>
  <c r="AR213" i="56"/>
  <c r="AR140" i="56"/>
  <c r="AR263" i="56"/>
  <c r="AR157" i="56"/>
  <c r="AR24" i="56"/>
  <c r="AR115" i="56"/>
  <c r="AR127" i="56"/>
  <c r="BD185" i="56"/>
  <c r="BD252" i="56"/>
  <c r="BD125" i="56"/>
  <c r="AR86" i="56"/>
  <c r="AR138" i="56"/>
  <c r="AR49" i="56"/>
  <c r="AX99" i="56"/>
  <c r="AR224" i="56"/>
  <c r="AR146" i="56"/>
  <c r="AR269" i="56"/>
  <c r="AR54" i="56"/>
  <c r="AR133" i="56"/>
  <c r="AR221" i="56"/>
  <c r="AR168" i="56"/>
  <c r="AR75" i="56"/>
  <c r="AR22" i="56"/>
  <c r="AR207" i="56"/>
  <c r="AR217" i="56"/>
  <c r="AR193" i="56"/>
  <c r="BD230" i="56"/>
  <c r="BD171" i="56"/>
  <c r="AR295" i="56"/>
  <c r="AR220" i="56"/>
  <c r="AR163" i="56"/>
  <c r="AR111" i="56"/>
  <c r="AR225" i="56"/>
  <c r="BD86" i="56"/>
  <c r="AR130" i="56"/>
  <c r="AR95" i="56"/>
  <c r="AR206" i="56"/>
  <c r="AR165" i="56"/>
  <c r="BD204" i="56"/>
  <c r="AR121" i="56"/>
  <c r="AR136" i="56"/>
  <c r="AR149" i="56"/>
  <c r="AR78" i="56"/>
  <c r="AR169" i="56"/>
  <c r="AR12" i="56"/>
  <c r="AR291" i="56"/>
  <c r="BD19" i="56"/>
  <c r="AR287" i="56"/>
  <c r="AR182" i="56"/>
  <c r="AR183" i="56"/>
  <c r="AR37" i="56"/>
  <c r="AR192" i="56"/>
  <c r="AR112" i="56"/>
  <c r="BD57" i="56"/>
  <c r="AR189" i="56"/>
  <c r="AR58" i="56"/>
  <c r="BD173" i="56"/>
  <c r="AR296" i="56"/>
  <c r="AR97" i="56"/>
  <c r="AR208" i="56"/>
  <c r="BD117" i="56"/>
  <c r="AR76" i="56"/>
  <c r="AR154" i="56"/>
  <c r="AR19" i="56"/>
  <c r="AR185" i="56"/>
  <c r="AR85" i="56"/>
  <c r="AR284" i="56"/>
  <c r="AR210" i="56"/>
  <c r="AR35" i="56"/>
  <c r="AR155" i="56"/>
  <c r="AR123" i="56"/>
  <c r="AR57" i="56"/>
  <c r="AR230" i="56"/>
  <c r="AR204" i="56"/>
  <c r="AR45" i="56"/>
  <c r="BA297" i="56"/>
  <c r="AR297" i="56"/>
  <c r="BA309" i="56"/>
  <c r="AR309" i="56"/>
  <c r="BA306" i="56"/>
  <c r="BF306" i="56" s="1"/>
  <c r="AR227" i="56"/>
  <c r="BA211" i="56"/>
  <c r="AR99" i="56"/>
  <c r="BA226" i="56"/>
  <c r="BA252" i="56"/>
  <c r="AR245" i="56"/>
  <c r="BA104" i="56"/>
  <c r="AR104" i="56"/>
  <c r="BA18" i="56"/>
  <c r="AR18" i="56"/>
  <c r="BA247" i="56"/>
  <c r="AR247" i="56"/>
  <c r="BA122" i="56"/>
  <c r="BA109" i="56"/>
  <c r="AR109" i="56"/>
  <c r="BA253" i="56"/>
  <c r="AR253" i="56"/>
  <c r="BA178" i="56"/>
  <c r="AR178" i="56"/>
  <c r="BA243" i="56"/>
  <c r="AR243" i="56"/>
  <c r="BA101" i="56"/>
  <c r="AR42" i="56"/>
  <c r="BA98" i="56"/>
  <c r="BA217" i="56"/>
  <c r="AR105" i="56"/>
  <c r="BA303" i="56"/>
  <c r="AR162" i="56"/>
  <c r="BA164" i="56"/>
  <c r="AR164" i="56"/>
  <c r="BA200" i="56"/>
  <c r="AR200" i="56"/>
  <c r="BA289" i="56"/>
  <c r="AR289" i="56"/>
  <c r="BA307" i="56"/>
  <c r="BF307" i="56" s="1"/>
  <c r="AR145" i="56"/>
  <c r="BA254" i="56"/>
  <c r="AR254" i="56"/>
  <c r="BA161" i="56"/>
  <c r="AR161" i="56"/>
  <c r="BA197" i="56"/>
  <c r="AR197" i="56"/>
  <c r="BA304" i="56"/>
  <c r="AR241" i="56"/>
  <c r="BA249" i="56"/>
  <c r="AR249" i="56"/>
  <c r="BA266" i="56"/>
  <c r="BA279" i="56"/>
  <c r="AR279" i="56"/>
  <c r="BA187" i="56"/>
  <c r="AR187" i="56"/>
  <c r="BA132" i="56"/>
  <c r="AR132" i="56"/>
  <c r="BA27" i="56"/>
  <c r="AR13" i="56"/>
  <c r="BA53" i="56"/>
  <c r="AR23" i="56"/>
  <c r="BA31" i="56"/>
  <c r="AR194" i="56"/>
  <c r="BA6" i="56"/>
  <c r="AR6" i="56"/>
  <c r="BA46" i="56"/>
  <c r="AR46" i="56"/>
  <c r="BA116" i="56"/>
  <c r="BA282" i="56"/>
  <c r="BA90" i="56"/>
  <c r="BA250" i="56"/>
  <c r="AR250" i="56"/>
  <c r="BA175" i="56"/>
  <c r="AR175" i="56"/>
  <c r="BA195" i="56"/>
  <c r="AR195" i="56"/>
  <c r="BA28" i="56"/>
  <c r="AR28" i="56"/>
  <c r="BA37" i="56"/>
  <c r="AR15" i="56"/>
  <c r="BA144" i="56"/>
  <c r="AR64" i="56"/>
  <c r="BA67" i="56"/>
  <c r="AR67" i="56"/>
  <c r="BA237" i="56"/>
  <c r="AR237" i="56"/>
  <c r="BA108" i="56"/>
  <c r="BA33" i="56"/>
  <c r="AR33" i="56"/>
  <c r="BA172" i="56"/>
  <c r="AR172" i="56"/>
  <c r="BA215" i="56"/>
  <c r="AR215" i="56"/>
  <c r="BA100" i="56"/>
  <c r="BA152" i="56"/>
  <c r="AR70" i="56"/>
  <c r="BA77" i="56"/>
  <c r="AR77" i="56"/>
  <c r="BA7" i="56"/>
  <c r="AR7" i="56"/>
  <c r="BA50" i="56"/>
  <c r="AR50" i="56"/>
  <c r="BA83" i="56"/>
  <c r="AR83" i="56"/>
  <c r="BA261" i="56"/>
  <c r="AR261" i="56"/>
  <c r="BA141" i="56"/>
  <c r="AR141" i="56"/>
  <c r="BA268" i="56"/>
  <c r="AR268" i="56"/>
  <c r="BA207" i="56"/>
  <c r="AR150" i="56"/>
  <c r="BA29" i="56"/>
  <c r="AR29" i="56"/>
  <c r="BA106" i="56"/>
  <c r="AR106" i="56"/>
  <c r="BA202" i="56"/>
  <c r="BA201" i="56"/>
  <c r="AR201" i="56"/>
  <c r="BA294" i="56"/>
  <c r="AR294" i="56"/>
  <c r="BA212" i="56"/>
  <c r="AR212" i="56"/>
  <c r="BA290" i="56"/>
  <c r="BA315" i="56"/>
  <c r="AR315" i="56"/>
  <c r="BA176" i="56"/>
  <c r="AR286" i="56"/>
  <c r="BA238" i="56"/>
  <c r="AR238" i="56"/>
  <c r="BA295" i="56"/>
  <c r="AR198" i="56"/>
  <c r="BA118" i="56"/>
  <c r="AR216" i="56"/>
  <c r="BA74" i="56"/>
  <c r="AR74" i="56"/>
  <c r="BA47" i="56"/>
  <c r="AR47" i="56"/>
  <c r="BA9" i="56"/>
  <c r="AR9" i="56"/>
  <c r="BA137" i="56"/>
  <c r="AR60" i="56"/>
  <c r="BA103" i="56"/>
  <c r="AR103" i="56"/>
  <c r="BA314" i="56"/>
  <c r="BF314" i="56" s="1"/>
  <c r="AR272" i="56"/>
  <c r="BA93" i="56"/>
  <c r="AR93" i="56"/>
  <c r="BA251" i="56"/>
  <c r="AR251" i="56"/>
  <c r="BA312" i="56"/>
  <c r="BF312" i="56" s="1"/>
  <c r="AR218" i="56"/>
  <c r="BA173" i="56"/>
  <c r="AR271" i="56"/>
  <c r="BA235" i="56"/>
  <c r="AR179" i="56"/>
  <c r="BA231" i="56"/>
  <c r="AR231" i="56"/>
  <c r="BA94" i="56"/>
  <c r="AR94" i="56"/>
  <c r="BA21" i="56"/>
  <c r="AR147" i="56"/>
  <c r="BA65" i="56"/>
  <c r="AR65" i="56"/>
  <c r="BA44" i="56"/>
  <c r="AR44" i="56"/>
  <c r="BA58" i="56"/>
  <c r="AR26" i="56"/>
  <c r="BA156" i="56"/>
  <c r="AR156" i="56"/>
  <c r="BA273" i="56"/>
  <c r="AR273" i="56"/>
  <c r="BA166" i="56"/>
  <c r="AR166" i="56"/>
  <c r="BA114" i="56"/>
  <c r="AR114" i="56"/>
  <c r="BA134" i="56"/>
  <c r="AR134" i="56"/>
  <c r="BA236" i="56"/>
  <c r="AR236" i="56"/>
  <c r="BA308" i="56"/>
  <c r="BF308" i="56" s="1"/>
  <c r="AR276" i="56"/>
  <c r="BA265" i="56"/>
  <c r="AR265" i="56"/>
  <c r="BA313" i="56"/>
  <c r="BF313" i="56" s="1"/>
  <c r="AR283" i="56"/>
  <c r="BA260" i="56"/>
  <c r="AR260" i="56"/>
  <c r="BA228" i="56"/>
  <c r="AR228" i="56"/>
  <c r="BA196" i="56"/>
  <c r="AR196" i="56"/>
  <c r="BA184" i="56"/>
  <c r="AR184" i="56"/>
  <c r="BA180" i="56"/>
  <c r="AR180" i="56"/>
  <c r="BA154" i="56"/>
  <c r="AR190" i="56"/>
  <c r="BA91" i="56"/>
  <c r="AR91" i="56"/>
  <c r="BA62" i="56"/>
  <c r="AR62" i="56"/>
  <c r="BA281" i="56"/>
  <c r="AR281" i="56"/>
  <c r="BA242" i="56"/>
  <c r="AR242" i="56"/>
  <c r="BA153" i="56"/>
  <c r="AR153" i="56"/>
  <c r="BA270" i="56"/>
  <c r="AR270" i="56"/>
  <c r="BA274" i="56"/>
  <c r="BA158" i="56"/>
  <c r="BA264" i="56"/>
  <c r="AR264" i="56"/>
  <c r="BA170" i="56"/>
  <c r="AR170" i="56"/>
  <c r="BA262" i="56"/>
  <c r="AR262" i="56"/>
  <c r="BA167" i="56"/>
  <c r="AR167" i="56"/>
  <c r="BA229" i="56"/>
  <c r="AR229" i="56"/>
  <c r="BA206" i="56"/>
  <c r="AR244" i="56"/>
  <c r="BA310" i="56"/>
  <c r="AR310" i="56"/>
  <c r="BA255" i="56"/>
  <c r="AR255" i="56"/>
  <c r="BA272" i="56"/>
  <c r="AR126" i="56"/>
  <c r="BA221" i="56"/>
  <c r="AR292" i="56"/>
  <c r="BA81" i="56"/>
  <c r="AR81" i="56"/>
  <c r="BA151" i="56"/>
  <c r="AR151" i="56"/>
  <c r="BA19" i="56"/>
  <c r="AR10" i="56"/>
  <c r="BA52" i="56"/>
  <c r="AR52" i="56"/>
  <c r="BA119" i="56"/>
  <c r="AR119" i="56"/>
  <c r="BA302" i="56"/>
  <c r="AR144" i="56"/>
  <c r="BA256" i="56"/>
  <c r="AR256" i="56"/>
  <c r="BA186" i="56"/>
  <c r="BA63" i="56"/>
  <c r="AR63" i="56"/>
  <c r="BA305" i="56"/>
  <c r="AR305" i="56"/>
  <c r="BA311" i="56"/>
  <c r="AR311" i="56"/>
  <c r="BA25" i="56"/>
  <c r="BA87" i="56"/>
  <c r="BA55" i="56"/>
  <c r="BA79" i="56"/>
  <c r="BA143" i="56"/>
  <c r="BA20" i="56"/>
  <c r="BA127" i="56"/>
  <c r="BA140" i="56"/>
  <c r="BA278" i="56"/>
  <c r="BA24" i="56"/>
  <c r="BA263" i="56"/>
  <c r="BA157" i="56"/>
  <c r="BA193" i="56"/>
  <c r="BA277" i="56"/>
  <c r="BA214" i="56"/>
  <c r="BA269" i="56"/>
  <c r="BA168" i="56"/>
  <c r="BA56" i="56"/>
  <c r="BA5" i="56"/>
  <c r="AR5" i="56"/>
  <c r="BA174" i="56"/>
  <c r="BA61" i="56"/>
  <c r="AX72" i="56"/>
  <c r="AX162" i="56"/>
  <c r="BD11" i="56"/>
  <c r="BA179" i="56"/>
  <c r="BD208" i="56"/>
  <c r="AX69" i="56"/>
  <c r="AX45" i="56"/>
  <c r="BA85" i="56"/>
  <c r="BA230" i="56"/>
  <c r="BA45" i="56"/>
  <c r="BA188" i="56"/>
  <c r="AX209" i="56"/>
  <c r="AX42" i="56"/>
  <c r="BD87" i="56"/>
  <c r="BD84" i="56"/>
  <c r="AX121" i="56"/>
  <c r="BD97" i="56"/>
  <c r="BD85" i="56"/>
  <c r="BD54" i="56"/>
  <c r="BD248" i="56"/>
  <c r="BD191" i="56"/>
  <c r="BA288" i="56"/>
  <c r="BA57" i="56"/>
  <c r="AX267" i="56"/>
  <c r="AX150" i="56"/>
  <c r="BD22" i="56"/>
  <c r="BA299" i="56"/>
  <c r="BD240" i="56"/>
  <c r="BD206" i="56"/>
  <c r="BD263" i="56"/>
  <c r="AX232" i="56"/>
  <c r="AX301" i="56"/>
  <c r="AX36" i="56"/>
  <c r="AX124" i="56"/>
  <c r="AX68" i="56"/>
  <c r="AX193" i="56"/>
  <c r="BD159" i="56"/>
  <c r="AX123" i="56"/>
  <c r="AX61" i="56"/>
  <c r="AX102" i="56"/>
  <c r="AX98" i="56"/>
  <c r="BD214" i="56"/>
  <c r="BD42" i="56"/>
  <c r="AX272" i="56"/>
  <c r="AX169" i="56"/>
  <c r="BD280" i="56"/>
  <c r="BD287" i="56"/>
  <c r="BD292" i="56"/>
  <c r="BA107" i="56"/>
  <c r="BA59" i="56"/>
  <c r="AX275" i="56"/>
  <c r="BD121" i="56"/>
  <c r="AX58" i="56"/>
  <c r="AX287" i="56"/>
  <c r="BD291" i="56"/>
  <c r="AX86" i="56"/>
  <c r="AX244" i="56"/>
  <c r="BA204" i="56"/>
  <c r="AX129" i="56"/>
  <c r="AX227" i="56"/>
  <c r="BD157" i="56"/>
  <c r="BD211" i="56"/>
  <c r="AX269" i="56"/>
  <c r="BD300" i="56"/>
  <c r="BA218" i="56"/>
  <c r="BA78" i="56"/>
  <c r="AX174" i="56"/>
  <c r="BA34" i="56"/>
  <c r="BA35" i="56"/>
  <c r="AX173" i="56"/>
  <c r="AX84" i="56"/>
  <c r="AX55" i="56"/>
  <c r="AX73" i="56"/>
  <c r="BD53" i="56"/>
  <c r="BD26" i="56"/>
  <c r="AX224" i="56"/>
  <c r="BD225" i="56"/>
  <c r="BA182" i="56"/>
  <c r="BA194" i="56"/>
  <c r="BA183" i="56"/>
  <c r="BA276" i="56"/>
  <c r="BA155" i="56"/>
  <c r="BA129" i="56"/>
  <c r="BA123" i="56"/>
  <c r="BA233" i="56"/>
  <c r="BA68" i="56"/>
  <c r="BA42" i="56"/>
  <c r="BA125" i="56"/>
  <c r="BA92" i="56"/>
  <c r="BA232" i="56"/>
  <c r="BA209" i="56"/>
  <c r="BA224" i="56"/>
  <c r="BA146" i="56"/>
  <c r="BA135" i="56"/>
  <c r="BA41" i="56"/>
  <c r="BA287" i="56"/>
  <c r="BA234" i="56"/>
  <c r="BA96" i="56"/>
  <c r="BA223" i="56"/>
  <c r="BA169" i="56"/>
  <c r="BA51" i="56"/>
  <c r="BA296" i="56"/>
  <c r="BA162" i="56"/>
  <c r="BA38" i="56"/>
  <c r="BA245" i="56"/>
  <c r="BA17" i="56"/>
  <c r="BA280" i="56"/>
  <c r="BA198" i="56"/>
  <c r="BA246" i="56"/>
  <c r="BA30" i="56"/>
  <c r="BA11" i="56"/>
  <c r="BA117" i="56"/>
  <c r="BA23" i="56"/>
  <c r="BD75" i="56"/>
  <c r="BD32" i="56"/>
  <c r="BA244" i="56"/>
  <c r="AX222" i="56"/>
  <c r="AX112" i="56"/>
  <c r="AX131" i="56"/>
  <c r="AX217" i="56"/>
  <c r="AX241" i="56"/>
  <c r="BD179" i="56"/>
  <c r="BD127" i="56"/>
  <c r="BA148" i="56"/>
  <c r="BD154" i="56"/>
  <c r="BA222" i="56"/>
  <c r="BA112" i="56"/>
  <c r="AX247" i="56"/>
  <c r="BD149" i="56"/>
  <c r="AX163" i="56"/>
  <c r="AX12" i="56"/>
  <c r="BA102" i="56"/>
  <c r="BA133" i="56"/>
  <c r="BA130" i="56"/>
  <c r="BA82" i="56"/>
  <c r="BA227" i="56"/>
  <c r="BA159" i="56"/>
  <c r="BD99" i="56"/>
  <c r="BA88" i="56"/>
  <c r="AX38" i="56"/>
  <c r="AX97" i="56"/>
  <c r="BD37" i="56"/>
  <c r="BA300" i="56"/>
  <c r="AX223" i="56"/>
  <c r="BA286" i="56"/>
  <c r="BD221" i="56"/>
  <c r="BA241" i="56"/>
  <c r="AX219" i="56"/>
  <c r="AX110" i="56"/>
  <c r="BA136" i="56"/>
  <c r="AX136" i="56"/>
  <c r="BA75" i="56"/>
  <c r="BA32" i="56"/>
  <c r="AX51" i="56"/>
  <c r="AX26" i="56"/>
  <c r="BD129" i="56"/>
  <c r="AX96" i="56"/>
  <c r="AX171" i="56"/>
  <c r="AX145" i="56"/>
  <c r="AX59" i="56"/>
  <c r="AX35" i="56"/>
  <c r="BD58" i="56"/>
  <c r="BA13" i="56"/>
  <c r="BD55" i="56"/>
  <c r="BD24" i="56"/>
  <c r="BD126" i="56"/>
  <c r="BD79" i="56"/>
  <c r="BA185" i="56"/>
  <c r="BA76" i="56"/>
  <c r="BD13" i="56"/>
  <c r="AX214" i="56"/>
  <c r="BD20" i="56"/>
  <c r="BA189" i="56"/>
  <c r="BA163" i="56"/>
  <c r="AX127" i="56"/>
  <c r="AX80" i="56"/>
  <c r="BD17" i="56"/>
  <c r="BA14" i="56"/>
  <c r="BA150" i="56"/>
  <c r="AX207" i="56"/>
  <c r="BA84" i="56"/>
  <c r="BA145" i="56"/>
  <c r="BD222" i="56"/>
  <c r="BD112" i="56"/>
  <c r="BD45" i="56"/>
  <c r="BD245" i="56"/>
  <c r="BD146" i="56"/>
  <c r="BA258" i="56"/>
  <c r="AX258" i="56"/>
  <c r="BD51" i="56"/>
  <c r="BA131" i="56"/>
  <c r="BA69" i="56"/>
  <c r="BA216" i="56"/>
  <c r="BD232" i="56"/>
  <c r="BD36" i="56"/>
  <c r="BA115" i="56"/>
  <c r="AX257" i="56"/>
  <c r="BA43" i="56"/>
  <c r="BA220" i="56"/>
  <c r="BA111" i="56"/>
  <c r="AX234" i="56"/>
  <c r="BA203" i="56"/>
  <c r="BD192" i="56"/>
  <c r="BA190" i="56"/>
  <c r="BD142" i="56"/>
  <c r="AX148" i="56"/>
  <c r="AX10" i="56"/>
  <c r="BD96" i="56"/>
  <c r="AX271" i="56"/>
  <c r="AX220" i="56"/>
  <c r="AX111" i="56"/>
  <c r="BA283" i="56"/>
  <c r="BA301" i="56"/>
  <c r="BD244" i="56"/>
  <c r="AX263" i="56"/>
  <c r="AX245" i="56"/>
  <c r="AX133" i="56"/>
  <c r="BD177" i="56"/>
  <c r="AX126" i="56"/>
  <c r="AX168" i="56"/>
  <c r="AX142" i="56"/>
  <c r="BA80" i="56"/>
  <c r="AX56" i="56"/>
  <c r="AX31" i="56"/>
  <c r="BD49" i="56"/>
  <c r="BA15" i="56"/>
  <c r="BA10" i="56"/>
  <c r="BD15" i="56"/>
  <c r="BD76" i="56"/>
  <c r="BA49" i="56"/>
  <c r="AX182" i="56"/>
  <c r="BA73" i="56"/>
  <c r="BA267" i="56"/>
  <c r="BD56" i="56"/>
  <c r="BD276" i="56"/>
  <c r="AX211" i="56"/>
  <c r="BD41" i="56"/>
  <c r="BA160" i="56"/>
  <c r="BD23" i="56"/>
  <c r="AX302" i="56"/>
  <c r="AX49" i="56"/>
  <c r="BA142" i="56"/>
  <c r="BA293" i="56"/>
  <c r="BA219" i="56"/>
  <c r="BA110" i="56"/>
  <c r="BA26" i="56"/>
  <c r="BD143" i="56"/>
  <c r="BD131" i="56"/>
  <c r="BA48" i="56"/>
  <c r="BA128" i="56"/>
  <c r="BD207" i="56"/>
  <c r="BD144" i="56"/>
  <c r="BA72" i="56"/>
  <c r="BA124" i="56"/>
  <c r="BD137" i="56"/>
  <c r="BD247" i="56"/>
  <c r="AX30" i="56"/>
  <c r="AX34" i="56"/>
  <c r="BD155" i="56"/>
  <c r="AX130" i="56"/>
  <c r="BA95" i="56"/>
  <c r="AX20" i="56"/>
  <c r="AX92" i="56"/>
  <c r="BD174" i="56"/>
  <c r="BA121" i="56"/>
  <c r="AX159" i="56"/>
  <c r="BD163" i="56"/>
  <c r="AX53" i="56"/>
  <c r="AX189" i="56"/>
  <c r="BD43" i="56"/>
  <c r="BA71" i="56"/>
  <c r="BA86" i="56"/>
  <c r="BA22" i="56"/>
  <c r="BA147" i="56"/>
  <c r="BD115" i="56"/>
  <c r="BA70" i="56"/>
  <c r="AX179" i="56"/>
  <c r="BD194" i="56"/>
  <c r="BD35" i="56"/>
  <c r="AX157" i="56"/>
  <c r="BA105" i="56"/>
  <c r="BD14" i="56"/>
  <c r="AX299" i="56"/>
  <c r="BD199" i="56"/>
  <c r="AX135" i="56"/>
  <c r="BA285" i="56"/>
  <c r="AX216" i="56"/>
  <c r="BD140" i="56"/>
  <c r="AX125" i="56"/>
  <c r="BA60" i="56"/>
  <c r="BA213" i="56"/>
  <c r="BA210" i="56"/>
  <c r="BA284" i="56"/>
  <c r="AX24" i="56"/>
  <c r="AX27" i="56"/>
  <c r="AX248" i="56"/>
  <c r="BA248" i="56"/>
  <c r="BA298" i="56"/>
  <c r="BA138" i="56"/>
  <c r="BD241" i="56"/>
  <c r="BD233" i="56"/>
  <c r="AX66" i="56"/>
  <c r="BD30" i="56"/>
  <c r="BD165" i="56"/>
  <c r="BD71" i="56"/>
  <c r="BA97" i="56"/>
  <c r="AX218" i="56"/>
  <c r="BD95" i="56"/>
  <c r="AX291" i="56"/>
  <c r="BD216" i="56"/>
  <c r="AX43" i="56"/>
  <c r="AX190" i="56"/>
  <c r="BD48" i="56"/>
  <c r="AX213" i="56"/>
  <c r="AX293" i="56"/>
  <c r="BA120" i="56"/>
  <c r="AX183" i="56"/>
  <c r="BD123" i="56"/>
  <c r="BA192" i="56"/>
  <c r="BD193" i="56"/>
  <c r="BD277" i="56"/>
  <c r="BA181" i="56"/>
  <c r="BA208" i="56"/>
  <c r="BA240" i="56"/>
  <c r="AX201" i="56"/>
  <c r="AX221" i="56"/>
  <c r="AX298" i="56"/>
  <c r="AX138" i="56"/>
  <c r="BA171" i="56"/>
  <c r="AX240" i="56"/>
  <c r="BA191" i="56"/>
  <c r="BD272" i="56"/>
  <c r="BD223" i="56"/>
  <c r="BD301" i="56"/>
  <c r="BD205" i="56"/>
  <c r="BA99" i="56"/>
  <c r="AX25" i="56"/>
  <c r="BA40" i="56"/>
  <c r="BD234" i="56"/>
  <c r="BA291" i="56"/>
  <c r="BD220" i="56"/>
  <c r="BD111" i="56"/>
  <c r="BD235" i="56"/>
  <c r="AX185" i="56"/>
  <c r="BD298" i="56"/>
  <c r="BD138" i="56"/>
  <c r="BA292" i="56"/>
  <c r="AX206" i="56"/>
  <c r="BD278" i="56"/>
  <c r="BD201" i="56"/>
  <c r="BD299" i="56"/>
  <c r="BA199" i="56"/>
  <c r="BA149" i="56"/>
  <c r="AX149" i="56"/>
  <c r="BD120" i="56"/>
  <c r="AX89" i="56"/>
  <c r="AX39" i="56"/>
  <c r="AX75" i="56"/>
  <c r="AX32" i="56"/>
  <c r="AX115" i="56"/>
  <c r="BA177" i="56"/>
  <c r="AX22" i="56"/>
  <c r="BD21" i="56"/>
  <c r="BA64" i="56"/>
  <c r="BD162" i="56"/>
  <c r="BA126" i="56"/>
  <c r="AX64" i="56"/>
  <c r="AX303" i="56"/>
  <c r="BD38" i="56"/>
  <c r="BA271" i="56"/>
  <c r="BD92" i="56"/>
  <c r="BD213" i="56"/>
  <c r="AX40" i="56"/>
  <c r="AX233" i="56"/>
  <c r="AX210" i="56"/>
  <c r="BD217" i="56"/>
  <c r="BA36" i="56"/>
  <c r="AX160" i="56"/>
  <c r="AX120" i="56"/>
  <c r="BA39" i="56"/>
  <c r="BA54" i="56"/>
  <c r="BD176" i="56"/>
  <c r="BD267" i="56"/>
  <c r="BD219" i="56"/>
  <c r="BD110" i="56"/>
  <c r="BA225" i="56"/>
  <c r="BD147" i="56"/>
  <c r="BA275" i="56"/>
  <c r="AX37" i="56"/>
  <c r="AX21" i="56"/>
  <c r="AX198" i="56"/>
  <c r="BD198" i="56"/>
  <c r="AX78" i="56"/>
  <c r="BA165" i="56"/>
  <c r="AX19" i="56"/>
  <c r="BA12" i="56"/>
  <c r="AX79" i="56"/>
  <c r="BD61" i="56"/>
  <c r="AX300" i="56"/>
  <c r="AX278" i="56"/>
  <c r="BD31" i="56"/>
  <c r="BD10" i="56"/>
  <c r="AX296" i="56"/>
  <c r="BD283" i="56"/>
  <c r="BA89" i="56"/>
  <c r="AX230" i="56"/>
  <c r="AX117" i="56"/>
  <c r="BD118" i="56"/>
  <c r="BA205" i="56"/>
  <c r="BA66" i="56"/>
  <c r="BD136" i="56"/>
  <c r="AX155" i="56"/>
  <c r="BD82" i="56"/>
  <c r="BD98" i="56"/>
  <c r="BA257" i="56"/>
  <c r="AD158" i="56"/>
  <c r="AR158" i="56" s="1"/>
  <c r="AD113" i="56"/>
  <c r="AR113" i="56" s="1"/>
  <c r="BF113" i="56" s="1"/>
  <c r="AP290" i="56"/>
  <c r="AR290" i="56" s="1"/>
  <c r="AP39" i="56"/>
  <c r="BD39" i="56" s="1"/>
  <c r="AP266" i="56"/>
  <c r="AR266" i="56" s="1"/>
  <c r="AP203" i="56"/>
  <c r="BD203" i="56" s="1"/>
  <c r="AP107" i="56"/>
  <c r="BD107" i="56" s="1"/>
  <c r="AP116" i="56"/>
  <c r="AR116" i="56" s="1"/>
  <c r="AD100" i="56"/>
  <c r="AR100" i="56" s="1"/>
  <c r="AD274" i="56"/>
  <c r="AR274" i="56" s="1"/>
  <c r="AD226" i="56"/>
  <c r="AR226" i="56" s="1"/>
  <c r="AD202" i="56"/>
  <c r="AR202" i="56" s="1"/>
  <c r="AD205" i="56"/>
  <c r="AR205" i="56" s="1"/>
  <c r="AD174" i="56"/>
  <c r="AR174" i="56" s="1"/>
  <c r="AD55" i="56"/>
  <c r="AR55" i="56" s="1"/>
  <c r="AD299" i="56"/>
  <c r="AR299" i="56" s="1"/>
  <c r="AD300" i="56"/>
  <c r="AR300" i="56" s="1"/>
  <c r="AD98" i="56"/>
  <c r="AR98" i="56" s="1"/>
  <c r="AD38" i="56"/>
  <c r="AR38" i="56" s="1"/>
  <c r="AD82" i="56"/>
  <c r="AR82" i="56" s="1"/>
  <c r="AD176" i="56"/>
  <c r="AR176" i="56" s="1"/>
  <c r="AD31" i="56"/>
  <c r="AR31" i="56" s="1"/>
  <c r="AD122" i="56"/>
  <c r="AR122" i="56" s="1"/>
  <c r="BF122" i="56" s="1"/>
  <c r="AD108" i="56"/>
  <c r="AR108" i="56" s="1"/>
  <c r="AD186" i="56"/>
  <c r="AR186" i="56" s="1"/>
  <c r="AD282" i="56"/>
  <c r="AR282" i="56" s="1"/>
  <c r="C10" i="1"/>
  <c r="F319" i="45"/>
  <c r="G319" i="45"/>
  <c r="J319" i="45"/>
  <c r="K319" i="45"/>
  <c r="L319" i="45"/>
  <c r="P319" i="45"/>
  <c r="Q319" i="45"/>
  <c r="E319" i="45"/>
  <c r="BF69" i="56" l="1"/>
  <c r="BF282" i="56"/>
  <c r="BF304" i="56"/>
  <c r="BF188" i="56"/>
  <c r="BF12" i="56"/>
  <c r="BF36" i="56"/>
  <c r="BF100" i="56"/>
  <c r="BF285" i="56"/>
  <c r="BF54" i="56"/>
  <c r="BF284" i="56"/>
  <c r="BF246" i="56"/>
  <c r="BF275" i="56"/>
  <c r="BF102" i="56"/>
  <c r="BF121" i="56"/>
  <c r="BF303" i="56"/>
  <c r="BF177" i="56"/>
  <c r="BF57" i="56"/>
  <c r="BF124" i="56"/>
  <c r="BF173" i="56"/>
  <c r="BF288" i="56"/>
  <c r="BF72" i="56"/>
  <c r="BF152" i="56"/>
  <c r="BF19" i="56"/>
  <c r="BF199" i="56"/>
  <c r="BF73" i="56"/>
  <c r="BF176" i="56"/>
  <c r="BF240" i="56"/>
  <c r="BF88" i="56"/>
  <c r="BF181" i="56"/>
  <c r="BF128" i="56"/>
  <c r="BF85" i="56"/>
  <c r="BF257" i="56"/>
  <c r="BF192" i="56"/>
  <c r="BF11" i="56"/>
  <c r="BF71" i="56"/>
  <c r="BF68" i="56"/>
  <c r="BF120" i="56"/>
  <c r="BF207" i="56"/>
  <c r="BF169" i="56"/>
  <c r="BF280" i="56"/>
  <c r="BF231" i="56"/>
  <c r="BF149" i="56"/>
  <c r="BF171" i="56"/>
  <c r="BF248" i="56"/>
  <c r="BF22" i="56"/>
  <c r="BF159" i="56"/>
  <c r="BF214" i="56"/>
  <c r="BF144" i="56"/>
  <c r="BF18" i="56"/>
  <c r="BF45" i="56"/>
  <c r="BF111" i="56"/>
  <c r="BF75" i="56"/>
  <c r="BF43" i="56"/>
  <c r="BF220" i="56"/>
  <c r="BF131" i="56"/>
  <c r="BF112" i="56"/>
  <c r="BF41" i="56"/>
  <c r="BF193" i="56"/>
  <c r="BF47" i="56"/>
  <c r="BF238" i="56"/>
  <c r="BF161" i="56"/>
  <c r="BF104" i="56"/>
  <c r="BF160" i="56"/>
  <c r="BF89" i="56"/>
  <c r="BF95" i="56"/>
  <c r="BF301" i="56"/>
  <c r="BF51" i="56"/>
  <c r="BF146" i="56"/>
  <c r="BF58" i="56"/>
  <c r="BF52" i="56"/>
  <c r="BF153" i="56"/>
  <c r="BF196" i="56"/>
  <c r="BF265" i="56"/>
  <c r="BF114" i="56"/>
  <c r="BF175" i="56"/>
  <c r="BF148" i="56"/>
  <c r="BF123" i="56"/>
  <c r="BF34" i="56"/>
  <c r="BF87" i="56"/>
  <c r="AR203" i="56"/>
  <c r="BF203" i="56" s="1"/>
  <c r="BF49" i="56"/>
  <c r="BF80" i="56"/>
  <c r="BF163" i="56"/>
  <c r="BF136" i="56"/>
  <c r="BF130" i="56"/>
  <c r="BF222" i="56"/>
  <c r="BF30" i="56"/>
  <c r="BF296" i="56"/>
  <c r="BF182" i="56"/>
  <c r="BF157" i="56"/>
  <c r="BF79" i="56"/>
  <c r="BF63" i="56"/>
  <c r="BF235" i="56"/>
  <c r="BF295" i="56"/>
  <c r="BF53" i="56"/>
  <c r="BF217" i="56"/>
  <c r="AR107" i="56"/>
  <c r="BF107" i="56" s="1"/>
  <c r="BF174" i="56"/>
  <c r="BF84" i="56"/>
  <c r="BF189" i="56"/>
  <c r="BF133" i="56"/>
  <c r="BF233" i="56"/>
  <c r="BF35" i="56"/>
  <c r="BF263" i="56"/>
  <c r="BF55" i="56"/>
  <c r="BF37" i="56"/>
  <c r="BF291" i="56"/>
  <c r="BF219" i="56"/>
  <c r="BF56" i="56"/>
  <c r="BF24" i="56"/>
  <c r="BF21" i="56"/>
  <c r="BF27" i="56"/>
  <c r="BF211" i="56"/>
  <c r="BF258" i="56"/>
  <c r="BF191" i="56"/>
  <c r="BF208" i="56"/>
  <c r="BF138" i="56"/>
  <c r="BF213" i="56"/>
  <c r="BF293" i="56"/>
  <c r="BF223" i="56"/>
  <c r="BF209" i="56"/>
  <c r="BF129" i="56"/>
  <c r="BF299" i="56"/>
  <c r="BF168" i="56"/>
  <c r="BF278" i="56"/>
  <c r="BF25" i="56"/>
  <c r="BF154" i="56"/>
  <c r="AR39" i="56"/>
  <c r="BF39" i="56" s="1"/>
  <c r="BF302" i="56"/>
  <c r="BF300" i="56"/>
  <c r="BF143" i="56"/>
  <c r="BF110" i="56"/>
  <c r="BF210" i="56"/>
  <c r="BF115" i="56"/>
  <c r="BF224" i="56"/>
  <c r="BF66" i="56"/>
  <c r="BF165" i="56"/>
  <c r="BF225" i="56"/>
  <c r="BF40" i="56"/>
  <c r="BF97" i="56"/>
  <c r="BF298" i="56"/>
  <c r="BF142" i="56"/>
  <c r="BF14" i="56"/>
  <c r="BF17" i="56"/>
  <c r="BF96" i="56"/>
  <c r="BF232" i="56"/>
  <c r="BF155" i="56"/>
  <c r="BF78" i="56"/>
  <c r="BF204" i="56"/>
  <c r="BF59" i="56"/>
  <c r="BF269" i="56"/>
  <c r="BF140" i="56"/>
  <c r="BF101" i="56"/>
  <c r="BF82" i="56"/>
  <c r="BF205" i="56"/>
  <c r="BF48" i="56"/>
  <c r="BF267" i="56"/>
  <c r="BF76" i="56"/>
  <c r="BF32" i="56"/>
  <c r="BF234" i="56"/>
  <c r="BF92" i="56"/>
  <c r="BF230" i="56"/>
  <c r="BF127" i="56"/>
  <c r="BF221" i="56"/>
  <c r="BF206" i="56"/>
  <c r="BF315" i="56"/>
  <c r="BF86" i="56"/>
  <c r="BF185" i="56"/>
  <c r="BF117" i="56"/>
  <c r="BF38" i="56"/>
  <c r="BF287" i="56"/>
  <c r="BF125" i="56"/>
  <c r="BF183" i="56"/>
  <c r="BF61" i="56"/>
  <c r="BF277" i="56"/>
  <c r="BF20" i="56"/>
  <c r="BF137" i="56"/>
  <c r="BF118" i="56"/>
  <c r="BF31" i="56"/>
  <c r="BF252" i="56"/>
  <c r="BF242" i="56"/>
  <c r="BF294" i="56"/>
  <c r="BF50" i="56"/>
  <c r="BF10" i="56"/>
  <c r="BF241" i="56"/>
  <c r="BF65" i="56"/>
  <c r="BF7" i="56"/>
  <c r="BF186" i="56"/>
  <c r="BF151" i="56"/>
  <c r="BF126" i="56"/>
  <c r="BF229" i="56"/>
  <c r="BF201" i="56"/>
  <c r="BF215" i="56"/>
  <c r="BF237" i="56"/>
  <c r="BF28" i="56"/>
  <c r="BF250" i="56"/>
  <c r="BF197" i="56"/>
  <c r="BF311" i="56"/>
  <c r="BF156" i="56"/>
  <c r="BF261" i="56"/>
  <c r="BF77" i="56"/>
  <c r="BF272" i="56"/>
  <c r="BF202" i="56"/>
  <c r="BF195" i="56"/>
  <c r="BF262" i="56"/>
  <c r="BF166" i="56"/>
  <c r="BF132" i="56"/>
  <c r="BF164" i="56"/>
  <c r="BF5" i="56"/>
  <c r="BF305" i="56"/>
  <c r="BF256" i="56"/>
  <c r="BF292" i="56"/>
  <c r="BF244" i="56"/>
  <c r="BF274" i="56"/>
  <c r="BF62" i="56"/>
  <c r="BF180" i="56"/>
  <c r="BF273" i="56"/>
  <c r="BF44" i="56"/>
  <c r="BF198" i="56"/>
  <c r="BF150" i="56"/>
  <c r="BF83" i="56"/>
  <c r="BF15" i="56"/>
  <c r="BF46" i="56"/>
  <c r="BF23" i="56"/>
  <c r="BF249" i="56"/>
  <c r="BF200" i="56"/>
  <c r="BF99" i="56"/>
  <c r="BF119" i="56"/>
  <c r="BF170" i="56"/>
  <c r="BF228" i="56"/>
  <c r="BF236" i="56"/>
  <c r="BF179" i="56"/>
  <c r="BF251" i="56"/>
  <c r="BF103" i="56"/>
  <c r="BF60" i="56"/>
  <c r="BF74" i="56"/>
  <c r="BF172" i="56"/>
  <c r="BF187" i="56"/>
  <c r="BF254" i="56"/>
  <c r="BF98" i="56"/>
  <c r="BF178" i="56"/>
  <c r="BF227" i="56"/>
  <c r="BF264" i="56"/>
  <c r="BF91" i="56"/>
  <c r="BF271" i="56"/>
  <c r="BF93" i="56"/>
  <c r="BF9" i="56"/>
  <c r="BF212" i="56"/>
  <c r="BF268" i="56"/>
  <c r="BF141" i="56"/>
  <c r="BF70" i="56"/>
  <c r="BF13" i="56"/>
  <c r="BF279" i="56"/>
  <c r="BF245" i="56"/>
  <c r="BF81" i="56"/>
  <c r="BF255" i="56"/>
  <c r="BF167" i="56"/>
  <c r="BF270" i="56"/>
  <c r="BF281" i="56"/>
  <c r="BF184" i="56"/>
  <c r="BF260" i="56"/>
  <c r="BF134" i="56"/>
  <c r="BF26" i="56"/>
  <c r="BF147" i="56"/>
  <c r="BF216" i="56"/>
  <c r="BF106" i="56"/>
  <c r="BF33" i="56"/>
  <c r="BF67" i="56"/>
  <c r="BF6" i="56"/>
  <c r="BF145" i="56"/>
  <c r="BF162" i="56"/>
  <c r="BF42" i="56"/>
  <c r="BF253" i="56"/>
  <c r="BF247" i="56"/>
  <c r="BF309" i="56"/>
  <c r="BF190" i="56"/>
  <c r="BF276" i="56"/>
  <c r="BF286" i="56"/>
  <c r="BF310" i="56"/>
  <c r="BF158" i="56"/>
  <c r="BF283" i="56"/>
  <c r="BF94" i="56"/>
  <c r="BF29" i="56"/>
  <c r="BF108" i="56"/>
  <c r="BF64" i="56"/>
  <c r="BF194" i="56"/>
  <c r="BF289" i="56"/>
  <c r="BF105" i="56"/>
  <c r="BF243" i="56"/>
  <c r="BF109" i="56"/>
  <c r="BF226" i="56"/>
  <c r="BF297" i="56"/>
  <c r="BD218" i="56"/>
  <c r="BF218" i="56" s="1"/>
  <c r="BD266" i="56"/>
  <c r="BF266" i="56" s="1"/>
  <c r="BD90" i="56"/>
  <c r="BF90" i="56" s="1"/>
  <c r="BD290" i="56"/>
  <c r="BF290" i="56" s="1"/>
  <c r="BD116" i="56"/>
  <c r="BF116" i="56" s="1"/>
  <c r="BD135" i="56"/>
  <c r="BF135" i="56" s="1"/>
  <c r="D4" i="8"/>
  <c r="C18" i="1"/>
  <c r="B27" i="10"/>
  <c r="B28" i="44"/>
  <c r="C28" i="44"/>
  <c r="A27" i="44"/>
  <c r="A55" i="43"/>
  <c r="B63" i="43"/>
  <c r="C58" i="43"/>
  <c r="A56" i="43"/>
  <c r="A55" i="40"/>
  <c r="B39" i="41"/>
  <c r="C39" i="41"/>
  <c r="D39" i="41"/>
  <c r="E39" i="41"/>
  <c r="A38" i="41"/>
  <c r="I63" i="40"/>
  <c r="B63" i="40"/>
  <c r="J58" i="40"/>
  <c r="C58" i="40"/>
  <c r="H56" i="40"/>
  <c r="H55" i="40"/>
  <c r="A56" i="40"/>
  <c r="A55" i="37"/>
  <c r="B39" i="38"/>
  <c r="C39" i="38"/>
  <c r="D39" i="38"/>
  <c r="E39" i="38"/>
  <c r="A38" i="38"/>
  <c r="I63" i="37"/>
  <c r="E38" i="38" s="1"/>
  <c r="B63" i="37"/>
  <c r="C38" i="38" s="1"/>
  <c r="J58" i="37"/>
  <c r="C58" i="37"/>
  <c r="H56" i="37"/>
  <c r="H55" i="37"/>
  <c r="A56" i="37"/>
  <c r="A55" i="33"/>
  <c r="B39" i="35"/>
  <c r="C39" i="35"/>
  <c r="D39" i="35"/>
  <c r="E39" i="35"/>
  <c r="A38" i="35"/>
  <c r="I63" i="33"/>
  <c r="E38" i="35" s="1"/>
  <c r="B63" i="33"/>
  <c r="B38" i="35" s="1"/>
  <c r="J58" i="33"/>
  <c r="C58" i="33"/>
  <c r="H56" i="33"/>
  <c r="H55" i="33"/>
  <c r="A56" i="33"/>
  <c r="A55" i="30"/>
  <c r="E39" i="31"/>
  <c r="D39" i="31"/>
  <c r="C39" i="31"/>
  <c r="B39" i="31"/>
  <c r="A38" i="31"/>
  <c r="I63" i="30"/>
  <c r="E38" i="31" s="1"/>
  <c r="B63" i="30"/>
  <c r="C38" i="31" s="1"/>
  <c r="H56" i="30"/>
  <c r="H55" i="30"/>
  <c r="J58" i="30"/>
  <c r="C58" i="30"/>
  <c r="A56" i="30"/>
  <c r="A55" i="27"/>
  <c r="B39" i="28"/>
  <c r="C39" i="28"/>
  <c r="D39" i="28"/>
  <c r="E39" i="28"/>
  <c r="A38" i="28"/>
  <c r="I63" i="27"/>
  <c r="E38" i="28" s="1"/>
  <c r="B63" i="27"/>
  <c r="C38" i="28" s="1"/>
  <c r="J58" i="27"/>
  <c r="C58" i="27"/>
  <c r="H56" i="27"/>
  <c r="H55" i="27"/>
  <c r="A56" i="27"/>
  <c r="A55" i="24"/>
  <c r="B39" i="25"/>
  <c r="C39" i="25"/>
  <c r="D39" i="25"/>
  <c r="E39" i="25"/>
  <c r="A38" i="25"/>
  <c r="I63" i="24"/>
  <c r="E38" i="25" s="1"/>
  <c r="B63" i="24"/>
  <c r="C38" i="25" s="1"/>
  <c r="J58" i="24"/>
  <c r="C58" i="24"/>
  <c r="H56" i="24"/>
  <c r="H55" i="24"/>
  <c r="A56" i="24"/>
  <c r="A55" i="21"/>
  <c r="A38" i="22"/>
  <c r="I63" i="21"/>
  <c r="E38" i="22" s="1"/>
  <c r="B63" i="21"/>
  <c r="C38" i="22" s="1"/>
  <c r="J58" i="21"/>
  <c r="C58" i="21"/>
  <c r="H56" i="21"/>
  <c r="H55" i="21"/>
  <c r="A56" i="21"/>
  <c r="A38" i="19"/>
  <c r="A55" i="18"/>
  <c r="I63" i="18"/>
  <c r="E38" i="19" s="1"/>
  <c r="B63" i="18"/>
  <c r="B38" i="19" s="1"/>
  <c r="J58" i="18"/>
  <c r="C58" i="18"/>
  <c r="C58" i="15"/>
  <c r="H56" i="18"/>
  <c r="H55" i="18"/>
  <c r="A56" i="18"/>
  <c r="A56" i="15"/>
  <c r="A13" i="48"/>
  <c r="A12" i="48"/>
  <c r="A11" i="48"/>
  <c r="A10" i="48"/>
  <c r="A9" i="48"/>
  <c r="A8" i="48"/>
  <c r="A7" i="48"/>
  <c r="A6" i="48"/>
  <c r="A5" i="48"/>
  <c r="A4" i="48"/>
  <c r="A3" i="48"/>
  <c r="A55" i="15"/>
  <c r="J58" i="15"/>
  <c r="A3" i="15"/>
  <c r="A8" i="1"/>
  <c r="J58" i="10"/>
  <c r="C58" i="10"/>
  <c r="E13" i="1"/>
  <c r="E12" i="1"/>
  <c r="E11" i="1"/>
  <c r="E10" i="1"/>
  <c r="A38" i="16"/>
  <c r="I63" i="15"/>
  <c r="D38" i="16" s="1"/>
  <c r="H56" i="15"/>
  <c r="H55" i="15"/>
  <c r="B63" i="15"/>
  <c r="C38" i="16" s="1"/>
  <c r="H56" i="10"/>
  <c r="A56" i="10"/>
  <c r="B63" i="10"/>
  <c r="B38" i="6" s="1"/>
  <c r="A55" i="10"/>
  <c r="A38" i="6"/>
  <c r="I63" i="10"/>
  <c r="E38" i="6" s="1"/>
  <c r="H55" i="10"/>
  <c r="E39" i="22"/>
  <c r="D39" i="22"/>
  <c r="C39" i="22"/>
  <c r="B39" i="22"/>
  <c r="E39" i="19"/>
  <c r="D39" i="19"/>
  <c r="C39" i="19"/>
  <c r="B39" i="19"/>
  <c r="E39" i="16"/>
  <c r="D39" i="16"/>
  <c r="C39" i="16"/>
  <c r="B39" i="16"/>
  <c r="K23" i="2"/>
  <c r="J23" i="2"/>
  <c r="C26" i="44"/>
  <c r="B26" i="44"/>
  <c r="C25" i="44"/>
  <c r="B25" i="44"/>
  <c r="A20" i="44"/>
  <c r="A31" i="41"/>
  <c r="A31" i="38"/>
  <c r="A31" i="35"/>
  <c r="A31" i="31"/>
  <c r="A31" i="28"/>
  <c r="A31" i="25"/>
  <c r="A31" i="22"/>
  <c r="A31" i="19"/>
  <c r="A31" i="16"/>
  <c r="E39" i="6"/>
  <c r="D39" i="6"/>
  <c r="C39" i="6"/>
  <c r="B39" i="6"/>
  <c r="A31" i="6"/>
  <c r="D13" i="8"/>
  <c r="D12" i="8"/>
  <c r="D11" i="8"/>
  <c r="D10" i="8"/>
  <c r="D9" i="8"/>
  <c r="D8" i="8"/>
  <c r="D7" i="8"/>
  <c r="D6" i="8"/>
  <c r="D5" i="8"/>
  <c r="A3" i="8"/>
  <c r="L3" i="8"/>
  <c r="J3" i="8"/>
  <c r="H3" i="8"/>
  <c r="F3" i="8"/>
  <c r="E3" i="8"/>
  <c r="K22" i="2"/>
  <c r="K21" i="2"/>
  <c r="K20" i="2"/>
  <c r="K19" i="2"/>
  <c r="K18" i="2"/>
  <c r="K17" i="2"/>
  <c r="K16" i="2"/>
  <c r="K15" i="2"/>
  <c r="K14" i="2"/>
  <c r="K13" i="2"/>
  <c r="K12" i="2"/>
  <c r="K11" i="2"/>
  <c r="K10" i="2"/>
  <c r="K9" i="2"/>
  <c r="K8" i="2"/>
  <c r="K7" i="2"/>
  <c r="K6" i="2"/>
  <c r="K5" i="2"/>
  <c r="K4" i="2"/>
  <c r="I26" i="15"/>
  <c r="F5" i="5"/>
  <c r="F4" i="5"/>
  <c r="B14" i="6" s="1"/>
  <c r="A1" i="31"/>
  <c r="A1" i="19"/>
  <c r="F4" i="13"/>
  <c r="E14" i="6" s="1"/>
  <c r="B4" i="13"/>
  <c r="E6" i="16" s="1"/>
  <c r="F4" i="12"/>
  <c r="D14" i="6" s="1"/>
  <c r="B4" i="12"/>
  <c r="D6" i="16" s="1"/>
  <c r="B26" i="10"/>
  <c r="F4" i="11"/>
  <c r="C14" i="6" s="1"/>
  <c r="B4" i="11"/>
  <c r="C6" i="16" s="1"/>
  <c r="B5" i="5"/>
  <c r="B4" i="5"/>
  <c r="B6" i="16" s="1"/>
  <c r="D30" i="42"/>
  <c r="B93" i="5" s="1"/>
  <c r="B94" i="5" s="1"/>
  <c r="F29" i="42"/>
  <c r="F28" i="42"/>
  <c r="F27" i="42"/>
  <c r="F26" i="42"/>
  <c r="F25" i="42"/>
  <c r="F24" i="42"/>
  <c r="F23" i="42"/>
  <c r="F22" i="42"/>
  <c r="F21" i="42"/>
  <c r="F20" i="42"/>
  <c r="F19" i="42"/>
  <c r="F18" i="42"/>
  <c r="F17" i="42"/>
  <c r="F16" i="42"/>
  <c r="F15" i="42"/>
  <c r="F14" i="42"/>
  <c r="F13" i="42"/>
  <c r="F12" i="42"/>
  <c r="F11" i="42"/>
  <c r="F10" i="42"/>
  <c r="F9" i="42"/>
  <c r="F8" i="42"/>
  <c r="F7" i="42"/>
  <c r="F6" i="42"/>
  <c r="F5" i="42"/>
  <c r="K30" i="39"/>
  <c r="K31" i="39" s="1"/>
  <c r="D16" i="41" s="1"/>
  <c r="D17" i="41" s="1"/>
  <c r="M29" i="39"/>
  <c r="M28" i="39"/>
  <c r="M27" i="39"/>
  <c r="M26" i="39"/>
  <c r="M25" i="39"/>
  <c r="M24" i="39"/>
  <c r="M23" i="39"/>
  <c r="M22" i="39"/>
  <c r="M21" i="39"/>
  <c r="M20" i="39"/>
  <c r="M19" i="39"/>
  <c r="M18" i="39"/>
  <c r="M17" i="39"/>
  <c r="M16" i="39"/>
  <c r="M15" i="39"/>
  <c r="M14" i="39"/>
  <c r="M13" i="39"/>
  <c r="M12" i="39"/>
  <c r="M11" i="39"/>
  <c r="M10" i="39"/>
  <c r="M9" i="39"/>
  <c r="M8" i="39"/>
  <c r="M7" i="39"/>
  <c r="M6" i="39"/>
  <c r="M5" i="39"/>
  <c r="D30" i="39"/>
  <c r="E13" i="8" s="1"/>
  <c r="F29" i="39"/>
  <c r="F28" i="39"/>
  <c r="F27" i="39"/>
  <c r="F26" i="39"/>
  <c r="F25" i="39"/>
  <c r="F24" i="39"/>
  <c r="F23" i="39"/>
  <c r="F22" i="39"/>
  <c r="F21" i="39"/>
  <c r="F20" i="39"/>
  <c r="F19" i="39"/>
  <c r="F18" i="39"/>
  <c r="F17" i="39"/>
  <c r="F16" i="39"/>
  <c r="F15" i="39"/>
  <c r="F14" i="39"/>
  <c r="F13" i="39"/>
  <c r="F12" i="39"/>
  <c r="F11" i="39"/>
  <c r="F10" i="39"/>
  <c r="F9" i="39"/>
  <c r="F8" i="39"/>
  <c r="F7" i="39"/>
  <c r="F6" i="39"/>
  <c r="F5" i="39"/>
  <c r="K30" i="36"/>
  <c r="B16" i="38" s="1"/>
  <c r="B17" i="38" s="1"/>
  <c r="M29" i="36"/>
  <c r="M28" i="36"/>
  <c r="M27" i="36"/>
  <c r="M26" i="36"/>
  <c r="M25" i="36"/>
  <c r="M24" i="36"/>
  <c r="M23" i="36"/>
  <c r="M22" i="36"/>
  <c r="M21" i="36"/>
  <c r="M20" i="36"/>
  <c r="M19" i="36"/>
  <c r="M18" i="36"/>
  <c r="M17" i="36"/>
  <c r="M16" i="36"/>
  <c r="M15" i="36"/>
  <c r="M14" i="36"/>
  <c r="M13" i="36"/>
  <c r="M12" i="36"/>
  <c r="M11" i="36"/>
  <c r="M10" i="36"/>
  <c r="M9" i="36"/>
  <c r="M8" i="36"/>
  <c r="M7" i="36"/>
  <c r="M6" i="36"/>
  <c r="M5" i="36"/>
  <c r="D30" i="36"/>
  <c r="B77" i="5" s="1"/>
  <c r="B78" i="5" s="1"/>
  <c r="F29" i="36"/>
  <c r="F28" i="36"/>
  <c r="F27" i="36"/>
  <c r="F26" i="36"/>
  <c r="F25" i="36"/>
  <c r="F24" i="36"/>
  <c r="F23" i="36"/>
  <c r="F22" i="36"/>
  <c r="F21" i="36"/>
  <c r="F20" i="36"/>
  <c r="F19" i="36"/>
  <c r="F18" i="36"/>
  <c r="F17" i="36"/>
  <c r="F16" i="36"/>
  <c r="F15" i="36"/>
  <c r="F14" i="36"/>
  <c r="F13" i="36"/>
  <c r="F12" i="36"/>
  <c r="F11" i="36"/>
  <c r="F10" i="36"/>
  <c r="F9" i="36"/>
  <c r="F8" i="36"/>
  <c r="F7" i="36"/>
  <c r="F6" i="36"/>
  <c r="F5" i="36"/>
  <c r="K30" i="32"/>
  <c r="M29" i="32"/>
  <c r="M28" i="32"/>
  <c r="M27" i="32"/>
  <c r="M26" i="32"/>
  <c r="M25" i="32"/>
  <c r="M24" i="32"/>
  <c r="M23" i="32"/>
  <c r="M22" i="32"/>
  <c r="M21" i="32"/>
  <c r="M20" i="32"/>
  <c r="M19" i="32"/>
  <c r="M18" i="32"/>
  <c r="M17" i="32"/>
  <c r="M16" i="32"/>
  <c r="M15" i="32"/>
  <c r="M14" i="32"/>
  <c r="M13" i="32"/>
  <c r="M12" i="32"/>
  <c r="M11" i="32"/>
  <c r="M10" i="32"/>
  <c r="M9" i="32"/>
  <c r="M8" i="32"/>
  <c r="M7" i="32"/>
  <c r="M6" i="32"/>
  <c r="M5" i="32"/>
  <c r="D30" i="32"/>
  <c r="B8" i="35" s="1"/>
  <c r="B9" i="35" s="1"/>
  <c r="B10" i="35" s="1"/>
  <c r="F29" i="32"/>
  <c r="F28" i="32"/>
  <c r="F27" i="32"/>
  <c r="F26" i="32"/>
  <c r="F25" i="32"/>
  <c r="F24" i="32"/>
  <c r="F23" i="32"/>
  <c r="F22" i="32"/>
  <c r="F21" i="32"/>
  <c r="F20" i="32"/>
  <c r="F19" i="32"/>
  <c r="F18" i="32"/>
  <c r="F17" i="32"/>
  <c r="F16" i="32"/>
  <c r="F15" i="32"/>
  <c r="F14" i="32"/>
  <c r="F13" i="32"/>
  <c r="F12" i="32"/>
  <c r="F11" i="32"/>
  <c r="F10" i="32"/>
  <c r="F9" i="32"/>
  <c r="F8" i="32"/>
  <c r="F7" i="32"/>
  <c r="F6" i="32"/>
  <c r="F5" i="32"/>
  <c r="K30" i="29"/>
  <c r="K31" i="29" s="1"/>
  <c r="F62" i="12" s="1"/>
  <c r="F63" i="12" s="1"/>
  <c r="M29" i="29"/>
  <c r="M28" i="29"/>
  <c r="M27" i="29"/>
  <c r="M26" i="29"/>
  <c r="M25" i="29"/>
  <c r="M24" i="29"/>
  <c r="M23" i="29"/>
  <c r="M22" i="29"/>
  <c r="M21" i="29"/>
  <c r="M20" i="29"/>
  <c r="M19" i="29"/>
  <c r="M18" i="29"/>
  <c r="M17" i="29"/>
  <c r="M16" i="29"/>
  <c r="M15" i="29"/>
  <c r="M14" i="29"/>
  <c r="M13" i="29"/>
  <c r="M12" i="29"/>
  <c r="M11" i="29"/>
  <c r="M10" i="29"/>
  <c r="M9" i="29"/>
  <c r="M8" i="29"/>
  <c r="M7" i="29"/>
  <c r="M6" i="29"/>
  <c r="M5" i="29"/>
  <c r="D30" i="29"/>
  <c r="B8" i="31" s="1"/>
  <c r="B9" i="31" s="1"/>
  <c r="B10" i="31" s="1"/>
  <c r="F29" i="29"/>
  <c r="F28" i="29"/>
  <c r="F27" i="29"/>
  <c r="F26" i="29"/>
  <c r="F25" i="29"/>
  <c r="F24" i="29"/>
  <c r="F23" i="29"/>
  <c r="F22" i="29"/>
  <c r="F21" i="29"/>
  <c r="F20" i="29"/>
  <c r="F19" i="29"/>
  <c r="F18" i="29"/>
  <c r="F17" i="29"/>
  <c r="F16" i="29"/>
  <c r="F15" i="29"/>
  <c r="F14" i="29"/>
  <c r="F13" i="29"/>
  <c r="F12" i="29"/>
  <c r="F11" i="29"/>
  <c r="F10" i="29"/>
  <c r="F9" i="29"/>
  <c r="F8" i="29"/>
  <c r="F7" i="29"/>
  <c r="F6" i="29"/>
  <c r="F5" i="29"/>
  <c r="K30" i="26"/>
  <c r="K31" i="26" s="1"/>
  <c r="F54" i="12" s="1"/>
  <c r="F55" i="12" s="1"/>
  <c r="M29" i="26"/>
  <c r="M28" i="26"/>
  <c r="M27" i="26"/>
  <c r="M26" i="26"/>
  <c r="M25" i="26"/>
  <c r="M24" i="26"/>
  <c r="M23" i="26"/>
  <c r="M22" i="26"/>
  <c r="M21" i="26"/>
  <c r="M20" i="26"/>
  <c r="M19" i="26"/>
  <c r="M18" i="26"/>
  <c r="M17" i="26"/>
  <c r="M16" i="26"/>
  <c r="M15" i="26"/>
  <c r="M14" i="26"/>
  <c r="M13" i="26"/>
  <c r="M12" i="26"/>
  <c r="M11" i="26"/>
  <c r="M10" i="26"/>
  <c r="M9" i="26"/>
  <c r="M8" i="26"/>
  <c r="M7" i="26"/>
  <c r="M6" i="26"/>
  <c r="M5" i="26"/>
  <c r="D30" i="26"/>
  <c r="B8" i="28" s="1"/>
  <c r="B9" i="28" s="1"/>
  <c r="B10" i="28" s="1"/>
  <c r="F29" i="26"/>
  <c r="F28" i="26"/>
  <c r="F27" i="26"/>
  <c r="F26" i="26"/>
  <c r="F25" i="26"/>
  <c r="F24" i="26"/>
  <c r="F23" i="26"/>
  <c r="F22" i="26"/>
  <c r="F21" i="26"/>
  <c r="F20" i="26"/>
  <c r="F19" i="26"/>
  <c r="F18" i="26"/>
  <c r="F17" i="26"/>
  <c r="F16" i="26"/>
  <c r="F15" i="26"/>
  <c r="F14" i="26"/>
  <c r="F13" i="26"/>
  <c r="F12" i="26"/>
  <c r="F11" i="26"/>
  <c r="F10" i="26"/>
  <c r="F9" i="26"/>
  <c r="F8" i="26"/>
  <c r="F7" i="26"/>
  <c r="F6" i="26"/>
  <c r="F5" i="26"/>
  <c r="K30" i="23"/>
  <c r="I31" i="27" s="1"/>
  <c r="M29" i="23"/>
  <c r="M28" i="23"/>
  <c r="M27" i="23"/>
  <c r="M26" i="23"/>
  <c r="M25" i="23"/>
  <c r="M24" i="23"/>
  <c r="M23" i="23"/>
  <c r="M22" i="23"/>
  <c r="M21" i="23"/>
  <c r="M20" i="23"/>
  <c r="M19" i="23"/>
  <c r="M18" i="23"/>
  <c r="M17" i="23"/>
  <c r="M16" i="23"/>
  <c r="M15" i="23"/>
  <c r="M14" i="23"/>
  <c r="M13" i="23"/>
  <c r="M12" i="23"/>
  <c r="M11" i="23"/>
  <c r="M10" i="23"/>
  <c r="M9" i="23"/>
  <c r="M8" i="23"/>
  <c r="M7" i="23"/>
  <c r="M6" i="23"/>
  <c r="M5" i="23"/>
  <c r="D30" i="23"/>
  <c r="E8" i="8" s="1"/>
  <c r="F29" i="23"/>
  <c r="F28" i="23"/>
  <c r="F27" i="23"/>
  <c r="F26" i="23"/>
  <c r="F25" i="23"/>
  <c r="F24" i="23"/>
  <c r="F23" i="23"/>
  <c r="F22" i="23"/>
  <c r="F21" i="23"/>
  <c r="F20" i="23"/>
  <c r="F19" i="23"/>
  <c r="F18" i="23"/>
  <c r="F17" i="23"/>
  <c r="F16" i="23"/>
  <c r="F15" i="23"/>
  <c r="F14" i="23"/>
  <c r="F13" i="23"/>
  <c r="F12" i="23"/>
  <c r="F11" i="23"/>
  <c r="F10" i="23"/>
  <c r="F9" i="23"/>
  <c r="F8" i="23"/>
  <c r="F7" i="23"/>
  <c r="F6" i="23"/>
  <c r="F5" i="23"/>
  <c r="K30" i="20"/>
  <c r="I31" i="24" s="1"/>
  <c r="M29" i="20"/>
  <c r="M28" i="20"/>
  <c r="M27" i="20"/>
  <c r="M26" i="20"/>
  <c r="M25" i="20"/>
  <c r="M24" i="20"/>
  <c r="M23" i="20"/>
  <c r="M22" i="20"/>
  <c r="M21" i="20"/>
  <c r="M20" i="20"/>
  <c r="M19" i="20"/>
  <c r="M18" i="20"/>
  <c r="M17" i="20"/>
  <c r="M16" i="20"/>
  <c r="M15" i="20"/>
  <c r="M14" i="20"/>
  <c r="M13" i="20"/>
  <c r="M12" i="20"/>
  <c r="M11" i="20"/>
  <c r="M10" i="20"/>
  <c r="M9" i="20"/>
  <c r="M8" i="20"/>
  <c r="M7" i="20"/>
  <c r="M6" i="20"/>
  <c r="M5" i="20"/>
  <c r="D30" i="20"/>
  <c r="B8" i="22" s="1"/>
  <c r="B9" i="22" s="1"/>
  <c r="B10" i="22" s="1"/>
  <c r="F29" i="20"/>
  <c r="F28" i="20"/>
  <c r="F27" i="20"/>
  <c r="F26" i="20"/>
  <c r="F25" i="20"/>
  <c r="F24" i="20"/>
  <c r="F23" i="20"/>
  <c r="F22" i="20"/>
  <c r="F21" i="20"/>
  <c r="F20" i="20"/>
  <c r="F19" i="20"/>
  <c r="F18" i="20"/>
  <c r="F17" i="20"/>
  <c r="F16" i="20"/>
  <c r="F15" i="20"/>
  <c r="F14" i="20"/>
  <c r="F13" i="20"/>
  <c r="F12" i="20"/>
  <c r="F11" i="20"/>
  <c r="F10" i="20"/>
  <c r="F9" i="20"/>
  <c r="F8" i="20"/>
  <c r="F7" i="20"/>
  <c r="F6" i="20"/>
  <c r="F5" i="20"/>
  <c r="K30" i="17"/>
  <c r="I31" i="21" s="1"/>
  <c r="M29" i="17"/>
  <c r="M28" i="17"/>
  <c r="M27" i="17"/>
  <c r="M26" i="17"/>
  <c r="M25" i="17"/>
  <c r="M24" i="17"/>
  <c r="M23" i="17"/>
  <c r="M22" i="17"/>
  <c r="M21" i="17"/>
  <c r="M20" i="17"/>
  <c r="M19" i="17"/>
  <c r="M18" i="17"/>
  <c r="M17" i="17"/>
  <c r="M16" i="17"/>
  <c r="M15" i="17"/>
  <c r="M14" i="17"/>
  <c r="M13" i="17"/>
  <c r="M12" i="17"/>
  <c r="M11" i="17"/>
  <c r="M10" i="17"/>
  <c r="M9" i="17"/>
  <c r="M8" i="17"/>
  <c r="M7" i="17"/>
  <c r="M6" i="17"/>
  <c r="M5" i="17"/>
  <c r="D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K30" i="14"/>
  <c r="K31" i="14" s="1"/>
  <c r="D16" i="16" s="1"/>
  <c r="M29" i="14"/>
  <c r="M28" i="14"/>
  <c r="M27" i="14"/>
  <c r="M26" i="14"/>
  <c r="M25" i="14"/>
  <c r="M24" i="14"/>
  <c r="M23" i="14"/>
  <c r="M22" i="14"/>
  <c r="M21" i="14"/>
  <c r="M18" i="14"/>
  <c r="M17" i="14"/>
  <c r="M16" i="14"/>
  <c r="M15" i="14"/>
  <c r="M14" i="14"/>
  <c r="M13" i="14"/>
  <c r="M12" i="14"/>
  <c r="M11" i="14"/>
  <c r="M10" i="14"/>
  <c r="M9" i="14"/>
  <c r="M8" i="14"/>
  <c r="M7" i="14"/>
  <c r="M6" i="14"/>
  <c r="M5" i="14"/>
  <c r="D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M29" i="9"/>
  <c r="M28" i="9"/>
  <c r="M27" i="9"/>
  <c r="M26" i="9"/>
  <c r="M25" i="9"/>
  <c r="M24" i="9"/>
  <c r="M23" i="9"/>
  <c r="M22" i="9"/>
  <c r="M21" i="9"/>
  <c r="M18" i="9"/>
  <c r="M17" i="9"/>
  <c r="M16" i="9"/>
  <c r="M15" i="9"/>
  <c r="M14" i="9"/>
  <c r="M13" i="9"/>
  <c r="M12" i="9"/>
  <c r="M11" i="9"/>
  <c r="M10" i="9"/>
  <c r="M9" i="9"/>
  <c r="M8" i="9"/>
  <c r="M7" i="9"/>
  <c r="M6" i="9"/>
  <c r="M5" i="9"/>
  <c r="F29" i="9"/>
  <c r="F28" i="9"/>
  <c r="F27" i="9"/>
  <c r="F26" i="9"/>
  <c r="F25" i="9"/>
  <c r="F24" i="9"/>
  <c r="F23" i="9"/>
  <c r="F22" i="9"/>
  <c r="F21" i="9"/>
  <c r="F20" i="9"/>
  <c r="F19" i="9"/>
  <c r="F18" i="9"/>
  <c r="F17" i="9"/>
  <c r="F16" i="9"/>
  <c r="F15" i="9"/>
  <c r="F14" i="9"/>
  <c r="F13" i="9"/>
  <c r="F12" i="9"/>
  <c r="F11" i="9"/>
  <c r="F10" i="9"/>
  <c r="F9" i="9"/>
  <c r="F8" i="9"/>
  <c r="F7" i="9"/>
  <c r="F6" i="9"/>
  <c r="F5" i="9"/>
  <c r="K30" i="9"/>
  <c r="D30" i="9"/>
  <c r="A2" i="44"/>
  <c r="A1" i="44"/>
  <c r="B91" i="11"/>
  <c r="B91" i="5"/>
  <c r="A31" i="43"/>
  <c r="B27" i="43"/>
  <c r="A27" i="43"/>
  <c r="B26" i="43"/>
  <c r="B28" i="43" s="1"/>
  <c r="C28" i="43" s="1"/>
  <c r="A26" i="43"/>
  <c r="A3" i="43"/>
  <c r="B53" i="43"/>
  <c r="B27" i="44" s="1"/>
  <c r="C43" i="43"/>
  <c r="E21" i="43"/>
  <c r="D21" i="43"/>
  <c r="F20" i="43"/>
  <c r="F19" i="43"/>
  <c r="F18" i="43"/>
  <c r="F17" i="43"/>
  <c r="F16" i="43"/>
  <c r="E13" i="43"/>
  <c r="D13" i="43"/>
  <c r="F12" i="43"/>
  <c r="C23" i="44" s="1"/>
  <c r="F11" i="43"/>
  <c r="F10" i="43"/>
  <c r="F9" i="43"/>
  <c r="F8" i="43"/>
  <c r="D3" i="42"/>
  <c r="H2" i="42"/>
  <c r="A2" i="42"/>
  <c r="A2" i="41"/>
  <c r="A1" i="41"/>
  <c r="B24" i="41"/>
  <c r="F83" i="11"/>
  <c r="F83" i="5"/>
  <c r="B83" i="11"/>
  <c r="B83" i="5"/>
  <c r="H31" i="40"/>
  <c r="I27" i="40"/>
  <c r="I26" i="40"/>
  <c r="I28" i="40" s="1"/>
  <c r="J28" i="40" s="1"/>
  <c r="H27" i="40"/>
  <c r="H26" i="40"/>
  <c r="H3" i="40"/>
  <c r="A31" i="40"/>
  <c r="B27" i="40"/>
  <c r="A27" i="40"/>
  <c r="B26" i="40"/>
  <c r="B28" i="40" s="1"/>
  <c r="A26" i="40"/>
  <c r="A3" i="40"/>
  <c r="I53" i="40"/>
  <c r="D37" i="41" s="1"/>
  <c r="B53" i="40"/>
  <c r="J43" i="40"/>
  <c r="D36" i="41" s="1"/>
  <c r="C43" i="40"/>
  <c r="C36" i="41" s="1"/>
  <c r="L21" i="40"/>
  <c r="K21" i="40"/>
  <c r="E21" i="40"/>
  <c r="D21" i="40"/>
  <c r="M20" i="40"/>
  <c r="F20" i="40"/>
  <c r="M19" i="40"/>
  <c r="F19" i="40"/>
  <c r="M18" i="40"/>
  <c r="F18" i="40"/>
  <c r="M17" i="40"/>
  <c r="F17" i="40"/>
  <c r="M16" i="40"/>
  <c r="F16" i="40"/>
  <c r="L13" i="40"/>
  <c r="K13" i="40"/>
  <c r="E13" i="40"/>
  <c r="D13" i="40"/>
  <c r="M12" i="40"/>
  <c r="F12" i="40"/>
  <c r="M11" i="40"/>
  <c r="F11" i="40"/>
  <c r="M10" i="40"/>
  <c r="F10" i="40"/>
  <c r="M9" i="40"/>
  <c r="F9" i="40"/>
  <c r="M8" i="40"/>
  <c r="F8" i="40"/>
  <c r="K3" i="39"/>
  <c r="H2" i="39"/>
  <c r="D3" i="39"/>
  <c r="A2" i="39"/>
  <c r="A2" i="38"/>
  <c r="A1" i="38"/>
  <c r="B24" i="38"/>
  <c r="F75" i="11"/>
  <c r="F75" i="5"/>
  <c r="B75" i="11"/>
  <c r="B75" i="5"/>
  <c r="H31" i="37"/>
  <c r="A31" i="37"/>
  <c r="I27" i="37"/>
  <c r="H27" i="37"/>
  <c r="B27" i="37"/>
  <c r="A27" i="37"/>
  <c r="I26" i="37"/>
  <c r="I29" i="37" s="1"/>
  <c r="B26" i="37"/>
  <c r="B29" i="37" s="1"/>
  <c r="I27" i="33"/>
  <c r="I26" i="33"/>
  <c r="B27" i="33"/>
  <c r="B26" i="33"/>
  <c r="B29" i="33" s="1"/>
  <c r="H26" i="37"/>
  <c r="A26" i="37"/>
  <c r="H3" i="37"/>
  <c r="A3" i="37"/>
  <c r="I53" i="37"/>
  <c r="B53" i="37"/>
  <c r="B37" i="38" s="1"/>
  <c r="J43" i="37"/>
  <c r="E36" i="38" s="1"/>
  <c r="C43" i="37"/>
  <c r="B36" i="38" s="1"/>
  <c r="L21" i="37"/>
  <c r="K21" i="37"/>
  <c r="E21" i="37"/>
  <c r="D21" i="37"/>
  <c r="M20" i="37"/>
  <c r="F20" i="37"/>
  <c r="M19" i="37"/>
  <c r="F19" i="37"/>
  <c r="M18" i="37"/>
  <c r="F18" i="37"/>
  <c r="M17" i="37"/>
  <c r="F17" i="37"/>
  <c r="M16" i="37"/>
  <c r="F16" i="37"/>
  <c r="L13" i="37"/>
  <c r="K13" i="37"/>
  <c r="E13" i="37"/>
  <c r="D13" i="37"/>
  <c r="M12" i="37"/>
  <c r="F12" i="37"/>
  <c r="M11" i="37"/>
  <c r="F11" i="37"/>
  <c r="M10" i="37"/>
  <c r="F10" i="37"/>
  <c r="M9" i="37"/>
  <c r="F9" i="37"/>
  <c r="M8" i="37"/>
  <c r="F8" i="37"/>
  <c r="K3" i="36"/>
  <c r="H2" i="36"/>
  <c r="D3" i="36"/>
  <c r="A2" i="36"/>
  <c r="A2" i="35"/>
  <c r="A1" i="35"/>
  <c r="B24" i="35"/>
  <c r="F67" i="11"/>
  <c r="F67" i="5"/>
  <c r="B67" i="11"/>
  <c r="B67" i="5"/>
  <c r="H3" i="33"/>
  <c r="A3" i="33"/>
  <c r="H31" i="33"/>
  <c r="A31" i="33"/>
  <c r="A27" i="33"/>
  <c r="H27" i="33"/>
  <c r="H26" i="33"/>
  <c r="A26" i="33"/>
  <c r="I53" i="33"/>
  <c r="D37" i="35" s="1"/>
  <c r="B53" i="33"/>
  <c r="C37" i="35" s="1"/>
  <c r="J43" i="33"/>
  <c r="D36" i="35" s="1"/>
  <c r="C43" i="33"/>
  <c r="B36" i="35" s="1"/>
  <c r="L21" i="33"/>
  <c r="K21" i="33"/>
  <c r="E21" i="33"/>
  <c r="D21" i="33"/>
  <c r="M20" i="33"/>
  <c r="F20" i="33"/>
  <c r="M19" i="33"/>
  <c r="F19" i="33"/>
  <c r="M18" i="33"/>
  <c r="F18" i="33"/>
  <c r="M17" i="33"/>
  <c r="F17" i="33"/>
  <c r="M16" i="33"/>
  <c r="F16" i="33"/>
  <c r="L13" i="33"/>
  <c r="K13" i="33"/>
  <c r="E13" i="33"/>
  <c r="D13" i="33"/>
  <c r="M12" i="33"/>
  <c r="F12" i="33"/>
  <c r="M11" i="33"/>
  <c r="F11" i="33"/>
  <c r="M10" i="33"/>
  <c r="F10" i="33"/>
  <c r="M9" i="33"/>
  <c r="F9" i="33"/>
  <c r="M8" i="33"/>
  <c r="F8" i="33"/>
  <c r="K3" i="32"/>
  <c r="H2" i="32"/>
  <c r="D3" i="32"/>
  <c r="A2" i="32"/>
  <c r="A2" i="31"/>
  <c r="B24" i="31"/>
  <c r="F59" i="11"/>
  <c r="F59" i="5"/>
  <c r="B59" i="11"/>
  <c r="B59" i="5"/>
  <c r="A31" i="30"/>
  <c r="B27" i="30"/>
  <c r="B26" i="30"/>
  <c r="B29" i="30" s="1"/>
  <c r="A27" i="30"/>
  <c r="A26" i="30"/>
  <c r="A3" i="30"/>
  <c r="H31" i="30"/>
  <c r="I27" i="30"/>
  <c r="I26" i="30"/>
  <c r="I28" i="30" s="1"/>
  <c r="J28" i="30" s="1"/>
  <c r="H27" i="30"/>
  <c r="H26" i="30"/>
  <c r="H3" i="30"/>
  <c r="I53" i="30"/>
  <c r="E37" i="31" s="1"/>
  <c r="B53" i="30"/>
  <c r="B37" i="31" s="1"/>
  <c r="J43" i="30"/>
  <c r="C43" i="30"/>
  <c r="B36" i="31" s="1"/>
  <c r="L21" i="30"/>
  <c r="K21" i="30"/>
  <c r="E21" i="30"/>
  <c r="D21" i="30"/>
  <c r="M20" i="30"/>
  <c r="F20" i="30"/>
  <c r="M19" i="30"/>
  <c r="F19" i="30"/>
  <c r="M18" i="30"/>
  <c r="F18" i="30"/>
  <c r="M17" i="30"/>
  <c r="F17" i="30"/>
  <c r="M16" i="30"/>
  <c r="F16" i="30"/>
  <c r="L13" i="30"/>
  <c r="K13" i="30"/>
  <c r="E13" i="30"/>
  <c r="D13" i="30"/>
  <c r="M12" i="30"/>
  <c r="F12" i="30"/>
  <c r="M11" i="30"/>
  <c r="F11" i="30"/>
  <c r="M10" i="30"/>
  <c r="F10" i="30"/>
  <c r="M9" i="30"/>
  <c r="F9" i="30"/>
  <c r="M8" i="30"/>
  <c r="F8" i="30"/>
  <c r="K3" i="29"/>
  <c r="H2" i="29"/>
  <c r="D3" i="29"/>
  <c r="A2" i="29"/>
  <c r="A2" i="28"/>
  <c r="A2" i="25"/>
  <c r="A2" i="22"/>
  <c r="A2" i="19"/>
  <c r="A2" i="16"/>
  <c r="A2" i="6"/>
  <c r="C6" i="1"/>
  <c r="C36" i="31"/>
  <c r="A1" i="28"/>
  <c r="B24" i="28"/>
  <c r="B51" i="11"/>
  <c r="B51" i="5"/>
  <c r="F51" i="11"/>
  <c r="F51" i="5"/>
  <c r="H31" i="27"/>
  <c r="I27" i="27"/>
  <c r="I26" i="27"/>
  <c r="I28" i="27" s="1"/>
  <c r="J28" i="27" s="1"/>
  <c r="H27" i="27"/>
  <c r="H26" i="27"/>
  <c r="H3" i="27"/>
  <c r="A31" i="27"/>
  <c r="A31" i="24"/>
  <c r="B27" i="27"/>
  <c r="B26" i="27"/>
  <c r="B29" i="27" s="1"/>
  <c r="A27" i="27"/>
  <c r="A26" i="27"/>
  <c r="A3" i="27"/>
  <c r="I53" i="27"/>
  <c r="D37" i="28" s="1"/>
  <c r="B53" i="27"/>
  <c r="B37" i="28" s="1"/>
  <c r="J43" i="27"/>
  <c r="C43" i="27"/>
  <c r="B36" i="28" s="1"/>
  <c r="L21" i="27"/>
  <c r="K21" i="27"/>
  <c r="E21" i="27"/>
  <c r="D21" i="27"/>
  <c r="M20" i="27"/>
  <c r="F20" i="27"/>
  <c r="M19" i="27"/>
  <c r="F19" i="27"/>
  <c r="M18" i="27"/>
  <c r="F18" i="27"/>
  <c r="M17" i="27"/>
  <c r="F17" i="27"/>
  <c r="M16" i="27"/>
  <c r="F16" i="27"/>
  <c r="L13" i="27"/>
  <c r="K13" i="27"/>
  <c r="E13" i="27"/>
  <c r="D13" i="27"/>
  <c r="M12" i="27"/>
  <c r="F12" i="27"/>
  <c r="M11" i="27"/>
  <c r="F11" i="27"/>
  <c r="M10" i="27"/>
  <c r="F10" i="27"/>
  <c r="M9" i="27"/>
  <c r="F9" i="27"/>
  <c r="M8" i="27"/>
  <c r="F8" i="27"/>
  <c r="K3" i="26"/>
  <c r="H2" i="26"/>
  <c r="D3" i="26"/>
  <c r="A2" i="26"/>
  <c r="A1" i="25"/>
  <c r="B24" i="25"/>
  <c r="F43" i="11"/>
  <c r="B43" i="5"/>
  <c r="B43" i="11"/>
  <c r="F43" i="5"/>
  <c r="H31" i="24"/>
  <c r="I27" i="24"/>
  <c r="H27" i="24"/>
  <c r="I26" i="24"/>
  <c r="I28" i="24" s="1"/>
  <c r="H26" i="24"/>
  <c r="H3" i="24"/>
  <c r="B27" i="24"/>
  <c r="B26" i="24"/>
  <c r="B29" i="24" s="1"/>
  <c r="A27" i="24"/>
  <c r="A26" i="24"/>
  <c r="A3" i="24"/>
  <c r="K3" i="23"/>
  <c r="H2" i="23"/>
  <c r="D3" i="23"/>
  <c r="A2" i="23"/>
  <c r="I53" i="24"/>
  <c r="D37" i="25" s="1"/>
  <c r="B53" i="24"/>
  <c r="J43" i="24"/>
  <c r="C43" i="24"/>
  <c r="C36" i="25" s="1"/>
  <c r="L21" i="24"/>
  <c r="K21" i="24"/>
  <c r="E21" i="24"/>
  <c r="D21" i="24"/>
  <c r="M20" i="24"/>
  <c r="F20" i="24"/>
  <c r="M19" i="24"/>
  <c r="F19" i="24"/>
  <c r="M18" i="24"/>
  <c r="F18" i="24"/>
  <c r="M17" i="24"/>
  <c r="F17" i="24"/>
  <c r="M16" i="24"/>
  <c r="F16" i="24"/>
  <c r="L13" i="24"/>
  <c r="K13" i="24"/>
  <c r="E13" i="24"/>
  <c r="D13" i="24"/>
  <c r="M12" i="24"/>
  <c r="F12" i="24"/>
  <c r="M11" i="24"/>
  <c r="F11" i="24"/>
  <c r="M10" i="24"/>
  <c r="F10" i="24"/>
  <c r="M9" i="24"/>
  <c r="F9" i="24"/>
  <c r="M8" i="24"/>
  <c r="F8" i="24"/>
  <c r="I31" i="30"/>
  <c r="B16" i="28"/>
  <c r="B17" i="28" s="1"/>
  <c r="B18" i="28" s="1"/>
  <c r="A1" i="22"/>
  <c r="B24" i="22"/>
  <c r="F35" i="11"/>
  <c r="B35" i="11"/>
  <c r="F35" i="5"/>
  <c r="B35" i="5"/>
  <c r="H27" i="21"/>
  <c r="H31" i="21"/>
  <c r="I27" i="21"/>
  <c r="I26" i="21"/>
  <c r="I29" i="21" s="1"/>
  <c r="H26" i="21"/>
  <c r="H3" i="21"/>
  <c r="A31" i="21"/>
  <c r="B27" i="21"/>
  <c r="A27" i="21"/>
  <c r="B26" i="21"/>
  <c r="B28" i="21" s="1"/>
  <c r="A26" i="21"/>
  <c r="A3" i="21"/>
  <c r="I53" i="21"/>
  <c r="D37" i="22" s="1"/>
  <c r="B53" i="21"/>
  <c r="C37" i="22" s="1"/>
  <c r="J43" i="21"/>
  <c r="D36" i="22" s="1"/>
  <c r="C43" i="21"/>
  <c r="L21" i="21"/>
  <c r="K21" i="21"/>
  <c r="E21" i="21"/>
  <c r="D21" i="21"/>
  <c r="M20" i="21"/>
  <c r="F20" i="21"/>
  <c r="M19" i="21"/>
  <c r="F19" i="21"/>
  <c r="M18" i="21"/>
  <c r="F18" i="21"/>
  <c r="M17" i="21"/>
  <c r="F17" i="21"/>
  <c r="M16" i="21"/>
  <c r="F16" i="21"/>
  <c r="L13" i="21"/>
  <c r="K13" i="21"/>
  <c r="E13" i="21"/>
  <c r="D13" i="21"/>
  <c r="M12" i="21"/>
  <c r="F12" i="21"/>
  <c r="M11" i="21"/>
  <c r="F11" i="21"/>
  <c r="M10" i="21"/>
  <c r="F10" i="21"/>
  <c r="M9" i="21"/>
  <c r="F9" i="21"/>
  <c r="M8" i="21"/>
  <c r="F8" i="21"/>
  <c r="K3" i="20"/>
  <c r="H2" i="20"/>
  <c r="D3" i="20"/>
  <c r="A2" i="20"/>
  <c r="B24" i="19"/>
  <c r="B27" i="11"/>
  <c r="F27" i="11"/>
  <c r="F27" i="5"/>
  <c r="B27" i="5"/>
  <c r="I27" i="18"/>
  <c r="I26" i="18"/>
  <c r="H31" i="18"/>
  <c r="H27" i="18"/>
  <c r="H26" i="18"/>
  <c r="B27" i="18"/>
  <c r="B26" i="18"/>
  <c r="A31" i="18"/>
  <c r="A27" i="18"/>
  <c r="A26" i="18"/>
  <c r="H3" i="18"/>
  <c r="A3" i="18"/>
  <c r="I53" i="18"/>
  <c r="D37" i="19" s="1"/>
  <c r="B53" i="18"/>
  <c r="C37" i="19" s="1"/>
  <c r="J43" i="18"/>
  <c r="E36" i="19" s="1"/>
  <c r="C43" i="18"/>
  <c r="C36" i="19" s="1"/>
  <c r="L21" i="18"/>
  <c r="K21" i="18"/>
  <c r="E21" i="18"/>
  <c r="D21" i="18"/>
  <c r="M20" i="18"/>
  <c r="F20" i="18"/>
  <c r="M19" i="18"/>
  <c r="F19" i="18"/>
  <c r="M18" i="18"/>
  <c r="F18" i="18"/>
  <c r="M17" i="18"/>
  <c r="F17" i="18"/>
  <c r="M16" i="18"/>
  <c r="F16" i="18"/>
  <c r="L13" i="18"/>
  <c r="K13" i="18"/>
  <c r="E13" i="18"/>
  <c r="D13" i="18"/>
  <c r="M12" i="18"/>
  <c r="F12" i="18"/>
  <c r="M11" i="18"/>
  <c r="F11" i="18"/>
  <c r="M10" i="18"/>
  <c r="F10" i="18"/>
  <c r="M9" i="18"/>
  <c r="F9" i="18"/>
  <c r="M8" i="18"/>
  <c r="F8" i="18"/>
  <c r="H2" i="17"/>
  <c r="K3" i="17"/>
  <c r="D3" i="17"/>
  <c r="A2" i="17"/>
  <c r="F19" i="11"/>
  <c r="B19" i="11"/>
  <c r="F19" i="5"/>
  <c r="B19" i="5"/>
  <c r="A1" i="16"/>
  <c r="B24" i="16"/>
  <c r="B27" i="15"/>
  <c r="B26" i="15"/>
  <c r="A31" i="15"/>
  <c r="H31" i="15"/>
  <c r="H27" i="15"/>
  <c r="H26" i="15"/>
  <c r="H3" i="15"/>
  <c r="A27" i="15"/>
  <c r="A26" i="15"/>
  <c r="I53" i="15"/>
  <c r="E37" i="16" s="1"/>
  <c r="B53" i="15"/>
  <c r="B37" i="16" s="1"/>
  <c r="J43" i="15"/>
  <c r="E36" i="16" s="1"/>
  <c r="C43" i="15"/>
  <c r="C36" i="16" s="1"/>
  <c r="L21" i="15"/>
  <c r="K21" i="15"/>
  <c r="E21" i="15"/>
  <c r="D21" i="15"/>
  <c r="M20" i="15"/>
  <c r="F20" i="15"/>
  <c r="M19" i="15"/>
  <c r="F19" i="15"/>
  <c r="M18" i="15"/>
  <c r="F18" i="15"/>
  <c r="M17" i="15"/>
  <c r="F17" i="15"/>
  <c r="M16" i="15"/>
  <c r="F16" i="15"/>
  <c r="L13" i="15"/>
  <c r="K13" i="15"/>
  <c r="E13" i="15"/>
  <c r="D13" i="15"/>
  <c r="M12" i="15"/>
  <c r="F12" i="15"/>
  <c r="M11" i="15"/>
  <c r="F11" i="15"/>
  <c r="M10" i="15"/>
  <c r="F10" i="15"/>
  <c r="M9" i="15"/>
  <c r="F9" i="15"/>
  <c r="M8" i="15"/>
  <c r="F8" i="15"/>
  <c r="K3" i="14"/>
  <c r="H2" i="14"/>
  <c r="D3" i="14"/>
  <c r="A2" i="14"/>
  <c r="I4" i="13"/>
  <c r="E4" i="13"/>
  <c r="A4" i="13"/>
  <c r="A95" i="13"/>
  <c r="A94" i="13"/>
  <c r="A93" i="13"/>
  <c r="A92" i="13"/>
  <c r="A91" i="13"/>
  <c r="A90" i="13"/>
  <c r="E89" i="13"/>
  <c r="A89" i="13"/>
  <c r="E87" i="13"/>
  <c r="A87" i="13"/>
  <c r="E86" i="13"/>
  <c r="A86" i="13"/>
  <c r="E85" i="13"/>
  <c r="A85" i="13"/>
  <c r="E84" i="13"/>
  <c r="A84" i="13"/>
  <c r="E83" i="13"/>
  <c r="A83" i="13"/>
  <c r="E82" i="13"/>
  <c r="A82" i="13"/>
  <c r="E81" i="13"/>
  <c r="A81" i="13"/>
  <c r="E79" i="13"/>
  <c r="A79" i="13"/>
  <c r="E78" i="13"/>
  <c r="A78" i="13"/>
  <c r="E77" i="13"/>
  <c r="A77" i="13"/>
  <c r="E76" i="13"/>
  <c r="A76" i="13"/>
  <c r="E75" i="13"/>
  <c r="A75" i="13"/>
  <c r="E74" i="13"/>
  <c r="A74" i="13"/>
  <c r="E73" i="13"/>
  <c r="A73" i="13"/>
  <c r="E71" i="13"/>
  <c r="A71" i="13"/>
  <c r="E70" i="13"/>
  <c r="A70" i="13"/>
  <c r="E69" i="13"/>
  <c r="A69" i="13"/>
  <c r="E68" i="13"/>
  <c r="A68" i="13"/>
  <c r="E67" i="13"/>
  <c r="A67" i="13"/>
  <c r="E66" i="13"/>
  <c r="A66" i="13"/>
  <c r="E65" i="13"/>
  <c r="A65" i="13"/>
  <c r="E63" i="13"/>
  <c r="A63" i="13"/>
  <c r="E62" i="13"/>
  <c r="A62" i="13"/>
  <c r="E61" i="13"/>
  <c r="A61" i="13"/>
  <c r="E60" i="13"/>
  <c r="A60" i="13"/>
  <c r="E59" i="13"/>
  <c r="A59" i="13"/>
  <c r="E58" i="13"/>
  <c r="A58" i="13"/>
  <c r="E57" i="13"/>
  <c r="A57" i="13"/>
  <c r="E55" i="13"/>
  <c r="A55" i="13"/>
  <c r="E54" i="13"/>
  <c r="A54" i="13"/>
  <c r="E53" i="13"/>
  <c r="A53" i="13"/>
  <c r="E52" i="13"/>
  <c r="A52" i="13"/>
  <c r="E51" i="13"/>
  <c r="A51" i="13"/>
  <c r="E50" i="13"/>
  <c r="A50" i="13"/>
  <c r="E49" i="13"/>
  <c r="A49" i="13"/>
  <c r="E47" i="13"/>
  <c r="A47" i="13"/>
  <c r="E46" i="13"/>
  <c r="A46" i="13"/>
  <c r="E45" i="13"/>
  <c r="A45" i="13"/>
  <c r="E44" i="13"/>
  <c r="A44" i="13"/>
  <c r="E43" i="13"/>
  <c r="A43" i="13"/>
  <c r="E42" i="13"/>
  <c r="A42" i="13"/>
  <c r="E41" i="13"/>
  <c r="A41" i="13"/>
  <c r="E39" i="13"/>
  <c r="A39" i="13"/>
  <c r="E38" i="13"/>
  <c r="A38" i="13"/>
  <c r="E37" i="13"/>
  <c r="A37" i="13"/>
  <c r="E36" i="13"/>
  <c r="A36" i="13"/>
  <c r="E35" i="13"/>
  <c r="A35" i="13"/>
  <c r="E34" i="13"/>
  <c r="A34" i="13"/>
  <c r="E33" i="13"/>
  <c r="A33" i="13"/>
  <c r="E31" i="13"/>
  <c r="A31" i="13"/>
  <c r="E30" i="13"/>
  <c r="A30" i="13"/>
  <c r="E29" i="13"/>
  <c r="A29" i="13"/>
  <c r="E28" i="13"/>
  <c r="A28" i="13"/>
  <c r="E27" i="13"/>
  <c r="A27" i="13"/>
  <c r="E26" i="13"/>
  <c r="A26" i="13"/>
  <c r="E25" i="13"/>
  <c r="A25" i="13"/>
  <c r="E23" i="13"/>
  <c r="A23" i="13"/>
  <c r="E22" i="13"/>
  <c r="A22" i="13"/>
  <c r="E21" i="13"/>
  <c r="A21" i="13"/>
  <c r="E20" i="13"/>
  <c r="A20" i="13"/>
  <c r="E19" i="13"/>
  <c r="A19" i="13"/>
  <c r="E18" i="13"/>
  <c r="A18" i="13"/>
  <c r="E17" i="13"/>
  <c r="A17" i="13"/>
  <c r="E15" i="13"/>
  <c r="E14" i="13"/>
  <c r="E13" i="13"/>
  <c r="E12" i="13"/>
  <c r="E11" i="13"/>
  <c r="E10" i="13"/>
  <c r="E9" i="13"/>
  <c r="A9" i="13"/>
  <c r="E3" i="13"/>
  <c r="A3" i="13"/>
  <c r="I4" i="12"/>
  <c r="E4" i="12"/>
  <c r="A4" i="12"/>
  <c r="A95" i="12"/>
  <c r="A94" i="12"/>
  <c r="A93" i="12"/>
  <c r="A92" i="12"/>
  <c r="A91" i="12"/>
  <c r="A90" i="12"/>
  <c r="E89" i="12"/>
  <c r="A89" i="12"/>
  <c r="E87" i="12"/>
  <c r="A87" i="12"/>
  <c r="E86" i="12"/>
  <c r="A86" i="12"/>
  <c r="E85" i="12"/>
  <c r="A85" i="12"/>
  <c r="E84" i="12"/>
  <c r="A84" i="12"/>
  <c r="E83" i="12"/>
  <c r="A83" i="12"/>
  <c r="E82" i="12"/>
  <c r="A82" i="12"/>
  <c r="E81" i="12"/>
  <c r="A81" i="12"/>
  <c r="E79" i="12"/>
  <c r="A79" i="12"/>
  <c r="E78" i="12"/>
  <c r="A78" i="12"/>
  <c r="E77" i="12"/>
  <c r="A77" i="12"/>
  <c r="E76" i="12"/>
  <c r="A76" i="12"/>
  <c r="E75" i="12"/>
  <c r="A75" i="12"/>
  <c r="E74" i="12"/>
  <c r="A74" i="12"/>
  <c r="E73" i="12"/>
  <c r="A73" i="12"/>
  <c r="E71" i="12"/>
  <c r="A71" i="12"/>
  <c r="E70" i="12"/>
  <c r="A70" i="12"/>
  <c r="E69" i="12"/>
  <c r="A69" i="12"/>
  <c r="E68" i="12"/>
  <c r="A68" i="12"/>
  <c r="E67" i="12"/>
  <c r="A67" i="12"/>
  <c r="E66" i="12"/>
  <c r="A66" i="12"/>
  <c r="E65" i="12"/>
  <c r="A65" i="12"/>
  <c r="E63" i="12"/>
  <c r="A63" i="12"/>
  <c r="E62" i="12"/>
  <c r="A62" i="12"/>
  <c r="E61" i="12"/>
  <c r="A61" i="12"/>
  <c r="E60" i="12"/>
  <c r="A60" i="12"/>
  <c r="E59" i="12"/>
  <c r="A59" i="12"/>
  <c r="E58" i="12"/>
  <c r="A58" i="12"/>
  <c r="E57" i="12"/>
  <c r="A57" i="12"/>
  <c r="E55" i="12"/>
  <c r="A55" i="12"/>
  <c r="E54" i="12"/>
  <c r="A54" i="12"/>
  <c r="E53" i="12"/>
  <c r="A53" i="12"/>
  <c r="E52" i="12"/>
  <c r="A52" i="12"/>
  <c r="E51" i="12"/>
  <c r="A51" i="12"/>
  <c r="E50" i="12"/>
  <c r="A50" i="12"/>
  <c r="E49" i="12"/>
  <c r="A49" i="12"/>
  <c r="E47" i="12"/>
  <c r="A47" i="12"/>
  <c r="E46" i="12"/>
  <c r="A46" i="12"/>
  <c r="E45" i="12"/>
  <c r="A45" i="12"/>
  <c r="E44" i="12"/>
  <c r="A44" i="12"/>
  <c r="E43" i="12"/>
  <c r="A43" i="12"/>
  <c r="E42" i="12"/>
  <c r="A42" i="12"/>
  <c r="E41" i="12"/>
  <c r="A41" i="12"/>
  <c r="E39" i="12"/>
  <c r="A39" i="12"/>
  <c r="E38" i="12"/>
  <c r="A38" i="12"/>
  <c r="E37" i="12"/>
  <c r="A37" i="12"/>
  <c r="E36" i="12"/>
  <c r="A36" i="12"/>
  <c r="E35" i="12"/>
  <c r="A35" i="12"/>
  <c r="E34" i="12"/>
  <c r="A34" i="12"/>
  <c r="E33" i="12"/>
  <c r="A33" i="12"/>
  <c r="E31" i="12"/>
  <c r="A31" i="12"/>
  <c r="E30" i="12"/>
  <c r="A30" i="12"/>
  <c r="E29" i="12"/>
  <c r="A29" i="12"/>
  <c r="E28" i="12"/>
  <c r="A28" i="12"/>
  <c r="E27" i="12"/>
  <c r="A27" i="12"/>
  <c r="E26" i="12"/>
  <c r="A26" i="12"/>
  <c r="E25" i="12"/>
  <c r="A25" i="12"/>
  <c r="E23" i="12"/>
  <c r="A23" i="12"/>
  <c r="E22" i="12"/>
  <c r="A22" i="12"/>
  <c r="E21" i="12"/>
  <c r="A21" i="12"/>
  <c r="E20" i="12"/>
  <c r="A20" i="12"/>
  <c r="E19" i="12"/>
  <c r="A19" i="12"/>
  <c r="E18" i="12"/>
  <c r="A18" i="12"/>
  <c r="E17" i="12"/>
  <c r="A17" i="12"/>
  <c r="E15" i="12"/>
  <c r="E14" i="12"/>
  <c r="E13" i="12"/>
  <c r="E12" i="12"/>
  <c r="E11" i="12"/>
  <c r="E10" i="12"/>
  <c r="E9" i="12"/>
  <c r="A9" i="12"/>
  <c r="E3" i="12"/>
  <c r="A3" i="12"/>
  <c r="I4" i="11"/>
  <c r="E4" i="11"/>
  <c r="A4" i="11"/>
  <c r="A94" i="11"/>
  <c r="A93" i="11"/>
  <c r="A92" i="11"/>
  <c r="A91" i="11"/>
  <c r="A90" i="11"/>
  <c r="A89" i="11"/>
  <c r="E88" i="11"/>
  <c r="A88" i="11"/>
  <c r="E86" i="11"/>
  <c r="A86" i="11"/>
  <c r="E85" i="11"/>
  <c r="A85" i="11"/>
  <c r="E84" i="11"/>
  <c r="A84" i="11"/>
  <c r="E83" i="11"/>
  <c r="A83" i="11"/>
  <c r="E82" i="11"/>
  <c r="A82" i="11"/>
  <c r="E81" i="11"/>
  <c r="A81" i="11"/>
  <c r="E80" i="11"/>
  <c r="A80" i="11"/>
  <c r="E78" i="11"/>
  <c r="A78" i="11"/>
  <c r="E77" i="11"/>
  <c r="A77" i="11"/>
  <c r="E76" i="11"/>
  <c r="A76" i="11"/>
  <c r="E75" i="11"/>
  <c r="A75" i="11"/>
  <c r="E74" i="11"/>
  <c r="A74" i="11"/>
  <c r="E73" i="11"/>
  <c r="A73" i="11"/>
  <c r="E72" i="11"/>
  <c r="A72" i="11"/>
  <c r="E70" i="11"/>
  <c r="A70" i="11"/>
  <c r="E69" i="11"/>
  <c r="A69" i="11"/>
  <c r="E68" i="11"/>
  <c r="A68" i="11"/>
  <c r="E67" i="11"/>
  <c r="A67" i="11"/>
  <c r="E66" i="11"/>
  <c r="A66" i="11"/>
  <c r="E65" i="11"/>
  <c r="A65" i="11"/>
  <c r="E64" i="11"/>
  <c r="A64" i="11"/>
  <c r="E62" i="11"/>
  <c r="A62" i="11"/>
  <c r="E61" i="11"/>
  <c r="A61" i="11"/>
  <c r="E60" i="11"/>
  <c r="A60" i="11"/>
  <c r="E59" i="11"/>
  <c r="A59" i="11"/>
  <c r="E58" i="11"/>
  <c r="A58" i="11"/>
  <c r="E57" i="11"/>
  <c r="A57" i="11"/>
  <c r="E56" i="11"/>
  <c r="A56" i="11"/>
  <c r="E54" i="11"/>
  <c r="A54" i="11"/>
  <c r="E53" i="11"/>
  <c r="A53" i="11"/>
  <c r="E52" i="11"/>
  <c r="A52" i="11"/>
  <c r="E51" i="11"/>
  <c r="A51" i="11"/>
  <c r="E50" i="11"/>
  <c r="A50" i="11"/>
  <c r="E49" i="11"/>
  <c r="A49" i="11"/>
  <c r="E48" i="11"/>
  <c r="A48" i="11"/>
  <c r="E46" i="11"/>
  <c r="A46" i="11"/>
  <c r="E45" i="11"/>
  <c r="A45" i="11"/>
  <c r="E44" i="11"/>
  <c r="A44" i="11"/>
  <c r="E43" i="11"/>
  <c r="A43" i="11"/>
  <c r="E42" i="11"/>
  <c r="A42" i="11"/>
  <c r="E41" i="11"/>
  <c r="A41" i="11"/>
  <c r="E40" i="11"/>
  <c r="A40" i="11"/>
  <c r="E38" i="11"/>
  <c r="A38" i="11"/>
  <c r="E37" i="11"/>
  <c r="A37" i="11"/>
  <c r="E36" i="11"/>
  <c r="A36" i="11"/>
  <c r="E35" i="11"/>
  <c r="A35" i="11"/>
  <c r="E34" i="11"/>
  <c r="A34" i="11"/>
  <c r="E33" i="11"/>
  <c r="A33" i="11"/>
  <c r="E32" i="11"/>
  <c r="A32" i="11"/>
  <c r="E30" i="11"/>
  <c r="A30" i="11"/>
  <c r="E29" i="11"/>
  <c r="A29" i="11"/>
  <c r="E28" i="11"/>
  <c r="A28" i="11"/>
  <c r="E27" i="11"/>
  <c r="A27" i="11"/>
  <c r="E26" i="11"/>
  <c r="A26" i="11"/>
  <c r="E25" i="11"/>
  <c r="A25" i="11"/>
  <c r="E24" i="11"/>
  <c r="A24" i="11"/>
  <c r="E22" i="11"/>
  <c r="A22" i="11"/>
  <c r="E21" i="11"/>
  <c r="A21" i="11"/>
  <c r="E20" i="11"/>
  <c r="A20" i="11"/>
  <c r="E19" i="11"/>
  <c r="A19" i="11"/>
  <c r="E18" i="11"/>
  <c r="A18" i="11"/>
  <c r="E17" i="11"/>
  <c r="A17" i="11"/>
  <c r="E16" i="11"/>
  <c r="A16" i="11"/>
  <c r="E14" i="11"/>
  <c r="E13" i="11"/>
  <c r="E12" i="11"/>
  <c r="F11" i="11"/>
  <c r="E11" i="11"/>
  <c r="E10" i="11"/>
  <c r="E9" i="11"/>
  <c r="E8" i="11"/>
  <c r="A8" i="11"/>
  <c r="E3" i="11"/>
  <c r="A3" i="11"/>
  <c r="A1" i="6"/>
  <c r="B24" i="6"/>
  <c r="F11" i="5"/>
  <c r="H31" i="10"/>
  <c r="A31" i="10"/>
  <c r="H27" i="10"/>
  <c r="H26" i="10"/>
  <c r="A27" i="10"/>
  <c r="A26" i="10"/>
  <c r="A15" i="1"/>
  <c r="H3" i="10"/>
  <c r="A3" i="10"/>
  <c r="H2" i="9"/>
  <c r="A2" i="9"/>
  <c r="K3" i="9"/>
  <c r="D3" i="9"/>
  <c r="I53" i="10"/>
  <c r="D37" i="6" s="1"/>
  <c r="B53" i="10"/>
  <c r="C37" i="6" s="1"/>
  <c r="J43" i="10"/>
  <c r="E36" i="6" s="1"/>
  <c r="C43" i="10"/>
  <c r="C36" i="6" s="1"/>
  <c r="L21" i="10"/>
  <c r="K21" i="10"/>
  <c r="E21" i="10"/>
  <c r="D21" i="10"/>
  <c r="M20" i="10"/>
  <c r="F20" i="10"/>
  <c r="M19" i="10"/>
  <c r="F19" i="10"/>
  <c r="M18" i="10"/>
  <c r="F18" i="10"/>
  <c r="M17" i="10"/>
  <c r="F17" i="10"/>
  <c r="M16" i="10"/>
  <c r="F16" i="10"/>
  <c r="L13" i="10"/>
  <c r="K13" i="10"/>
  <c r="E13" i="10"/>
  <c r="D13" i="10"/>
  <c r="M12" i="10"/>
  <c r="F12" i="10"/>
  <c r="M11" i="10"/>
  <c r="F11" i="10"/>
  <c r="M10" i="10"/>
  <c r="F10" i="10"/>
  <c r="M9" i="10"/>
  <c r="F9" i="10"/>
  <c r="M8" i="10"/>
  <c r="F8" i="10"/>
  <c r="A91" i="5"/>
  <c r="A90" i="5"/>
  <c r="A94" i="5"/>
  <c r="A93" i="5"/>
  <c r="A92" i="5"/>
  <c r="A89" i="5"/>
  <c r="A88" i="5"/>
  <c r="A80" i="5"/>
  <c r="A83" i="5"/>
  <c r="A82" i="5"/>
  <c r="A86" i="5"/>
  <c r="A85" i="5"/>
  <c r="A84" i="5"/>
  <c r="A81" i="5"/>
  <c r="A75" i="5"/>
  <c r="A74" i="5"/>
  <c r="A78" i="5"/>
  <c r="A77" i="5"/>
  <c r="A76" i="5"/>
  <c r="A73" i="5"/>
  <c r="A72" i="5"/>
  <c r="A67" i="5"/>
  <c r="A66" i="5"/>
  <c r="A70" i="5"/>
  <c r="A69" i="5"/>
  <c r="A68" i="5"/>
  <c r="A65" i="5"/>
  <c r="A64" i="5"/>
  <c r="A59" i="5"/>
  <c r="A58" i="5"/>
  <c r="A62" i="5"/>
  <c r="A61" i="5"/>
  <c r="A60" i="5"/>
  <c r="A57" i="5"/>
  <c r="A56" i="5"/>
  <c r="E88" i="5"/>
  <c r="E48" i="5"/>
  <c r="A48" i="5"/>
  <c r="A51" i="5"/>
  <c r="A50" i="5"/>
  <c r="A54" i="5"/>
  <c r="A53" i="5"/>
  <c r="A52" i="5"/>
  <c r="A49" i="5"/>
  <c r="A40" i="5"/>
  <c r="A43" i="5"/>
  <c r="A42" i="5"/>
  <c r="A46" i="5"/>
  <c r="A45" i="5"/>
  <c r="A44" i="5"/>
  <c r="A41" i="5"/>
  <c r="A32" i="5"/>
  <c r="A24" i="5"/>
  <c r="A35" i="5"/>
  <c r="A34" i="5"/>
  <c r="A38" i="5"/>
  <c r="A37" i="5"/>
  <c r="A36" i="5"/>
  <c r="A33" i="5"/>
  <c r="A29" i="5"/>
  <c r="A21" i="5"/>
  <c r="E85" i="5"/>
  <c r="E77" i="5"/>
  <c r="E69" i="5"/>
  <c r="E61" i="5"/>
  <c r="E53" i="5"/>
  <c r="E45" i="5"/>
  <c r="E37" i="5"/>
  <c r="E29" i="5"/>
  <c r="E21" i="5"/>
  <c r="E13" i="5"/>
  <c r="A27" i="5"/>
  <c r="A19" i="5"/>
  <c r="A26" i="5"/>
  <c r="A30" i="5"/>
  <c r="A28" i="5"/>
  <c r="A25" i="5"/>
  <c r="A4" i="5"/>
  <c r="A3" i="5"/>
  <c r="A18" i="5"/>
  <c r="A17" i="5"/>
  <c r="E84" i="5"/>
  <c r="E76" i="5"/>
  <c r="E68" i="5"/>
  <c r="E60" i="5"/>
  <c r="E52" i="5"/>
  <c r="E44" i="5"/>
  <c r="E36" i="5"/>
  <c r="E28" i="5"/>
  <c r="A20" i="5"/>
  <c r="E20" i="5"/>
  <c r="E12" i="5"/>
  <c r="A22" i="5"/>
  <c r="A16" i="5"/>
  <c r="E16" i="5"/>
  <c r="A8" i="5"/>
  <c r="E86" i="5"/>
  <c r="E83" i="5"/>
  <c r="E82" i="5"/>
  <c r="E81" i="5"/>
  <c r="E80" i="5"/>
  <c r="E78" i="5"/>
  <c r="E75" i="5"/>
  <c r="E74" i="5"/>
  <c r="E73" i="5"/>
  <c r="E72" i="5"/>
  <c r="E70" i="5"/>
  <c r="E67" i="5"/>
  <c r="E66" i="5"/>
  <c r="E65" i="5"/>
  <c r="E64" i="5"/>
  <c r="J22" i="2"/>
  <c r="J21" i="2"/>
  <c r="J20" i="2"/>
  <c r="J19" i="2"/>
  <c r="J18" i="2"/>
  <c r="J17" i="2"/>
  <c r="J16" i="2"/>
  <c r="J15" i="2"/>
  <c r="J14" i="2"/>
  <c r="J13" i="2"/>
  <c r="J12" i="2"/>
  <c r="J11" i="2"/>
  <c r="J10" i="2"/>
  <c r="J9" i="2"/>
  <c r="J8" i="2"/>
  <c r="J7" i="2"/>
  <c r="J6" i="2"/>
  <c r="J5" i="2"/>
  <c r="J4" i="2"/>
  <c r="E56" i="5"/>
  <c r="E62" i="5"/>
  <c r="E59" i="5"/>
  <c r="E58" i="5"/>
  <c r="E57" i="5"/>
  <c r="E54" i="5"/>
  <c r="E51" i="5"/>
  <c r="E50" i="5"/>
  <c r="E49" i="5"/>
  <c r="E46" i="5"/>
  <c r="E43" i="5"/>
  <c r="E42" i="5"/>
  <c r="E41" i="5"/>
  <c r="E40" i="5"/>
  <c r="E38" i="5"/>
  <c r="E35" i="5"/>
  <c r="E34" i="5"/>
  <c r="E33" i="5"/>
  <c r="E32" i="5"/>
  <c r="E24" i="5"/>
  <c r="E30" i="5"/>
  <c r="E27" i="5"/>
  <c r="E26" i="5"/>
  <c r="E25" i="5"/>
  <c r="E22" i="5"/>
  <c r="E19" i="5"/>
  <c r="E18" i="5"/>
  <c r="E14" i="5"/>
  <c r="E11" i="5"/>
  <c r="E10" i="5"/>
  <c r="E9" i="5"/>
  <c r="E8" i="5"/>
  <c r="E17" i="5"/>
  <c r="E3" i="5"/>
  <c r="E4" i="5"/>
  <c r="B13" i="8"/>
  <c r="B12" i="8"/>
  <c r="B11" i="8"/>
  <c r="B10" i="8"/>
  <c r="B9" i="8"/>
  <c r="B8" i="8"/>
  <c r="B7" i="8"/>
  <c r="B6" i="8"/>
  <c r="B5" i="8"/>
  <c r="B4" i="8"/>
  <c r="A23" i="2"/>
  <c r="A22" i="2"/>
  <c r="A21" i="2"/>
  <c r="A20" i="2"/>
  <c r="A19" i="2"/>
  <c r="A18" i="2"/>
  <c r="A17" i="2"/>
  <c r="A16" i="2"/>
  <c r="A15" i="2"/>
  <c r="A14" i="2"/>
  <c r="A13" i="2"/>
  <c r="I4" i="5"/>
  <c r="A12" i="2"/>
  <c r="A11" i="2"/>
  <c r="A10" i="2"/>
  <c r="A9" i="2"/>
  <c r="A8" i="2"/>
  <c r="A7" i="2"/>
  <c r="A6" i="2"/>
  <c r="A5" i="2"/>
  <c r="A4" i="2"/>
  <c r="B31" i="40" l="1"/>
  <c r="D38" i="22"/>
  <c r="D31" i="26"/>
  <c r="B54" i="12" s="1"/>
  <c r="B55" i="12" s="1"/>
  <c r="B38" i="25"/>
  <c r="B31" i="43"/>
  <c r="D31" i="39"/>
  <c r="D8" i="41" s="1"/>
  <c r="D9" i="41" s="1"/>
  <c r="D10" i="41" s="1"/>
  <c r="B86" i="12"/>
  <c r="B87" i="12" s="1"/>
  <c r="B8" i="41"/>
  <c r="B9" i="41" s="1"/>
  <c r="B10" i="41" s="1"/>
  <c r="B69" i="5"/>
  <c r="B70" i="5" s="1"/>
  <c r="B85" i="5"/>
  <c r="B86" i="5" s="1"/>
  <c r="D31" i="32"/>
  <c r="B70" i="12" s="1"/>
  <c r="B71" i="12" s="1"/>
  <c r="D38" i="6"/>
  <c r="F37" i="5"/>
  <c r="F38" i="5" s="1"/>
  <c r="K31" i="20"/>
  <c r="D16" i="22" s="1"/>
  <c r="D17" i="22" s="1"/>
  <c r="D18" i="22" s="1"/>
  <c r="B16" i="22"/>
  <c r="B17" i="22" s="1"/>
  <c r="B18" i="22" s="1"/>
  <c r="F53" i="5"/>
  <c r="F54" i="5" s="1"/>
  <c r="E36" i="41"/>
  <c r="D31" i="36"/>
  <c r="B78" i="12" s="1"/>
  <c r="B79" i="12" s="1"/>
  <c r="F29" i="5"/>
  <c r="F61" i="5"/>
  <c r="F62" i="5" s="1"/>
  <c r="B38" i="31"/>
  <c r="B16" i="31"/>
  <c r="B17" i="31" s="1"/>
  <c r="B18" i="31" s="1"/>
  <c r="I31" i="33"/>
  <c r="D36" i="16"/>
  <c r="E37" i="22"/>
  <c r="B28" i="33"/>
  <c r="C28" i="33" s="1"/>
  <c r="E37" i="35"/>
  <c r="C36" i="38"/>
  <c r="B28" i="37"/>
  <c r="C28" i="37" s="1"/>
  <c r="I29" i="40"/>
  <c r="B28" i="27"/>
  <c r="C28" i="27" s="1"/>
  <c r="E37" i="19"/>
  <c r="D36" i="6"/>
  <c r="B29" i="21"/>
  <c r="C36" i="35"/>
  <c r="B8" i="38"/>
  <c r="B9" i="38" s="1"/>
  <c r="B10" i="38" s="1"/>
  <c r="F85" i="5"/>
  <c r="F86" i="5" s="1"/>
  <c r="B8" i="25"/>
  <c r="B9" i="25" s="1"/>
  <c r="B10" i="25" s="1"/>
  <c r="C37" i="38"/>
  <c r="C36" i="28"/>
  <c r="B36" i="19"/>
  <c r="B45" i="5"/>
  <c r="B46" i="5" s="1"/>
  <c r="D31" i="23"/>
  <c r="D8" i="25" s="1"/>
  <c r="D9" i="25" s="1"/>
  <c r="D10" i="25" s="1"/>
  <c r="M21" i="33"/>
  <c r="B8" i="44"/>
  <c r="B9" i="44" s="1"/>
  <c r="B10" i="44" s="1"/>
  <c r="B36" i="6"/>
  <c r="B16" i="41"/>
  <c r="B17" i="41" s="1"/>
  <c r="B18" i="41" s="1"/>
  <c r="D31" i="42"/>
  <c r="D8" i="44" s="1"/>
  <c r="D9" i="44" s="1"/>
  <c r="D10" i="44" s="1"/>
  <c r="D38" i="28"/>
  <c r="C37" i="16"/>
  <c r="B31" i="27"/>
  <c r="B32" i="27" s="1"/>
  <c r="B35" i="28" s="1"/>
  <c r="B23" i="44"/>
  <c r="B38" i="38"/>
  <c r="D38" i="35"/>
  <c r="B28" i="24"/>
  <c r="C28" i="24" s="1"/>
  <c r="D38" i="25"/>
  <c r="F30" i="36"/>
  <c r="F31" i="36" s="1"/>
  <c r="F21" i="5"/>
  <c r="B16" i="16"/>
  <c r="I31" i="18"/>
  <c r="B16" i="19"/>
  <c r="K31" i="17"/>
  <c r="D16" i="19" s="1"/>
  <c r="C11" i="1"/>
  <c r="I27" i="15"/>
  <c r="I28" i="15" s="1"/>
  <c r="J28" i="15" s="1"/>
  <c r="I26" i="10"/>
  <c r="D13" i="1"/>
  <c r="D12" i="1"/>
  <c r="D11" i="1"/>
  <c r="D10" i="1"/>
  <c r="C12" i="1" s="1"/>
  <c r="C19" i="1"/>
  <c r="I27" i="10" s="1"/>
  <c r="E5" i="8"/>
  <c r="B17" i="1"/>
  <c r="B31" i="10" s="1"/>
  <c r="F13" i="10"/>
  <c r="M21" i="15"/>
  <c r="F13" i="18"/>
  <c r="I28" i="18"/>
  <c r="J28" i="18" s="1"/>
  <c r="D37" i="31"/>
  <c r="I28" i="37"/>
  <c r="J28" i="37" s="1"/>
  <c r="M13" i="10"/>
  <c r="M13" i="18"/>
  <c r="M21" i="18"/>
  <c r="M13" i="27"/>
  <c r="M13" i="30"/>
  <c r="B37" i="35"/>
  <c r="F13" i="33"/>
  <c r="E10" i="8"/>
  <c r="B38" i="28"/>
  <c r="F13" i="27"/>
  <c r="M13" i="33"/>
  <c r="F30" i="32"/>
  <c r="F31" i="32" s="1"/>
  <c r="D38" i="31"/>
  <c r="E37" i="28"/>
  <c r="M21" i="27"/>
  <c r="B36" i="41"/>
  <c r="M13" i="15"/>
  <c r="F21" i="18"/>
  <c r="B28" i="18"/>
  <c r="C28" i="18" s="1"/>
  <c r="C37" i="28"/>
  <c r="F13" i="37"/>
  <c r="B37" i="6"/>
  <c r="F13" i="21"/>
  <c r="F21" i="33"/>
  <c r="B38" i="22"/>
  <c r="M21" i="10"/>
  <c r="B31" i="30"/>
  <c r="B32" i="30" s="1"/>
  <c r="B35" i="31" s="1"/>
  <c r="E37" i="25"/>
  <c r="C37" i="31"/>
  <c r="M21" i="30"/>
  <c r="B31" i="37"/>
  <c r="B32" i="37" s="1"/>
  <c r="B35" i="38" s="1"/>
  <c r="I31" i="40"/>
  <c r="F30" i="20"/>
  <c r="F31" i="20" s="1"/>
  <c r="E8" i="22" s="1"/>
  <c r="E9" i="22" s="1"/>
  <c r="E10" i="22" s="1"/>
  <c r="M30" i="20"/>
  <c r="C16" i="22" s="1"/>
  <c r="C17" i="22" s="1"/>
  <c r="C18" i="22" s="1"/>
  <c r="E12" i="8"/>
  <c r="C38" i="35"/>
  <c r="D38" i="38"/>
  <c r="E37" i="6"/>
  <c r="D37" i="16"/>
  <c r="B37" i="22"/>
  <c r="I29" i="24"/>
  <c r="I32" i="24" s="1"/>
  <c r="D35" i="25" s="1"/>
  <c r="M21" i="24"/>
  <c r="F21" i="27"/>
  <c r="F77" i="5"/>
  <c r="F78" i="5" s="1"/>
  <c r="D36" i="38"/>
  <c r="E7" i="8"/>
  <c r="C27" i="44"/>
  <c r="F21" i="37"/>
  <c r="C28" i="21"/>
  <c r="M13" i="21"/>
  <c r="M21" i="21"/>
  <c r="B53" i="5"/>
  <c r="B54" i="5" s="1"/>
  <c r="F13" i="24"/>
  <c r="F21" i="24"/>
  <c r="B29" i="43"/>
  <c r="B32" i="43" s="1"/>
  <c r="B24" i="44" s="1"/>
  <c r="E9" i="8"/>
  <c r="M30" i="36"/>
  <c r="F77" i="11" s="1"/>
  <c r="F78" i="11" s="1"/>
  <c r="F30" i="39"/>
  <c r="C8" i="41" s="1"/>
  <c r="C9" i="41" s="1"/>
  <c r="C10" i="41" s="1"/>
  <c r="B38" i="16"/>
  <c r="F21" i="21"/>
  <c r="B36" i="25"/>
  <c r="I29" i="30"/>
  <c r="I32" i="30" s="1"/>
  <c r="D35" i="31" s="1"/>
  <c r="F13" i="30"/>
  <c r="F21" i="30"/>
  <c r="F30" i="17"/>
  <c r="C38" i="19"/>
  <c r="M21" i="37"/>
  <c r="F13" i="15"/>
  <c r="B37" i="19"/>
  <c r="I29" i="27"/>
  <c r="I32" i="27" s="1"/>
  <c r="D35" i="28" s="1"/>
  <c r="B29" i="40"/>
  <c r="B32" i="40" s="1"/>
  <c r="B35" i="41" s="1"/>
  <c r="E36" i="35"/>
  <c r="K31" i="36"/>
  <c r="D16" i="38" s="1"/>
  <c r="D17" i="38" s="1"/>
  <c r="J12" i="8" s="1"/>
  <c r="F13" i="40"/>
  <c r="F21" i="40"/>
  <c r="F30" i="29"/>
  <c r="C31" i="33" s="1"/>
  <c r="C32" i="33" s="1"/>
  <c r="C35" i="35" s="1"/>
  <c r="D38" i="19"/>
  <c r="F21" i="10"/>
  <c r="M13" i="24"/>
  <c r="B28" i="30"/>
  <c r="C28" i="30" s="1"/>
  <c r="M21" i="40"/>
  <c r="F13" i="43"/>
  <c r="F21" i="43"/>
  <c r="F30" i="23"/>
  <c r="G8" i="8" s="1"/>
  <c r="M30" i="23"/>
  <c r="C16" i="25" s="1"/>
  <c r="C17" i="25" s="1"/>
  <c r="C18" i="25" s="1"/>
  <c r="F30" i="26"/>
  <c r="B53" i="11" s="1"/>
  <c r="B54" i="11" s="1"/>
  <c r="M30" i="26"/>
  <c r="F53" i="11" s="1"/>
  <c r="F54" i="11" s="1"/>
  <c r="M30" i="29"/>
  <c r="M31" i="29" s="1"/>
  <c r="E1" i="44"/>
  <c r="F1" i="13"/>
  <c r="F1" i="12"/>
  <c r="F1" i="11"/>
  <c r="F1" i="5"/>
  <c r="M319" i="45"/>
  <c r="R319" i="45"/>
  <c r="H319" i="45"/>
  <c r="F10" i="8"/>
  <c r="D31" i="17"/>
  <c r="B8" i="19"/>
  <c r="E6" i="8"/>
  <c r="B29" i="5"/>
  <c r="B31" i="21"/>
  <c r="B8" i="16"/>
  <c r="B31" i="18"/>
  <c r="D31" i="14"/>
  <c r="B22" i="12" s="1"/>
  <c r="B21" i="5"/>
  <c r="F22" i="12"/>
  <c r="B28" i="10"/>
  <c r="B29" i="10" s="1"/>
  <c r="I31" i="10"/>
  <c r="E4" i="8"/>
  <c r="B31" i="15"/>
  <c r="D31" i="9"/>
  <c r="B28" i="15"/>
  <c r="C28" i="15" s="1"/>
  <c r="I31" i="15"/>
  <c r="B16" i="6"/>
  <c r="K31" i="9"/>
  <c r="I4" i="8" s="1"/>
  <c r="C37" i="41"/>
  <c r="B37" i="41"/>
  <c r="B36" i="16"/>
  <c r="I32" i="21"/>
  <c r="D35" i="22" s="1"/>
  <c r="F12" i="8"/>
  <c r="B18" i="38"/>
  <c r="E37" i="41"/>
  <c r="K31" i="32"/>
  <c r="I31" i="37"/>
  <c r="I32" i="37" s="1"/>
  <c r="D35" i="38" s="1"/>
  <c r="F69" i="5"/>
  <c r="F70" i="5" s="1"/>
  <c r="E11" i="8"/>
  <c r="B16" i="35"/>
  <c r="B17" i="35" s="1"/>
  <c r="F11" i="8" s="1"/>
  <c r="M30" i="39"/>
  <c r="F30" i="42"/>
  <c r="M30" i="32"/>
  <c r="J28" i="24"/>
  <c r="B36" i="22"/>
  <c r="C36" i="22"/>
  <c r="B31" i="33"/>
  <c r="B32" i="33" s="1"/>
  <c r="B35" i="35" s="1"/>
  <c r="I28" i="33"/>
  <c r="I29" i="33"/>
  <c r="B16" i="25"/>
  <c r="B17" i="25" s="1"/>
  <c r="K31" i="23"/>
  <c r="F45" i="5"/>
  <c r="F46" i="5" s="1"/>
  <c r="D16" i="28"/>
  <c r="D17" i="28" s="1"/>
  <c r="D31" i="29"/>
  <c r="I10" i="8" s="1"/>
  <c r="E37" i="38"/>
  <c r="D37" i="38"/>
  <c r="M13" i="40"/>
  <c r="F30" i="14"/>
  <c r="M30" i="17"/>
  <c r="B31" i="24"/>
  <c r="B32" i="24" s="1"/>
  <c r="B35" i="25" s="1"/>
  <c r="D31" i="20"/>
  <c r="I7" i="8" s="1"/>
  <c r="B37" i="5"/>
  <c r="B38" i="5" s="1"/>
  <c r="B38" i="41"/>
  <c r="C38" i="41"/>
  <c r="F21" i="15"/>
  <c r="E36" i="25"/>
  <c r="D36" i="25"/>
  <c r="B61" i="5"/>
  <c r="B62" i="5" s="1"/>
  <c r="C28" i="40"/>
  <c r="C38" i="6"/>
  <c r="E38" i="16"/>
  <c r="E38" i="41"/>
  <c r="D38" i="41"/>
  <c r="C37" i="25"/>
  <c r="B37" i="25"/>
  <c r="E36" i="28"/>
  <c r="D36" i="28"/>
  <c r="D36" i="31"/>
  <c r="E36" i="31"/>
  <c r="M13" i="37"/>
  <c r="D36" i="19"/>
  <c r="E36" i="22"/>
  <c r="F86" i="12"/>
  <c r="F87" i="12" s="1"/>
  <c r="B6" i="5"/>
  <c r="B17" i="5" s="1"/>
  <c r="F6" i="5"/>
  <c r="F9" i="5" s="1"/>
  <c r="F13" i="5"/>
  <c r="I28" i="21"/>
  <c r="D16" i="31"/>
  <c r="D17" i="31" s="1"/>
  <c r="D18" i="31" s="1"/>
  <c r="F30" i="9"/>
  <c r="F7" i="8"/>
  <c r="B7" i="16"/>
  <c r="B15" i="6"/>
  <c r="D18" i="41"/>
  <c r="F9" i="8"/>
  <c r="E1" i="18"/>
  <c r="E1" i="21"/>
  <c r="L1" i="24"/>
  <c r="E1" i="33"/>
  <c r="E1" i="17"/>
  <c r="L1" i="18"/>
  <c r="L1" i="21"/>
  <c r="L1" i="33"/>
  <c r="E1" i="16"/>
  <c r="L1" i="17"/>
  <c r="E1" i="32"/>
  <c r="E1" i="40"/>
  <c r="E1" i="9"/>
  <c r="E1" i="23"/>
  <c r="L1" i="32"/>
  <c r="E1" i="36"/>
  <c r="L1" i="40"/>
  <c r="E1" i="19"/>
  <c r="L1" i="9"/>
  <c r="E1" i="15"/>
  <c r="L1" i="23"/>
  <c r="E1" i="27"/>
  <c r="L1" i="36"/>
  <c r="E1" i="22"/>
  <c r="C1" i="8"/>
  <c r="E1" i="10"/>
  <c r="L1" i="15"/>
  <c r="E1" i="20"/>
  <c r="L1" i="27"/>
  <c r="E1" i="29"/>
  <c r="E1" i="37"/>
  <c r="E1" i="25"/>
  <c r="L1" i="10"/>
  <c r="E1" i="14"/>
  <c r="L1" i="20"/>
  <c r="E1" i="26"/>
  <c r="L1" i="29"/>
  <c r="E1" i="30"/>
  <c r="L1" i="37"/>
  <c r="E1" i="39"/>
  <c r="L1" i="14"/>
  <c r="E1" i="24"/>
  <c r="L1" i="26"/>
  <c r="L1" i="30"/>
  <c r="L1" i="39"/>
  <c r="E1" i="42"/>
  <c r="E1" i="43"/>
  <c r="E1" i="35"/>
  <c r="E1" i="28"/>
  <c r="E1" i="31"/>
  <c r="E1" i="6"/>
  <c r="E1" i="38"/>
  <c r="E1" i="41"/>
  <c r="D8" i="28" l="1"/>
  <c r="D9" i="28" s="1"/>
  <c r="D10" i="28" s="1"/>
  <c r="I9" i="8"/>
  <c r="B32" i="21"/>
  <c r="B35" i="22" s="1"/>
  <c r="B29" i="18"/>
  <c r="B32" i="18" s="1"/>
  <c r="B35" i="19" s="1"/>
  <c r="I13" i="8"/>
  <c r="F8" i="8"/>
  <c r="J13" i="8"/>
  <c r="I32" i="33"/>
  <c r="D35" i="35" s="1"/>
  <c r="D8" i="35"/>
  <c r="D9" i="35" s="1"/>
  <c r="D10" i="35" s="1"/>
  <c r="C8" i="38"/>
  <c r="C9" i="38" s="1"/>
  <c r="C10" i="38" s="1"/>
  <c r="F13" i="8"/>
  <c r="B77" i="11"/>
  <c r="B78" i="11" s="1"/>
  <c r="F22" i="10"/>
  <c r="C34" i="6" s="1"/>
  <c r="C31" i="43"/>
  <c r="C32" i="43" s="1"/>
  <c r="C24" i="44" s="1"/>
  <c r="C29" i="44" s="1"/>
  <c r="F38" i="12"/>
  <c r="F39" i="12" s="1"/>
  <c r="I32" i="40"/>
  <c r="D35" i="41" s="1"/>
  <c r="B94" i="12"/>
  <c r="B95" i="12" s="1"/>
  <c r="C31" i="40"/>
  <c r="C32" i="40" s="1"/>
  <c r="C35" i="41" s="1"/>
  <c r="D8" i="38"/>
  <c r="D9" i="38" s="1"/>
  <c r="D10" i="38" s="1"/>
  <c r="F22" i="27"/>
  <c r="B67" i="27" s="1"/>
  <c r="F31" i="29"/>
  <c r="E8" i="31" s="1"/>
  <c r="E9" i="31" s="1"/>
  <c r="E10" i="31" s="1"/>
  <c r="M22" i="37"/>
  <c r="I68" i="37" s="1"/>
  <c r="F74" i="11" s="1"/>
  <c r="M22" i="18"/>
  <c r="E34" i="19" s="1"/>
  <c r="F22" i="18"/>
  <c r="B67" i="18" s="1"/>
  <c r="G7" i="8"/>
  <c r="B69" i="11"/>
  <c r="B70" i="11" s="1"/>
  <c r="B29" i="44"/>
  <c r="C31" i="24"/>
  <c r="C32" i="24" s="1"/>
  <c r="C35" i="25" s="1"/>
  <c r="C8" i="35"/>
  <c r="C9" i="35" s="1"/>
  <c r="C10" i="35" s="1"/>
  <c r="B46" i="12"/>
  <c r="B47" i="12" s="1"/>
  <c r="C8" i="31"/>
  <c r="C9" i="31" s="1"/>
  <c r="C10" i="31" s="1"/>
  <c r="B61" i="11"/>
  <c r="B62" i="11" s="1"/>
  <c r="M22" i="40"/>
  <c r="I67" i="40" s="1"/>
  <c r="F82" i="5" s="1"/>
  <c r="M22" i="24"/>
  <c r="I68" i="24" s="1"/>
  <c r="F42" i="11" s="1"/>
  <c r="M22" i="33"/>
  <c r="E34" i="35" s="1"/>
  <c r="C8" i="28"/>
  <c r="C9" i="28" s="1"/>
  <c r="C10" i="28" s="1"/>
  <c r="C31" i="27"/>
  <c r="C32" i="27" s="1"/>
  <c r="C35" i="28" s="1"/>
  <c r="B38" i="13"/>
  <c r="B39" i="13" s="1"/>
  <c r="C31" i="37"/>
  <c r="C32" i="37" s="1"/>
  <c r="C35" i="38" s="1"/>
  <c r="F22" i="21"/>
  <c r="B67" i="21" s="1"/>
  <c r="G10" i="8"/>
  <c r="C8" i="22"/>
  <c r="C9" i="22" s="1"/>
  <c r="C10" i="22" s="1"/>
  <c r="B45" i="11"/>
  <c r="B46" i="11" s="1"/>
  <c r="J31" i="33"/>
  <c r="J32" i="33" s="1"/>
  <c r="E35" i="35" s="1"/>
  <c r="M22" i="27"/>
  <c r="E34" i="28" s="1"/>
  <c r="M22" i="15"/>
  <c r="D34" i="16" s="1"/>
  <c r="L19" i="14"/>
  <c r="M19" i="14" s="1"/>
  <c r="L19" i="9"/>
  <c r="M19" i="9" s="1"/>
  <c r="F31" i="39"/>
  <c r="B86" i="13" s="1"/>
  <c r="B87" i="13" s="1"/>
  <c r="F22" i="33"/>
  <c r="B34" i="35" s="1"/>
  <c r="B40" i="35" s="1"/>
  <c r="B85" i="11"/>
  <c r="B86" i="11" s="1"/>
  <c r="F30" i="12"/>
  <c r="C13" i="1"/>
  <c r="B5" i="13" s="1"/>
  <c r="E7" i="16" s="1"/>
  <c r="I29" i="18"/>
  <c r="I32" i="18" s="1"/>
  <c r="D35" i="19" s="1"/>
  <c r="I29" i="15"/>
  <c r="I32" i="15" s="1"/>
  <c r="I28" i="10"/>
  <c r="J28" i="10" s="1"/>
  <c r="I3" i="8"/>
  <c r="B5" i="12"/>
  <c r="D7" i="16" s="1"/>
  <c r="F5" i="12"/>
  <c r="D15" i="6" s="1"/>
  <c r="F6" i="12"/>
  <c r="B6" i="12"/>
  <c r="B6" i="13"/>
  <c r="F6" i="13"/>
  <c r="B18" i="1"/>
  <c r="M22" i="30"/>
  <c r="D34" i="31" s="1"/>
  <c r="D40" i="31" s="1"/>
  <c r="C31" i="30"/>
  <c r="C32" i="30" s="1"/>
  <c r="C35" i="31" s="1"/>
  <c r="G9" i="8"/>
  <c r="F22" i="40"/>
  <c r="C34" i="41" s="1"/>
  <c r="F22" i="15"/>
  <c r="B34" i="16" s="1"/>
  <c r="F22" i="37"/>
  <c r="B67" i="37" s="1"/>
  <c r="F31" i="26"/>
  <c r="B54" i="13" s="1"/>
  <c r="B55" i="13" s="1"/>
  <c r="J31" i="30"/>
  <c r="J32" i="30" s="1"/>
  <c r="E35" i="31" s="1"/>
  <c r="M22" i="10"/>
  <c r="E34" i="6" s="1"/>
  <c r="C34" i="28"/>
  <c r="C8" i="25"/>
  <c r="C9" i="25" s="1"/>
  <c r="C10" i="25" s="1"/>
  <c r="C16" i="31"/>
  <c r="C17" i="31" s="1"/>
  <c r="C18" i="31" s="1"/>
  <c r="C8" i="19"/>
  <c r="M22" i="21"/>
  <c r="I68" i="21" s="1"/>
  <c r="F34" i="11" s="1"/>
  <c r="B37" i="11"/>
  <c r="B38" i="11" s="1"/>
  <c r="F31" i="23"/>
  <c r="E8" i="25" s="1"/>
  <c r="E9" i="25" s="1"/>
  <c r="E10" i="25" s="1"/>
  <c r="M31" i="26"/>
  <c r="E16" i="28" s="1"/>
  <c r="E17" i="28" s="1"/>
  <c r="C31" i="21"/>
  <c r="C32" i="21" s="1"/>
  <c r="C35" i="22" s="1"/>
  <c r="F22" i="30"/>
  <c r="B67" i="30" s="1"/>
  <c r="J31" i="24"/>
  <c r="J32" i="24" s="1"/>
  <c r="E35" i="25" s="1"/>
  <c r="F37" i="11"/>
  <c r="F38" i="11" s="1"/>
  <c r="J31" i="27"/>
  <c r="J32" i="27" s="1"/>
  <c r="E35" i="28" s="1"/>
  <c r="C16" i="38"/>
  <c r="C17" i="38" s="1"/>
  <c r="H12" i="8" s="1"/>
  <c r="F61" i="11"/>
  <c r="F62" i="11" s="1"/>
  <c r="C16" i="28"/>
  <c r="C17" i="28" s="1"/>
  <c r="C18" i="28" s="1"/>
  <c r="B29" i="11"/>
  <c r="F22" i="43"/>
  <c r="M31" i="36"/>
  <c r="F78" i="13" s="1"/>
  <c r="F79" i="13" s="1"/>
  <c r="F31" i="17"/>
  <c r="E8" i="19" s="1"/>
  <c r="F22" i="24"/>
  <c r="M31" i="20"/>
  <c r="F38" i="13" s="1"/>
  <c r="F39" i="13" s="1"/>
  <c r="M31" i="23"/>
  <c r="E16" i="25" s="1"/>
  <c r="E17" i="25" s="1"/>
  <c r="G12" i="8"/>
  <c r="F45" i="11"/>
  <c r="F46" i="11" s="1"/>
  <c r="J31" i="40"/>
  <c r="J32" i="40" s="1"/>
  <c r="E35" i="41" s="1"/>
  <c r="I12" i="8"/>
  <c r="F78" i="12"/>
  <c r="F79" i="12" s="1"/>
  <c r="B5" i="11"/>
  <c r="F5" i="11"/>
  <c r="G3" i="8"/>
  <c r="B30" i="12"/>
  <c r="I6" i="8"/>
  <c r="D8" i="19"/>
  <c r="D8" i="16"/>
  <c r="I5" i="8"/>
  <c r="B32" i="10"/>
  <c r="B35" i="6" s="1"/>
  <c r="C28" i="10"/>
  <c r="J31" i="10"/>
  <c r="B29" i="15"/>
  <c r="B32" i="15" s="1"/>
  <c r="B35" i="16" s="1"/>
  <c r="F14" i="12"/>
  <c r="F31" i="9"/>
  <c r="C31" i="15"/>
  <c r="D16" i="6"/>
  <c r="B18" i="25"/>
  <c r="B18" i="35"/>
  <c r="D18" i="38"/>
  <c r="D18" i="28"/>
  <c r="B62" i="12"/>
  <c r="B63" i="12" s="1"/>
  <c r="D8" i="31"/>
  <c r="D9" i="31" s="1"/>
  <c r="D10" i="31" s="1"/>
  <c r="E8" i="38"/>
  <c r="E9" i="38" s="1"/>
  <c r="E10" i="38" s="1"/>
  <c r="B78" i="13"/>
  <c r="B79" i="13" s="1"/>
  <c r="M31" i="39"/>
  <c r="G13" i="8"/>
  <c r="C16" i="41"/>
  <c r="C17" i="41" s="1"/>
  <c r="F85" i="11"/>
  <c r="F86" i="11" s="1"/>
  <c r="E16" i="31"/>
  <c r="E17" i="31" s="1"/>
  <c r="F62" i="13"/>
  <c r="F63" i="13" s="1"/>
  <c r="D8" i="22"/>
  <c r="D9" i="22" s="1"/>
  <c r="B38" i="12"/>
  <c r="B39" i="12" s="1"/>
  <c r="B70" i="13"/>
  <c r="B71" i="13" s="1"/>
  <c r="E8" i="35"/>
  <c r="E9" i="35" s="1"/>
  <c r="E10" i="35" s="1"/>
  <c r="F46" i="12"/>
  <c r="F47" i="12" s="1"/>
  <c r="D16" i="25"/>
  <c r="D17" i="25" s="1"/>
  <c r="I8" i="8"/>
  <c r="G6" i="8"/>
  <c r="C16" i="19"/>
  <c r="M31" i="17"/>
  <c r="F29" i="11"/>
  <c r="J31" i="21"/>
  <c r="J32" i="21" s="1"/>
  <c r="E35" i="22" s="1"/>
  <c r="C8" i="16"/>
  <c r="F31" i="14"/>
  <c r="C31" i="18"/>
  <c r="B21" i="11"/>
  <c r="K7" i="8"/>
  <c r="J28" i="33"/>
  <c r="J31" i="37"/>
  <c r="J32" i="37" s="1"/>
  <c r="E35" i="38" s="1"/>
  <c r="F69" i="11"/>
  <c r="F70" i="11" s="1"/>
  <c r="M31" i="32"/>
  <c r="G11" i="8"/>
  <c r="C16" i="35"/>
  <c r="C17" i="35" s="1"/>
  <c r="I11" i="8"/>
  <c r="F70" i="12"/>
  <c r="F71" i="12" s="1"/>
  <c r="D16" i="35"/>
  <c r="D17" i="35" s="1"/>
  <c r="C8" i="44"/>
  <c r="C9" i="44" s="1"/>
  <c r="C10" i="44" s="1"/>
  <c r="F31" i="42"/>
  <c r="B93" i="11"/>
  <c r="B94" i="11" s="1"/>
  <c r="J28" i="21"/>
  <c r="J9" i="8" l="1"/>
  <c r="C32" i="18"/>
  <c r="C35" i="19" s="1"/>
  <c r="D34" i="38"/>
  <c r="D40" i="38" s="1"/>
  <c r="E34" i="38"/>
  <c r="B34" i="6"/>
  <c r="B40" i="6" s="1"/>
  <c r="B68" i="27"/>
  <c r="B34" i="28"/>
  <c r="B40" i="28" s="1"/>
  <c r="C40" i="28"/>
  <c r="E8" i="28"/>
  <c r="E9" i="28" s="1"/>
  <c r="E10" i="28" s="1"/>
  <c r="B62" i="13"/>
  <c r="B63" i="13" s="1"/>
  <c r="I67" i="27"/>
  <c r="F50" i="5" s="1"/>
  <c r="I68" i="27"/>
  <c r="F50" i="11" s="1"/>
  <c r="D34" i="28"/>
  <c r="D40" i="28" s="1"/>
  <c r="I67" i="37"/>
  <c r="F74" i="5" s="1"/>
  <c r="K10" i="8"/>
  <c r="D34" i="19"/>
  <c r="D40" i="19" s="1"/>
  <c r="I67" i="18"/>
  <c r="F26" i="5" s="1"/>
  <c r="I68" i="40"/>
  <c r="F82" i="11" s="1"/>
  <c r="B34" i="22"/>
  <c r="B40" i="22" s="1"/>
  <c r="D34" i="41"/>
  <c r="D40" i="41" s="1"/>
  <c r="E34" i="41"/>
  <c r="E40" i="41" s="1"/>
  <c r="I68" i="33"/>
  <c r="F66" i="11" s="1"/>
  <c r="I67" i="33"/>
  <c r="F66" i="5" s="1"/>
  <c r="E40" i="35"/>
  <c r="C34" i="19"/>
  <c r="B34" i="19"/>
  <c r="B40" i="19" s="1"/>
  <c r="F46" i="13"/>
  <c r="F47" i="13" s="1"/>
  <c r="H10" i="8"/>
  <c r="B68" i="21"/>
  <c r="D34" i="35"/>
  <c r="D40" i="35" s="1"/>
  <c r="E34" i="25"/>
  <c r="E40" i="25" s="1"/>
  <c r="I67" i="24"/>
  <c r="F42" i="5" s="1"/>
  <c r="D34" i="25"/>
  <c r="D40" i="25" s="1"/>
  <c r="H9" i="8"/>
  <c r="C34" i="22"/>
  <c r="C40" i="22" s="1"/>
  <c r="C34" i="16"/>
  <c r="I67" i="21"/>
  <c r="F34" i="5" s="1"/>
  <c r="H7" i="8"/>
  <c r="D34" i="6"/>
  <c r="B46" i="13"/>
  <c r="B47" i="13" s="1"/>
  <c r="I67" i="30"/>
  <c r="F58" i="5" s="1"/>
  <c r="E8" i="41"/>
  <c r="E9" i="41" s="1"/>
  <c r="E10" i="41" s="1"/>
  <c r="I68" i="30"/>
  <c r="F58" i="11" s="1"/>
  <c r="E34" i="31"/>
  <c r="E40" i="31" s="1"/>
  <c r="E16" i="22"/>
  <c r="E17" i="22" s="1"/>
  <c r="A20" i="22" s="1"/>
  <c r="F54" i="13"/>
  <c r="F55" i="13" s="1"/>
  <c r="K8" i="8"/>
  <c r="E16" i="38"/>
  <c r="E17" i="38" s="1"/>
  <c r="E18" i="38" s="1"/>
  <c r="K12" i="8"/>
  <c r="C34" i="35"/>
  <c r="C40" i="35" s="1"/>
  <c r="B68" i="33"/>
  <c r="E34" i="16"/>
  <c r="E40" i="28"/>
  <c r="B67" i="33"/>
  <c r="B66" i="5" s="1"/>
  <c r="C31" i="10"/>
  <c r="C32" i="10" s="1"/>
  <c r="C35" i="6" s="1"/>
  <c r="C40" i="6" s="1"/>
  <c r="L20" i="14"/>
  <c r="M20" i="14" s="1"/>
  <c r="M30" i="14" s="1"/>
  <c r="L20" i="9"/>
  <c r="M20" i="9" s="1"/>
  <c r="M30" i="9" s="1"/>
  <c r="C34" i="38"/>
  <c r="C40" i="38" s="1"/>
  <c r="B34" i="5"/>
  <c r="F5" i="13"/>
  <c r="E15" i="6" s="1"/>
  <c r="K3" i="8"/>
  <c r="I29" i="10"/>
  <c r="I32" i="10" s="1"/>
  <c r="F12" i="13"/>
  <c r="F7" i="13"/>
  <c r="B20" i="13"/>
  <c r="B7" i="13"/>
  <c r="B18" i="13" s="1"/>
  <c r="B20" i="12"/>
  <c r="B7" i="12"/>
  <c r="B18" i="12" s="1"/>
  <c r="F12" i="12"/>
  <c r="F7" i="12"/>
  <c r="F10" i="12" s="1"/>
  <c r="B67" i="10"/>
  <c r="B68" i="18"/>
  <c r="A20" i="28"/>
  <c r="B58" i="5"/>
  <c r="B30" i="13"/>
  <c r="B68" i="37"/>
  <c r="K9" i="8"/>
  <c r="B68" i="30"/>
  <c r="B34" i="38"/>
  <c r="B40" i="38" s="1"/>
  <c r="B67" i="40"/>
  <c r="B82" i="5" s="1"/>
  <c r="B34" i="41"/>
  <c r="B40" i="41" s="1"/>
  <c r="B68" i="40"/>
  <c r="C40" i="41"/>
  <c r="B68" i="24"/>
  <c r="B50" i="11" s="1"/>
  <c r="B34" i="25"/>
  <c r="B40" i="25" s="1"/>
  <c r="C34" i="25"/>
  <c r="C40" i="25" s="1"/>
  <c r="B67" i="24"/>
  <c r="B68" i="43"/>
  <c r="B67" i="43"/>
  <c r="C18" i="38"/>
  <c r="H8" i="8"/>
  <c r="C34" i="31"/>
  <c r="C40" i="31" s="1"/>
  <c r="B34" i="31"/>
  <c r="B40" i="31" s="1"/>
  <c r="D34" i="22"/>
  <c r="D40" i="22" s="1"/>
  <c r="E34" i="22"/>
  <c r="E40" i="22" s="1"/>
  <c r="C15" i="6"/>
  <c r="F6" i="11"/>
  <c r="F9" i="11" s="1"/>
  <c r="C7" i="16"/>
  <c r="B6" i="11"/>
  <c r="B17" i="11" s="1"/>
  <c r="D35" i="16"/>
  <c r="D40" i="16" s="1"/>
  <c r="I67" i="15"/>
  <c r="F18" i="5" s="1"/>
  <c r="J10" i="8"/>
  <c r="B67" i="15"/>
  <c r="B26" i="5" s="1"/>
  <c r="C32" i="15"/>
  <c r="C35" i="16" s="1"/>
  <c r="B40" i="16"/>
  <c r="D10" i="22"/>
  <c r="J7" i="8"/>
  <c r="E18" i="28"/>
  <c r="B25" i="28" s="1"/>
  <c r="E18" i="25"/>
  <c r="L8" i="8"/>
  <c r="L10" i="8"/>
  <c r="E18" i="31"/>
  <c r="B25" i="31" s="1"/>
  <c r="A20" i="31"/>
  <c r="E8" i="16"/>
  <c r="B22" i="13"/>
  <c r="C18" i="35"/>
  <c r="H11" i="8"/>
  <c r="L7" i="8"/>
  <c r="K6" i="8"/>
  <c r="E16" i="19"/>
  <c r="F30" i="13"/>
  <c r="D18" i="25"/>
  <c r="J8" i="8"/>
  <c r="A20" i="25"/>
  <c r="E8" i="44"/>
  <c r="E9" i="44" s="1"/>
  <c r="E10" i="44" s="1"/>
  <c r="B94" i="13"/>
  <c r="B95" i="13" s="1"/>
  <c r="D18" i="35"/>
  <c r="J11" i="8"/>
  <c r="K11" i="8"/>
  <c r="F70" i="13"/>
  <c r="F71" i="13" s="1"/>
  <c r="E16" i="35"/>
  <c r="E17" i="35" s="1"/>
  <c r="A20" i="35" s="1"/>
  <c r="H13" i="8"/>
  <c r="C18" i="41"/>
  <c r="E16" i="41"/>
  <c r="E17" i="41" s="1"/>
  <c r="K13" i="8"/>
  <c r="F86" i="13"/>
  <c r="F87" i="13" s="1"/>
  <c r="E40" i="38"/>
  <c r="B68" i="10" l="1"/>
  <c r="L9" i="8"/>
  <c r="A20" i="38"/>
  <c r="C40" i="19"/>
  <c r="L12" i="8"/>
  <c r="C40" i="16"/>
  <c r="B66" i="11"/>
  <c r="E18" i="22"/>
  <c r="B25" i="22" s="1"/>
  <c r="B34" i="11"/>
  <c r="B74" i="5"/>
  <c r="B42" i="11"/>
  <c r="F13" i="11"/>
  <c r="J31" i="15"/>
  <c r="J32" i="15" s="1"/>
  <c r="I68" i="15" s="1"/>
  <c r="F18" i="11" s="1"/>
  <c r="C16" i="6"/>
  <c r="G4" i="8"/>
  <c r="M31" i="9"/>
  <c r="M31" i="14"/>
  <c r="J31" i="18"/>
  <c r="J32" i="18" s="1"/>
  <c r="E35" i="19" s="1"/>
  <c r="E40" i="19" s="1"/>
  <c r="C16" i="16"/>
  <c r="F21" i="11"/>
  <c r="G5" i="8"/>
  <c r="B90" i="5"/>
  <c r="F10" i="13"/>
  <c r="J32" i="10"/>
  <c r="E35" i="6" s="1"/>
  <c r="E40" i="6" s="1"/>
  <c r="B82" i="11"/>
  <c r="B74" i="11"/>
  <c r="B90" i="11"/>
  <c r="B58" i="11"/>
  <c r="B25" i="38"/>
  <c r="B50" i="5"/>
  <c r="B42" i="5"/>
  <c r="D35" i="6"/>
  <c r="D40" i="6" s="1"/>
  <c r="I67" i="10"/>
  <c r="B18" i="5"/>
  <c r="B20" i="5" s="1"/>
  <c r="B22" i="5" s="1"/>
  <c r="B9" i="16" s="1"/>
  <c r="B68" i="15"/>
  <c r="B26" i="11" s="1"/>
  <c r="B19" i="12"/>
  <c r="B21" i="12" s="1"/>
  <c r="B23" i="12" s="1"/>
  <c r="D9" i="16" s="1"/>
  <c r="B25" i="25"/>
  <c r="E18" i="41"/>
  <c r="B25" i="41" s="1"/>
  <c r="L13" i="8"/>
  <c r="E18" i="35"/>
  <c r="B25" i="35" s="1"/>
  <c r="L11" i="8"/>
  <c r="A20" i="41"/>
  <c r="I68" i="18" l="1"/>
  <c r="F26" i="11" s="1"/>
  <c r="E35" i="16"/>
  <c r="E40" i="16" s="1"/>
  <c r="F22" i="13"/>
  <c r="E16" i="16"/>
  <c r="K5" i="8"/>
  <c r="F14" i="13"/>
  <c r="E16" i="6"/>
  <c r="K4" i="8"/>
  <c r="I68" i="10"/>
  <c r="F11" i="13" s="1"/>
  <c r="F13" i="13" s="1"/>
  <c r="D10" i="16"/>
  <c r="B10" i="16"/>
  <c r="F10" i="5"/>
  <c r="F12" i="5" s="1"/>
  <c r="F14" i="5" s="1"/>
  <c r="F11" i="12"/>
  <c r="F13" i="12" s="1"/>
  <c r="F15" i="12" s="1"/>
  <c r="D17" i="6" s="1"/>
  <c r="J4" i="8" s="1"/>
  <c r="B18" i="11"/>
  <c r="B20" i="11" s="1"/>
  <c r="B22" i="11" s="1"/>
  <c r="C9" i="16" s="1"/>
  <c r="C10" i="16" s="1"/>
  <c r="B19" i="13"/>
  <c r="B21" i="13" s="1"/>
  <c r="B23" i="13" s="1"/>
  <c r="E9" i="16" s="1"/>
  <c r="F15" i="13" l="1"/>
  <c r="E17" i="6" s="1"/>
  <c r="E18" i="6" s="1"/>
  <c r="F10" i="11"/>
  <c r="F12" i="11" s="1"/>
  <c r="F14" i="11" s="1"/>
  <c r="C17" i="6" s="1"/>
  <c r="H4" i="8" s="1"/>
  <c r="D18" i="6"/>
  <c r="D14" i="16"/>
  <c r="D15" i="16" s="1"/>
  <c r="D17" i="16" s="1"/>
  <c r="B26" i="12"/>
  <c r="D6" i="19"/>
  <c r="D7" i="19" s="1"/>
  <c r="D9" i="19" s="1"/>
  <c r="D10" i="19" s="1"/>
  <c r="I19" i="12"/>
  <c r="F18" i="12"/>
  <c r="B17" i="6"/>
  <c r="B14" i="16"/>
  <c r="B15" i="16" s="1"/>
  <c r="B6" i="19"/>
  <c r="B7" i="19" s="1"/>
  <c r="B25" i="5"/>
  <c r="B28" i="5" s="1"/>
  <c r="B30" i="5" s="1"/>
  <c r="F17" i="5"/>
  <c r="F20" i="5" s="1"/>
  <c r="F22" i="5" s="1"/>
  <c r="E10" i="16"/>
  <c r="E6" i="19" l="1"/>
  <c r="E7" i="19" s="1"/>
  <c r="B26" i="13"/>
  <c r="E14" i="16"/>
  <c r="E15" i="16" s="1"/>
  <c r="F18" i="13"/>
  <c r="L4" i="8"/>
  <c r="I19" i="13"/>
  <c r="B27" i="13" s="1"/>
  <c r="D18" i="16"/>
  <c r="J5" i="8"/>
  <c r="F17" i="11"/>
  <c r="F20" i="11" s="1"/>
  <c r="F22" i="11" s="1"/>
  <c r="C6" i="19"/>
  <c r="C7" i="19" s="1"/>
  <c r="B25" i="11"/>
  <c r="B28" i="11" s="1"/>
  <c r="B30" i="11" s="1"/>
  <c r="C14" i="16"/>
  <c r="C15" i="16" s="1"/>
  <c r="C18" i="6"/>
  <c r="B9" i="19"/>
  <c r="B14" i="19"/>
  <c r="B15" i="19" s="1"/>
  <c r="B6" i="22"/>
  <c r="B7" i="22" s="1"/>
  <c r="B17" i="16"/>
  <c r="F25" i="5"/>
  <c r="F28" i="5" s="1"/>
  <c r="F30" i="5" s="1"/>
  <c r="B14" i="38" s="1"/>
  <c r="B15" i="38" s="1"/>
  <c r="B33" i="5"/>
  <c r="B36" i="5" s="1"/>
  <c r="F4" i="8"/>
  <c r="B18" i="6"/>
  <c r="A20" i="6"/>
  <c r="F20" i="12"/>
  <c r="B28" i="12"/>
  <c r="B27" i="12"/>
  <c r="F19" i="12"/>
  <c r="F28" i="12"/>
  <c r="B28" i="13" l="1"/>
  <c r="B29" i="13" s="1"/>
  <c r="B31" i="13" s="1"/>
  <c r="E9" i="19" s="1"/>
  <c r="F19" i="13"/>
  <c r="F20" i="13"/>
  <c r="B18" i="16"/>
  <c r="F5" i="8"/>
  <c r="B25" i="6"/>
  <c r="C9" i="19"/>
  <c r="B14" i="28"/>
  <c r="B15" i="28" s="1"/>
  <c r="B14" i="22"/>
  <c r="B15" i="22" s="1"/>
  <c r="B14" i="35"/>
  <c r="B15" i="35" s="1"/>
  <c r="B14" i="25"/>
  <c r="B15" i="25" s="1"/>
  <c r="B6" i="41"/>
  <c r="B7" i="41" s="1"/>
  <c r="B17" i="19"/>
  <c r="F6" i="8" s="1"/>
  <c r="B14" i="41"/>
  <c r="B15" i="41" s="1"/>
  <c r="B14" i="31"/>
  <c r="B15" i="31" s="1"/>
  <c r="B6" i="25"/>
  <c r="B7" i="25" s="1"/>
  <c r="B6" i="44"/>
  <c r="B7" i="44" s="1"/>
  <c r="B6" i="28"/>
  <c r="B7" i="28" s="1"/>
  <c r="B6" i="35"/>
  <c r="B7" i="35" s="1"/>
  <c r="B6" i="31"/>
  <c r="B7" i="31" s="1"/>
  <c r="B10" i="19"/>
  <c r="B6" i="38"/>
  <c r="B7" i="38" s="1"/>
  <c r="B29" i="12"/>
  <c r="B31" i="12" s="1"/>
  <c r="F21" i="12"/>
  <c r="F23" i="12" s="1"/>
  <c r="F26" i="12" s="1"/>
  <c r="F25" i="11"/>
  <c r="F28" i="11" s="1"/>
  <c r="F30" i="11" s="1"/>
  <c r="C6" i="38" s="1"/>
  <c r="C7" i="38" s="1"/>
  <c r="C17" i="16"/>
  <c r="H5" i="8" s="1"/>
  <c r="C6" i="22"/>
  <c r="C7" i="22" s="1"/>
  <c r="C14" i="19"/>
  <c r="C15" i="19" s="1"/>
  <c r="B33" i="11"/>
  <c r="B36" i="11" s="1"/>
  <c r="B41" i="5"/>
  <c r="B44" i="5" s="1"/>
  <c r="F33" i="5"/>
  <c r="F36" i="5" s="1"/>
  <c r="F21" i="13" l="1"/>
  <c r="F23" i="13" s="1"/>
  <c r="I27" i="13" s="1"/>
  <c r="C10" i="19"/>
  <c r="E10" i="19"/>
  <c r="I27" i="12"/>
  <c r="D6" i="22"/>
  <c r="D7" i="22" s="1"/>
  <c r="D14" i="19"/>
  <c r="D15" i="19" s="1"/>
  <c r="D17" i="19" s="1"/>
  <c r="B34" i="12"/>
  <c r="C6" i="35"/>
  <c r="C7" i="35" s="1"/>
  <c r="C14" i="38"/>
  <c r="C15" i="38" s="1"/>
  <c r="C14" i="22"/>
  <c r="C15" i="22" s="1"/>
  <c r="C17" i="19"/>
  <c r="C18" i="19" s="1"/>
  <c r="C6" i="25"/>
  <c r="C7" i="25" s="1"/>
  <c r="C6" i="28"/>
  <c r="C7" i="28" s="1"/>
  <c r="C6" i="41"/>
  <c r="C7" i="41" s="1"/>
  <c r="C14" i="28"/>
  <c r="C15" i="28" s="1"/>
  <c r="C14" i="41"/>
  <c r="C15" i="41" s="1"/>
  <c r="C14" i="31"/>
  <c r="C15" i="31" s="1"/>
  <c r="C14" i="35"/>
  <c r="C15" i="35" s="1"/>
  <c r="C14" i="25"/>
  <c r="C15" i="25" s="1"/>
  <c r="C6" i="44"/>
  <c r="C7" i="44" s="1"/>
  <c r="C6" i="31"/>
  <c r="C7" i="31" s="1"/>
  <c r="B18" i="19"/>
  <c r="C18" i="16"/>
  <c r="F33" i="11"/>
  <c r="F36" i="11" s="1"/>
  <c r="B41" i="11"/>
  <c r="B44" i="11" s="1"/>
  <c r="F41" i="5"/>
  <c r="F44" i="5" s="1"/>
  <c r="B49" i="5"/>
  <c r="B52" i="5" s="1"/>
  <c r="F26" i="13" l="1"/>
  <c r="E17" i="16"/>
  <c r="A20" i="16" s="1"/>
  <c r="B34" i="13"/>
  <c r="E6" i="22"/>
  <c r="E7" i="22" s="1"/>
  <c r="E14" i="19"/>
  <c r="E15" i="19" s="1"/>
  <c r="H6" i="8"/>
  <c r="D18" i="19"/>
  <c r="J6" i="8"/>
  <c r="B36" i="12"/>
  <c r="B35" i="12"/>
  <c r="F27" i="12"/>
  <c r="F29" i="12" s="1"/>
  <c r="F31" i="12" s="1"/>
  <c r="B35" i="13"/>
  <c r="F28" i="13"/>
  <c r="F27" i="13"/>
  <c r="B36" i="13"/>
  <c r="F41" i="11"/>
  <c r="F44" i="11" s="1"/>
  <c r="B49" i="11"/>
  <c r="B52" i="11" s="1"/>
  <c r="F49" i="5"/>
  <c r="F52" i="5" s="1"/>
  <c r="B57" i="5"/>
  <c r="B60" i="5" s="1"/>
  <c r="L5" i="8" l="1"/>
  <c r="E18" i="16"/>
  <c r="B25" i="16" s="1"/>
  <c r="F29" i="13"/>
  <c r="F31" i="13" s="1"/>
  <c r="B37" i="13"/>
  <c r="B37" i="12"/>
  <c r="I67" i="12"/>
  <c r="I83" i="12"/>
  <c r="D6" i="28"/>
  <c r="D7" i="28" s="1"/>
  <c r="D14" i="31"/>
  <c r="D15" i="31" s="1"/>
  <c r="D14" i="28"/>
  <c r="D15" i="28" s="1"/>
  <c r="D6" i="44"/>
  <c r="D7" i="44" s="1"/>
  <c r="D14" i="25"/>
  <c r="D15" i="25" s="1"/>
  <c r="D14" i="22"/>
  <c r="D15" i="22" s="1"/>
  <c r="D6" i="25"/>
  <c r="D7" i="25" s="1"/>
  <c r="I51" i="12"/>
  <c r="D14" i="38"/>
  <c r="D15" i="38" s="1"/>
  <c r="D14" i="35"/>
  <c r="D15" i="35" s="1"/>
  <c r="I75" i="12"/>
  <c r="D6" i="38"/>
  <c r="D7" i="38" s="1"/>
  <c r="D14" i="41"/>
  <c r="D15" i="41" s="1"/>
  <c r="D6" i="41"/>
  <c r="D7" i="41" s="1"/>
  <c r="D6" i="31"/>
  <c r="D7" i="31" s="1"/>
  <c r="I59" i="12"/>
  <c r="I35" i="12"/>
  <c r="D6" i="35"/>
  <c r="D7" i="35" s="1"/>
  <c r="I43" i="12"/>
  <c r="F34" i="12"/>
  <c r="B42" i="12"/>
  <c r="B57" i="11"/>
  <c r="B60" i="11" s="1"/>
  <c r="F49" i="11"/>
  <c r="F52" i="11" s="1"/>
  <c r="F57" i="5"/>
  <c r="F60" i="5" s="1"/>
  <c r="B65" i="5"/>
  <c r="B68" i="5" s="1"/>
  <c r="F59" i="12" l="1"/>
  <c r="B67" i="12"/>
  <c r="F60" i="12"/>
  <c r="B68" i="12"/>
  <c r="F44" i="12"/>
  <c r="B52" i="12"/>
  <c r="F43" i="12"/>
  <c r="B51" i="12"/>
  <c r="F52" i="12"/>
  <c r="B60" i="12"/>
  <c r="F51" i="12"/>
  <c r="B59" i="12"/>
  <c r="B44" i="12"/>
  <c r="F36" i="12"/>
  <c r="F35" i="12"/>
  <c r="B43" i="12"/>
  <c r="F84" i="12"/>
  <c r="B92" i="12"/>
  <c r="B91" i="12"/>
  <c r="F83" i="12"/>
  <c r="F75" i="12"/>
  <c r="B84" i="12"/>
  <c r="F76" i="12"/>
  <c r="B83" i="12"/>
  <c r="B75" i="12"/>
  <c r="F68" i="12"/>
  <c r="B76" i="12"/>
  <c r="F67" i="12"/>
  <c r="E14" i="25"/>
  <c r="E15" i="25" s="1"/>
  <c r="E6" i="41"/>
  <c r="E7" i="41" s="1"/>
  <c r="I67" i="13"/>
  <c r="I59" i="13"/>
  <c r="E14" i="22"/>
  <c r="E15" i="22" s="1"/>
  <c r="E14" i="31"/>
  <c r="E15" i="31" s="1"/>
  <c r="E6" i="44"/>
  <c r="E7" i="44" s="1"/>
  <c r="E6" i="38"/>
  <c r="E7" i="38" s="1"/>
  <c r="I51" i="13"/>
  <c r="I75" i="13"/>
  <c r="I35" i="13"/>
  <c r="E14" i="41"/>
  <c r="E15" i="41" s="1"/>
  <c r="E6" i="35"/>
  <c r="E7" i="35" s="1"/>
  <c r="E14" i="38"/>
  <c r="E15" i="38" s="1"/>
  <c r="E6" i="31"/>
  <c r="E7" i="31" s="1"/>
  <c r="E6" i="28"/>
  <c r="E7" i="28" s="1"/>
  <c r="I83" i="13"/>
  <c r="E6" i="25"/>
  <c r="E7" i="25" s="1"/>
  <c r="E14" i="28"/>
  <c r="E15" i="28" s="1"/>
  <c r="E14" i="35"/>
  <c r="E15" i="35" s="1"/>
  <c r="I43" i="13"/>
  <c r="B42" i="13"/>
  <c r="E17" i="19"/>
  <c r="L6" i="8" s="1"/>
  <c r="F34" i="13"/>
  <c r="B65" i="11"/>
  <c r="B68" i="11" s="1"/>
  <c r="F57" i="11"/>
  <c r="F60" i="11" s="1"/>
  <c r="F65" i="5"/>
  <c r="F68" i="5" s="1"/>
  <c r="B73" i="5"/>
  <c r="B76" i="5" s="1"/>
  <c r="B45" i="12" l="1"/>
  <c r="F37" i="12"/>
  <c r="F42" i="12" s="1"/>
  <c r="F45" i="12" s="1"/>
  <c r="B68" i="13"/>
  <c r="F60" i="13"/>
  <c r="B67" i="13"/>
  <c r="F59" i="13"/>
  <c r="B76" i="13"/>
  <c r="B75" i="13"/>
  <c r="F68" i="13"/>
  <c r="F67" i="13"/>
  <c r="B43" i="13"/>
  <c r="B44" i="13"/>
  <c r="F36" i="13"/>
  <c r="F35" i="13"/>
  <c r="E18" i="19"/>
  <c r="B25" i="19" s="1"/>
  <c r="A20" i="19"/>
  <c r="B83" i="13"/>
  <c r="B84" i="13"/>
  <c r="F76" i="13"/>
  <c r="F75" i="13"/>
  <c r="B52" i="13"/>
  <c r="B51" i="13"/>
  <c r="F43" i="13"/>
  <c r="F44" i="13"/>
  <c r="F52" i="13"/>
  <c r="B60" i="13"/>
  <c r="F51" i="13"/>
  <c r="B59" i="13"/>
  <c r="F84" i="13"/>
  <c r="F83" i="13"/>
  <c r="B92" i="13"/>
  <c r="B91" i="13"/>
  <c r="F65" i="11"/>
  <c r="F68" i="11" s="1"/>
  <c r="B73" i="11"/>
  <c r="B76" i="11" s="1"/>
  <c r="F73" i="5"/>
  <c r="F76" i="5" s="1"/>
  <c r="B81" i="5"/>
  <c r="B84" i="5" s="1"/>
  <c r="B50" i="12" l="1"/>
  <c r="B53" i="12" s="1"/>
  <c r="F37" i="13"/>
  <c r="B50" i="13" s="1"/>
  <c r="B53" i="13" s="1"/>
  <c r="B45" i="13"/>
  <c r="F50" i="12"/>
  <c r="F53" i="12" s="1"/>
  <c r="B58" i="12"/>
  <c r="B61" i="12" s="1"/>
  <c r="B81" i="11"/>
  <c r="B84" i="11" s="1"/>
  <c r="F73" i="11"/>
  <c r="F76" i="11" s="1"/>
  <c r="B89" i="5"/>
  <c r="B92" i="5" s="1"/>
  <c r="F81" i="5"/>
  <c r="F84" i="5" s="1"/>
  <c r="F42" i="13" l="1"/>
  <c r="F45" i="13" s="1"/>
  <c r="B58" i="13" s="1"/>
  <c r="B61" i="13" s="1"/>
  <c r="B66" i="12"/>
  <c r="B69" i="12" s="1"/>
  <c r="F58" i="12"/>
  <c r="F61" i="12" s="1"/>
  <c r="F81" i="11"/>
  <c r="F84" i="11" s="1"/>
  <c r="B89" i="11"/>
  <c r="B92" i="11" s="1"/>
  <c r="F50" i="13" l="1"/>
  <c r="F53" i="13" s="1"/>
  <c r="F58" i="13" s="1"/>
  <c r="F61" i="13" s="1"/>
  <c r="B74" i="12"/>
  <c r="B77" i="12" s="1"/>
  <c r="F66" i="12"/>
  <c r="F69" i="12" s="1"/>
  <c r="B66" i="13" l="1"/>
  <c r="B69" i="13" s="1"/>
  <c r="B82" i="12"/>
  <c r="B85" i="12" s="1"/>
  <c r="F74" i="12"/>
  <c r="F77" i="12" s="1"/>
  <c r="F66" i="13"/>
  <c r="F69" i="13" s="1"/>
  <c r="B74" i="13"/>
  <c r="B77" i="13" s="1"/>
  <c r="F82" i="12" l="1"/>
  <c r="F85" i="12" s="1"/>
  <c r="B90" i="12"/>
  <c r="B93" i="12" s="1"/>
  <c r="F74" i="13"/>
  <c r="F77" i="13" s="1"/>
  <c r="B82" i="13"/>
  <c r="B85" i="13" s="1"/>
  <c r="F82" i="13" l="1"/>
  <c r="F85" i="13" s="1"/>
  <c r="B90" i="13"/>
  <c r="B93"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B4" authorId="0" shapeId="0" xr:uid="{00000000-0006-0000-0500-000001000000}">
      <text>
        <r>
          <rPr>
            <sz val="9"/>
            <color indexed="81"/>
            <rFont val="Tahoma"/>
            <family val="2"/>
          </rPr>
          <t>2020-21 school year</t>
        </r>
      </text>
    </comment>
    <comment ref="B5" authorId="0" shapeId="0" xr:uid="{00000000-0006-0000-0500-000002000000}">
      <text>
        <r>
          <rPr>
            <sz val="9"/>
            <color indexed="81"/>
            <rFont val="Tahoma"/>
            <family val="2"/>
          </rPr>
          <t>2021-22 school year</t>
        </r>
      </text>
    </comment>
    <comment ref="B6" authorId="0" shapeId="0" xr:uid="{00000000-0006-0000-0500-000003000000}">
      <text>
        <r>
          <rPr>
            <sz val="9"/>
            <color indexed="81"/>
            <rFont val="Tahoma"/>
            <family val="2"/>
          </rPr>
          <t>2022-23 school year</t>
        </r>
      </text>
    </comment>
    <comment ref="B7" authorId="0" shapeId="0" xr:uid="{00000000-0006-0000-0500-000004000000}">
      <text>
        <r>
          <rPr>
            <sz val="9"/>
            <color indexed="81"/>
            <rFont val="Tahoma"/>
            <family val="2"/>
          </rPr>
          <t>2023-24 school year</t>
        </r>
      </text>
    </comment>
    <comment ref="B8" authorId="0" shapeId="0" xr:uid="{00000000-0006-0000-0500-000005000000}">
      <text>
        <r>
          <rPr>
            <sz val="9"/>
            <color indexed="81"/>
            <rFont val="Tahoma"/>
            <family val="2"/>
          </rPr>
          <t>2024-25 school year</t>
        </r>
      </text>
    </comment>
    <comment ref="B9" authorId="0" shapeId="0" xr:uid="{00000000-0006-0000-0500-000006000000}">
      <text>
        <r>
          <rPr>
            <sz val="9"/>
            <color indexed="81"/>
            <rFont val="Tahoma"/>
            <family val="2"/>
          </rPr>
          <t>2025-26 school year</t>
        </r>
      </text>
    </comment>
    <comment ref="B10" authorId="0" shapeId="0" xr:uid="{00000000-0006-0000-0500-000007000000}">
      <text>
        <r>
          <rPr>
            <sz val="9"/>
            <color indexed="81"/>
            <rFont val="Tahoma"/>
            <family val="2"/>
          </rPr>
          <t>2026-27 school year</t>
        </r>
      </text>
    </comment>
    <comment ref="B11" authorId="0" shapeId="0" xr:uid="{00000000-0006-0000-0500-000008000000}">
      <text>
        <r>
          <rPr>
            <sz val="9"/>
            <color indexed="81"/>
            <rFont val="Tahoma"/>
            <family val="2"/>
          </rPr>
          <t>2027-28 school year</t>
        </r>
      </text>
    </comment>
    <comment ref="B12" authorId="0" shapeId="0" xr:uid="{00000000-0006-0000-0500-000009000000}">
      <text>
        <r>
          <rPr>
            <sz val="9"/>
            <color indexed="81"/>
            <rFont val="Tahoma"/>
            <family val="2"/>
          </rPr>
          <t>2028-29 school year</t>
        </r>
      </text>
    </comment>
    <comment ref="B13" authorId="0" shapeId="0" xr:uid="{00000000-0006-0000-0500-00000A000000}">
      <text>
        <r>
          <rPr>
            <sz val="9"/>
            <color indexed="81"/>
            <rFont val="Tahoma"/>
            <family val="2"/>
          </rPr>
          <t>2029-30 school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E2" authorId="0" shapeId="0" xr:uid="{00000000-0006-0000-2B00-000001000000}">
      <text>
        <r>
          <rPr>
            <b/>
            <sz val="9"/>
            <color indexed="81"/>
            <rFont val="Tahoma"/>
            <family val="2"/>
          </rPr>
          <t>Cynthia Hargrave:</t>
        </r>
        <r>
          <rPr>
            <sz val="9"/>
            <color indexed="81"/>
            <rFont val="Tahoma"/>
            <family val="2"/>
          </rPr>
          <t xml:space="preserve">
Source:  3121Percentage for 2018-19; November 2017 1077 Data; Total All column</t>
        </r>
      </text>
    </comment>
    <comment ref="F2" authorId="0" shapeId="0" xr:uid="{00000000-0006-0000-2B00-000002000000}">
      <text>
        <r>
          <rPr>
            <b/>
            <sz val="9"/>
            <color indexed="81"/>
            <rFont val="Tahoma"/>
            <family val="2"/>
          </rPr>
          <t>Cynthia Hargrave:</t>
        </r>
        <r>
          <rPr>
            <sz val="9"/>
            <color indexed="81"/>
            <rFont val="Tahoma"/>
            <family val="2"/>
          </rPr>
          <t xml:space="preserve">
Source:  17-18 Prgm 21 Resource to Prgm Exp; Other Resources column</t>
        </r>
      </text>
    </comment>
    <comment ref="G2" authorId="0" shapeId="0" xr:uid="{00000000-0006-0000-2B00-000003000000}">
      <text>
        <r>
          <rPr>
            <b/>
            <sz val="9"/>
            <color indexed="81"/>
            <rFont val="Tahoma"/>
            <family val="2"/>
          </rPr>
          <t>Cynthia Hargrave:</t>
        </r>
        <r>
          <rPr>
            <sz val="9"/>
            <color indexed="81"/>
            <rFont val="Tahoma"/>
            <family val="2"/>
          </rPr>
          <t xml:space="preserve">
Source: 17-18 Prgm 21 Resource to Prgm Exp; Revised Program Expenditures column (highlighted in yellow)</t>
        </r>
      </text>
    </comment>
    <comment ref="K2" authorId="0" shapeId="0" xr:uid="{00000000-0006-0000-2B00-000004000000}">
      <text>
        <r>
          <rPr>
            <b/>
            <sz val="9"/>
            <color indexed="81"/>
            <rFont val="Tahoma"/>
            <family val="2"/>
          </rPr>
          <t>Cynthia Hargrave:</t>
        </r>
        <r>
          <rPr>
            <sz val="9"/>
            <color indexed="81"/>
            <rFont val="Tahoma"/>
            <family val="2"/>
          </rPr>
          <t xml:space="preserve">
Source: 2018-19 Progr 21 Resource to Progm Expenditure - Other Resources Column</t>
        </r>
      </text>
    </comment>
    <comment ref="L2" authorId="0" shapeId="0" xr:uid="{00000000-0006-0000-2B00-000005000000}">
      <text>
        <r>
          <rPr>
            <b/>
            <sz val="9"/>
            <color indexed="81"/>
            <rFont val="Tahoma"/>
            <family val="2"/>
          </rPr>
          <t>Cynthia Hargrave:</t>
        </r>
        <r>
          <rPr>
            <sz val="9"/>
            <color indexed="81"/>
            <rFont val="Tahoma"/>
            <family val="2"/>
          </rPr>
          <t xml:space="preserve">
Source: 2018-19 Prgm 21 Resource to Prgm Expenditures</t>
        </r>
      </text>
    </comment>
    <comment ref="M2" authorId="0" shapeId="0" xr:uid="{00000000-0006-0000-2B00-000006000000}">
      <text>
        <r>
          <rPr>
            <b/>
            <sz val="9"/>
            <color indexed="81"/>
            <rFont val="Tahoma"/>
            <family val="2"/>
          </rPr>
          <t>Cynthia Hargrave:</t>
        </r>
        <r>
          <rPr>
            <sz val="9"/>
            <color indexed="81"/>
            <rFont val="Tahoma"/>
            <family val="2"/>
          </rPr>
          <t xml:space="preserve">
Source: 2018-19 Prgm 21 Resource to Prgm Expenditures</t>
        </r>
      </text>
    </comment>
    <comment ref="Q60" authorId="0" shapeId="0" xr:uid="{5C2CD801-0BB8-4B90-9B3B-72EA22117863}">
      <text>
        <r>
          <rPr>
            <b/>
            <sz val="9"/>
            <color indexed="81"/>
            <rFont val="Tahoma"/>
            <family val="2"/>
          </rPr>
          <t>Cynthia Hargrave:</t>
        </r>
        <r>
          <rPr>
            <sz val="9"/>
            <color indexed="81"/>
            <rFont val="Tahoma"/>
            <family val="2"/>
          </rPr>
          <t xml:space="preserve">
met with exceptions</t>
        </r>
      </text>
    </comment>
    <comment ref="Q165" authorId="0" shapeId="0" xr:uid="{EBFC3ABC-80C0-4FD0-81AB-3F3F7AD2548F}">
      <text>
        <r>
          <rPr>
            <b/>
            <sz val="9"/>
            <color indexed="81"/>
            <rFont val="Tahoma"/>
            <family val="2"/>
          </rPr>
          <t>Cynthia Hargrave:</t>
        </r>
        <r>
          <rPr>
            <sz val="9"/>
            <color indexed="81"/>
            <rFont val="Tahoma"/>
            <family val="2"/>
          </rPr>
          <t xml:space="preserve">
met with exceptions</t>
        </r>
      </text>
    </comment>
    <comment ref="L298" authorId="0" shapeId="0" xr:uid="{75165A64-6A4A-47B1-AC7B-109BA7DFFA3F}">
      <text>
        <r>
          <rPr>
            <b/>
            <sz val="9"/>
            <color indexed="81"/>
            <rFont val="Tahoma"/>
            <family val="2"/>
          </rPr>
          <t>Cynthia Hargrave:</t>
        </r>
        <r>
          <rPr>
            <sz val="9"/>
            <color indexed="81"/>
            <rFont val="Tahoma"/>
            <family val="2"/>
          </rPr>
          <t xml:space="preserve">
met with exceptions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M85" authorId="0" shapeId="0" xr:uid="{6F8B9A3C-B48A-4B73-94C9-26FFAD8B8B9D}">
      <text>
        <r>
          <rPr>
            <b/>
            <sz val="9"/>
            <color indexed="81"/>
            <rFont val="Tahoma"/>
            <family val="2"/>
          </rPr>
          <t>Cynthia Hargrave:</t>
        </r>
        <r>
          <rPr>
            <sz val="9"/>
            <color indexed="81"/>
            <rFont val="Tahoma"/>
            <family val="2"/>
          </rPr>
          <t xml:space="preserve">
applied exceptions</t>
        </r>
      </text>
    </comment>
    <comment ref="G115" authorId="0" shapeId="0" xr:uid="{F18F0F15-6622-4040-AB15-E524B1D24139}">
      <text>
        <r>
          <rPr>
            <b/>
            <sz val="9"/>
            <color indexed="81"/>
            <rFont val="Tahoma"/>
            <family val="2"/>
          </rPr>
          <t>Cynthia Hargrave:</t>
        </r>
        <r>
          <rPr>
            <sz val="9"/>
            <color indexed="81"/>
            <rFont val="Tahoma"/>
            <family val="2"/>
          </rPr>
          <t xml:space="preserve">
applied exceptions
</t>
        </r>
      </text>
    </comment>
    <comment ref="M115" authorId="0" shapeId="0" xr:uid="{774A5708-5A9E-4F4D-BD56-EA2ECD6BA01B}">
      <text>
        <r>
          <rPr>
            <b/>
            <sz val="9"/>
            <color indexed="81"/>
            <rFont val="Tahoma"/>
            <family val="2"/>
          </rPr>
          <t>Cynthia Hargrave:</t>
        </r>
        <r>
          <rPr>
            <sz val="9"/>
            <color indexed="81"/>
            <rFont val="Tahoma"/>
            <family val="2"/>
          </rPr>
          <t xml:space="preserve">
applied exceptions</t>
        </r>
      </text>
    </comment>
  </commentList>
</comments>
</file>

<file path=xl/sharedStrings.xml><?xml version="1.0" encoding="utf-8"?>
<sst xmlns="http://schemas.openxmlformats.org/spreadsheetml/2006/main" count="23762" uniqueCount="1373">
  <si>
    <t>Total Local Funds</t>
  </si>
  <si>
    <t>Expenditures last year met</t>
  </si>
  <si>
    <t>Total State and Local Funds</t>
  </si>
  <si>
    <t>Local Funds Per Capita</t>
  </si>
  <si>
    <t>State and Local Funds Per Capita</t>
  </si>
  <si>
    <t>Any intervening exceptions since last year met</t>
  </si>
  <si>
    <t>Compliance Standard</t>
  </si>
  <si>
    <t>Eligibility Standard (based on budget)</t>
  </si>
  <si>
    <t>State and Local</t>
  </si>
  <si>
    <t>Budgeted amount</t>
  </si>
  <si>
    <t>Compliance Standard (final expenditures)</t>
  </si>
  <si>
    <t>Final Expenditures</t>
  </si>
  <si>
    <t>HIDDEN</t>
  </si>
  <si>
    <t>Eligibility Standard</t>
  </si>
  <si>
    <t>LEA Name</t>
  </si>
  <si>
    <t>LEA ID</t>
  </si>
  <si>
    <t>Start of state fiscal year (month and day)</t>
  </si>
  <si>
    <t>End of state fiscal year (month and day)</t>
  </si>
  <si>
    <t>July 1</t>
  </si>
  <si>
    <t>June 30</t>
  </si>
  <si>
    <t>Enter the requested information below</t>
  </si>
  <si>
    <t>Number of years since MOE last met</t>
  </si>
  <si>
    <t>This cell intentionally left blank.</t>
  </si>
  <si>
    <t>Fiscal Year</t>
  </si>
  <si>
    <t>End of worksheet</t>
  </si>
  <si>
    <t>Year in Calculator</t>
  </si>
  <si>
    <t>Year 1</t>
  </si>
  <si>
    <t>Year 2</t>
  </si>
  <si>
    <t>Year 3</t>
  </si>
  <si>
    <t>Year 4</t>
  </si>
  <si>
    <t>Year 5</t>
  </si>
  <si>
    <t>Year 6</t>
  </si>
  <si>
    <t>Year 7</t>
  </si>
  <si>
    <t>Year 8</t>
  </si>
  <si>
    <t>Year 9</t>
  </si>
  <si>
    <t>Year 10</t>
  </si>
  <si>
    <t>Total Local Funds MOE Result</t>
  </si>
  <si>
    <t>Total State and Local Funds Amount</t>
  </si>
  <si>
    <t>Total State and Local Funds MOE Result</t>
  </si>
  <si>
    <t>Local Funds Per Capita Amount</t>
  </si>
  <si>
    <t>Local Funds Per Capita MOE Result</t>
  </si>
  <si>
    <t>State and Local Funds Per Capita Amount</t>
  </si>
  <si>
    <t>State and Local Funds Per Capita MOE Result</t>
  </si>
  <si>
    <t>years since MOE last met</t>
  </si>
  <si>
    <t>Comparison Year</t>
  </si>
  <si>
    <t>Comparison Year Amount</t>
  </si>
  <si>
    <t>MOE Failure Amount</t>
  </si>
  <si>
    <t>Compliance Standard is not calculated for Year 11. Please start a new file, using this year as year 1.</t>
  </si>
  <si>
    <t>Projected Child Count</t>
  </si>
  <si>
    <t>Child Count</t>
  </si>
  <si>
    <t>Object Description</t>
  </si>
  <si>
    <t>Code 1</t>
  </si>
  <si>
    <t>Code 2</t>
  </si>
  <si>
    <t>Local</t>
  </si>
  <si>
    <t>State</t>
  </si>
  <si>
    <t>Code</t>
  </si>
  <si>
    <t>Grand Totals</t>
  </si>
  <si>
    <t>Per Capita Amounts</t>
  </si>
  <si>
    <t xml:space="preserve">NOTE: SCROLL TO THE RIGHT TO ENTER DATA FOR EXPENDITURES </t>
  </si>
  <si>
    <t>Exception (a) The voluntary departure, by retirement or otherwise, or departure for just cause, of special education</t>
  </si>
  <si>
    <t>or related services personnel. (Only include salary and benefits paid from state and/or local funds)</t>
  </si>
  <si>
    <t>Departing Personnel</t>
  </si>
  <si>
    <t>Position Title</t>
  </si>
  <si>
    <t>Employee Name</t>
  </si>
  <si>
    <t>Reason for Leaving</t>
  </si>
  <si>
    <t>Salary</t>
  </si>
  <si>
    <t>Benefits</t>
  </si>
  <si>
    <t>Total Budget</t>
  </si>
  <si>
    <t>Total Expenditures</t>
  </si>
  <si>
    <t>Departing Total</t>
  </si>
  <si>
    <t>Replacement Personnel</t>
  </si>
  <si>
    <t>Column1</t>
  </si>
  <si>
    <t>Replacement Total</t>
  </si>
  <si>
    <t>Net Projected Reduction (Departing - Replacement)</t>
  </si>
  <si>
    <t>Net Allowed Reduction (Departing - Replacement)</t>
  </si>
  <si>
    <t>Local Total</t>
  </si>
  <si>
    <t>State and Local Total</t>
  </si>
  <si>
    <t>Column2</t>
  </si>
  <si>
    <t>Difference (must be (-) to apply exception)</t>
  </si>
  <si>
    <t>Percent Difference</t>
  </si>
  <si>
    <t>Projected Reduction</t>
  </si>
  <si>
    <t>Allowed Reduction</t>
  </si>
  <si>
    <t>Exception (c) The termination of the obligation of the agency to provide special education to a particular</t>
  </si>
  <si>
    <t>student with a disability that is an exceptionally costly program due to any of the following reasons: left</t>
  </si>
  <si>
    <t>the jurisdiction, aged out, or no longer needs the program of special education.</t>
  </si>
  <si>
    <t>Student Identifier</t>
  </si>
  <si>
    <t>Reason</t>
  </si>
  <si>
    <t>Budgeted Cost</t>
  </si>
  <si>
    <t>Expenditures</t>
  </si>
  <si>
    <t>Total (Net Projected Reduction)</t>
  </si>
  <si>
    <t>Total (Net Allowed Reduction)</t>
  </si>
  <si>
    <t xml:space="preserve">Exception (d) Termination of costly expenditures for long-term purchases, </t>
  </si>
  <si>
    <t>such as the acquisition of equipment or construction of school facilities.</t>
  </si>
  <si>
    <t>Description</t>
  </si>
  <si>
    <t>Budgeted Cost in Final Year</t>
  </si>
  <si>
    <t>Cost in Final Year of Expenditure</t>
  </si>
  <si>
    <t>Budgeted Cost Assumed by SEA</t>
  </si>
  <si>
    <t>Cost Assumed by SEA</t>
  </si>
  <si>
    <t>Adjustment to Maintenance of Effort as Permitted by 34 CFR §300.205</t>
  </si>
  <si>
    <t>Projected Adjustment</t>
  </si>
  <si>
    <t xml:space="preserve">To calculate your adjustment, use </t>
  </si>
  <si>
    <t xml:space="preserve">Adjustment </t>
  </si>
  <si>
    <t xml:space="preserve">Projected Adjustment </t>
  </si>
  <si>
    <t>IDC's MOE Reduction Eligibility Decision Tree and Worksheet.</t>
  </si>
  <si>
    <t>Adjustment Taken</t>
  </si>
  <si>
    <t>Exception (b) A decrease in the enrollment of children with disabilities.</t>
  </si>
  <si>
    <t>Total Exceptions</t>
  </si>
  <si>
    <t>Total Projected Exceptions</t>
  </si>
  <si>
    <t>HIDDEN COLUMNS</t>
  </si>
  <si>
    <t>Not calculated for Year 1.</t>
  </si>
  <si>
    <t>611 Subgrant</t>
  </si>
  <si>
    <t>619 Subgrant</t>
  </si>
  <si>
    <t>Total Subgrant</t>
  </si>
  <si>
    <t>Repayment amount</t>
  </si>
  <si>
    <t>Date SEA made repayment</t>
  </si>
  <si>
    <t>Date LEA repaid SEA (if applicable)</t>
  </si>
  <si>
    <t>Child count last year met</t>
  </si>
  <si>
    <t>MOE Result</t>
  </si>
  <si>
    <t>Comparison year Child Count</t>
  </si>
  <si>
    <t>Not calculated for Year 11. Use this year as Year 1 in a new copy of the Calculator.</t>
  </si>
  <si>
    <t>Information</t>
  </si>
  <si>
    <t>Method</t>
  </si>
  <si>
    <t>Year</t>
  </si>
  <si>
    <t>Source</t>
  </si>
  <si>
    <t>Total</t>
  </si>
  <si>
    <t>MOE Information</t>
  </si>
  <si>
    <t>Repayment data</t>
  </si>
  <si>
    <t>Data for Year 1</t>
  </si>
  <si>
    <t>Data for Year 2</t>
  </si>
  <si>
    <t>Data for Year 3</t>
  </si>
  <si>
    <t>Data for Year 4</t>
  </si>
  <si>
    <t>Data for Year 5</t>
  </si>
  <si>
    <t>Data for Year 6</t>
  </si>
  <si>
    <t>Data for Year 7</t>
  </si>
  <si>
    <t>Data for Year 8</t>
  </si>
  <si>
    <t>Data for Year 9</t>
  </si>
  <si>
    <t>The Center for IDEA Fiscal Reporting makes the Local Educational Agency (LEA) Maintenance of Effort (MOE) Calculator available to state educational agencies (SEAs) for independent use, general guidance, and estimates only.  The LEA MOE Calculator is not intended to replace professional guidance, or any other decision-making method or tool.  SEAs and any other end users are responsible for determining their own legal, regulatory, contractual or other responsibilities, and ensuring that their calculations and reporting are correct.  </t>
  </si>
  <si>
    <t>Local Only</t>
  </si>
  <si>
    <t xml:space="preserve">Does your state have a high cost fund operated by the SEA under §300.704(c)? </t>
  </si>
  <si>
    <t>Exception (a)</t>
  </si>
  <si>
    <t>Exception (b)</t>
  </si>
  <si>
    <t xml:space="preserve">Exception (c) </t>
  </si>
  <si>
    <t>Exception (d)</t>
  </si>
  <si>
    <t>Adjustment</t>
  </si>
  <si>
    <r>
      <t xml:space="preserve">What state fiscal year do you want to use as Year 1 (the first year for which LEA MOE compliance will be calculated)? </t>
    </r>
    <r>
      <rPr>
        <b/>
        <sz val="11"/>
        <color theme="1"/>
        <rFont val="Calibri"/>
        <family val="2"/>
        <scheme val="minor"/>
      </rPr>
      <t>Enter as a four-digit fiscal year, e.g. 2021.</t>
    </r>
  </si>
  <si>
    <t>Standard</t>
  </si>
  <si>
    <t>Compliance Standard (Expenditures)</t>
  </si>
  <si>
    <t>Eligibility Standard (Budget)</t>
  </si>
  <si>
    <t>Go to the Multi-Year MOE Summary</t>
  </si>
  <si>
    <t>Multi-Year MOE Summary</t>
  </si>
  <si>
    <t>Exception or Adjustment</t>
  </si>
  <si>
    <t>Compliance Standard (Final Expenditures)</t>
  </si>
  <si>
    <t>Local Funds</t>
  </si>
  <si>
    <t>State and Local Funds</t>
  </si>
  <si>
    <t>Projected Local Funds</t>
  </si>
  <si>
    <t>Projected State and Local Funds</t>
  </si>
  <si>
    <t>Last year met (four-digit year)</t>
  </si>
  <si>
    <t>Data for Year 10</t>
  </si>
  <si>
    <t>Total taken Exceptions &amp; Adjustment: Local Funds Only</t>
  </si>
  <si>
    <t>Total taken Exceptions &amp; Adjustment: State and Local Funds</t>
  </si>
  <si>
    <t>Exceptions for the per capita methods will be calculated automatically.</t>
  </si>
  <si>
    <t>For each state fiscal year listed below, enter the total amount of exceptions and adjustments taken.</t>
  </si>
  <si>
    <t>Projected (for eligibility standard)</t>
  </si>
  <si>
    <t>Final (for compliance standard)</t>
  </si>
  <si>
    <t>Exception c</t>
  </si>
  <si>
    <t>Moved</t>
  </si>
  <si>
    <t>Aged out</t>
  </si>
  <si>
    <t>Graduated with a regular diploma</t>
  </si>
  <si>
    <t>No longer needs the program of special education</t>
  </si>
  <si>
    <t>This workbook may contain Personally Identifiable Information (PII). SEAs and LEAs should follow appropriate procedures for protecting PII.</t>
  </si>
  <si>
    <t>Note: This worksheet may contain Personally Identifiable Information (PII), such as staff salary and benefits and student IDs. LEAs should follow appropriate procedures for protecting PII.</t>
  </si>
  <si>
    <t>CALCULATION: TOTAL LOCAL FUNDS</t>
  </si>
  <si>
    <t>The Center for IDEA Fiscal Reporting (CIFR) is a partnership among WestEd, AEM Corporation, American Institutes for Research (AIR), Emerald Consulting, the Frank Porter Graham Child Development Institute at the University of North Carolina at Chapel Hill, the Center for Technical Assistance for Excellence in Special Education (TAESE) at Utah State University, and Westat. The Improve Group is CIFR's external evaluator. 
The contents of this document were developed under a grant from the U.S. Department of Education, #H373F200001. However, those contents do not necessarily represent the policy of the U.S. Department of Education, and you should not assume endorsement by the Federal Government. Project Officers: Jennifer Finch and Charles Kniseley.</t>
  </si>
  <si>
    <t>For each fiscal year, use the dropdown to indicate whether your SEA has a high cost fund.</t>
  </si>
  <si>
    <t>This cell intentionally left blank</t>
  </si>
  <si>
    <t>This column intentionally left blank</t>
  </si>
  <si>
    <t>Cell intentionally left blank</t>
  </si>
  <si>
    <t>CALCULATION: TOTAL STATE AND LOCAL FUNDS</t>
  </si>
  <si>
    <t>CALCULATION: LOCAL FUNDS PER CAPITA</t>
  </si>
  <si>
    <t>CALCULATION: STATE AND LOCAL FUNDS PER CAPITA</t>
  </si>
  <si>
    <t>Eligibility Standard is not calculated for Year 1. Please enter eligibility data on the Year 1 Amounts and Exc &amp; Adj tabs to allow for calculation of  certain elements for subsequent years.</t>
  </si>
  <si>
    <r>
      <t xml:space="preserve">Acknowledgments
</t>
    </r>
    <r>
      <rPr>
        <sz val="12"/>
        <color theme="1"/>
        <rFont val="Calibri"/>
        <family val="2"/>
        <scheme val="minor"/>
      </rPr>
      <t xml:space="preserve">Many CIFR staff contributed to this work. Laura Johnson led the development, with contributions from Allison Davey, Fred Edora, Elena Lincoln, and Amanda Pierce. Tom Munk was lead reviewer and Joseph Moseley was production coordinator. CIFR Director Dave Phillips and Deputy Director Jenifer Harr-Robins guided its development.
Suggested citation: Center for IDEA Fiscal Reporting. (2021). </t>
    </r>
    <r>
      <rPr>
        <i/>
        <sz val="12"/>
        <color theme="1"/>
        <rFont val="Calibri"/>
        <family val="2"/>
        <scheme val="minor"/>
      </rPr>
      <t>Local educational agency maintenance of effort calculator v2.0</t>
    </r>
    <r>
      <rPr>
        <sz val="12"/>
        <color theme="1"/>
        <rFont val="Calibri"/>
        <family val="2"/>
        <scheme val="minor"/>
      </rPr>
      <t>. San Francisco, CA: WestEd.</t>
    </r>
  </si>
  <si>
    <t>https://cifr.wested.org/resource/lea-moe-calculator/</t>
  </si>
  <si>
    <t xml:space="preserve">Version 2.0, June 2021. Please ensure that you are using the most recent version of the Calculator by going to: </t>
  </si>
  <si>
    <t>CCDDD</t>
  </si>
  <si>
    <t>ESD</t>
  </si>
  <si>
    <t>District Name</t>
  </si>
  <si>
    <t>14005</t>
  </si>
  <si>
    <t>113</t>
  </si>
  <si>
    <t>ABERDEEN</t>
  </si>
  <si>
    <t>21226</t>
  </si>
  <si>
    <t>ADNA</t>
  </si>
  <si>
    <t>22017</t>
  </si>
  <si>
    <t>101</t>
  </si>
  <si>
    <t>ALMIRA</t>
  </si>
  <si>
    <t>29103</t>
  </si>
  <si>
    <t>189</t>
  </si>
  <si>
    <t>ANACORTES</t>
  </si>
  <si>
    <t>31016</t>
  </si>
  <si>
    <t>ARLINGTON</t>
  </si>
  <si>
    <t>02420</t>
  </si>
  <si>
    <t>123</t>
  </si>
  <si>
    <t>ASOTIN-ANATONE</t>
  </si>
  <si>
    <t>17408</t>
  </si>
  <si>
    <t>121</t>
  </si>
  <si>
    <t>AUBURN</t>
  </si>
  <si>
    <t>18303</t>
  </si>
  <si>
    <t>BAINBRIDGE</t>
  </si>
  <si>
    <t>06119</t>
  </si>
  <si>
    <t>112</t>
  </si>
  <si>
    <t>BATTLE GROUND</t>
  </si>
  <si>
    <t>17405</t>
  </si>
  <si>
    <t>BELLEVUE</t>
  </si>
  <si>
    <t>37501</t>
  </si>
  <si>
    <t>BELLINGHAM</t>
  </si>
  <si>
    <t>01122</t>
  </si>
  <si>
    <t>BENGE</t>
  </si>
  <si>
    <t>27403</t>
  </si>
  <si>
    <t>BETHEL</t>
  </si>
  <si>
    <t>20203</t>
  </si>
  <si>
    <t>105</t>
  </si>
  <si>
    <t>BICKLETON</t>
  </si>
  <si>
    <t>37503</t>
  </si>
  <si>
    <t>BLAINE</t>
  </si>
  <si>
    <t>21234</t>
  </si>
  <si>
    <t>BOISTFORT</t>
  </si>
  <si>
    <t>18100</t>
  </si>
  <si>
    <t>114</t>
  </si>
  <si>
    <t>BREMERTON</t>
  </si>
  <si>
    <t>24111</t>
  </si>
  <si>
    <t>171</t>
  </si>
  <si>
    <t>BREWSTER</t>
  </si>
  <si>
    <t>09075</t>
  </si>
  <si>
    <t>BRIDGEPORT</t>
  </si>
  <si>
    <t>16046</t>
  </si>
  <si>
    <t>BRINNON</t>
  </si>
  <si>
    <t>29100</t>
  </si>
  <si>
    <t>BURLINGTON EDISON</t>
  </si>
  <si>
    <t>06117</t>
  </si>
  <si>
    <t>CAMAS</t>
  </si>
  <si>
    <t>05401</t>
  </si>
  <si>
    <t>CAPE FLATTERY</t>
  </si>
  <si>
    <t>27019</t>
  </si>
  <si>
    <t>CARBONADO</t>
  </si>
  <si>
    <t>04228</t>
  </si>
  <si>
    <t>CASCADE</t>
  </si>
  <si>
    <t>17917</t>
  </si>
  <si>
    <t>04222</t>
  </si>
  <si>
    <t>CASHMERE</t>
  </si>
  <si>
    <t>08401</t>
  </si>
  <si>
    <t>CASTLE ROCK</t>
  </si>
  <si>
    <t>18901</t>
  </si>
  <si>
    <t>CATALYST PUBLIC SCHOOLS</t>
  </si>
  <si>
    <t>20215</t>
  </si>
  <si>
    <t>CENTERVILLE</t>
  </si>
  <si>
    <t>18401</t>
  </si>
  <si>
    <t>CENTRAL KITSAP</t>
  </si>
  <si>
    <t>32356</t>
  </si>
  <si>
    <t>CENTRAL VALLEY</t>
  </si>
  <si>
    <t>21401</t>
  </si>
  <si>
    <t>CENTRALIA</t>
  </si>
  <si>
    <t>21302</t>
  </si>
  <si>
    <t>CHEHALIS</t>
  </si>
  <si>
    <t>32360</t>
  </si>
  <si>
    <t>CHENEY</t>
  </si>
  <si>
    <t>33036</t>
  </si>
  <si>
    <t>CHEWELAH</t>
  </si>
  <si>
    <t>16049</t>
  </si>
  <si>
    <t>CHIMACUM</t>
  </si>
  <si>
    <t>02250</t>
  </si>
  <si>
    <t>CLARKSTON</t>
  </si>
  <si>
    <t>19404</t>
  </si>
  <si>
    <t>CLE ELUM-ROSLYN</t>
  </si>
  <si>
    <t>27400</t>
  </si>
  <si>
    <t>CLOVER PARK</t>
  </si>
  <si>
    <t>38300</t>
  </si>
  <si>
    <t>COLFAX</t>
  </si>
  <si>
    <t>36250</t>
  </si>
  <si>
    <t>COLLEGE PLACE</t>
  </si>
  <si>
    <t>38306</t>
  </si>
  <si>
    <t>COLTON</t>
  </si>
  <si>
    <t>33206</t>
  </si>
  <si>
    <t>COLUMBIA 206 (Stevens)</t>
  </si>
  <si>
    <t>36400</t>
  </si>
  <si>
    <t>COLUMBIA 400 (Walla Walla)</t>
  </si>
  <si>
    <t>33115</t>
  </si>
  <si>
    <t>COLVILLE</t>
  </si>
  <si>
    <t>29011</t>
  </si>
  <si>
    <t>CONCRETE</t>
  </si>
  <si>
    <t>29317</t>
  </si>
  <si>
    <t>CONWAY</t>
  </si>
  <si>
    <t>14099</t>
  </si>
  <si>
    <t>COSMOPOLIS</t>
  </si>
  <si>
    <t>13151</t>
  </si>
  <si>
    <t>COULEE-HARTLINE</t>
  </si>
  <si>
    <t>15204</t>
  </si>
  <si>
    <t>COUPEVILLE</t>
  </si>
  <si>
    <t>05313</t>
  </si>
  <si>
    <t>CRESCENT</t>
  </si>
  <si>
    <t>22073</t>
  </si>
  <si>
    <t>CRESTON</t>
  </si>
  <si>
    <t>10050</t>
  </si>
  <si>
    <t>CURLEW</t>
  </si>
  <si>
    <t>26059</t>
  </si>
  <si>
    <t>CUSICK</t>
  </si>
  <si>
    <t>19007</t>
  </si>
  <si>
    <t>DAMMAN</t>
  </si>
  <si>
    <t>31330</t>
  </si>
  <si>
    <t>DARRINGTON</t>
  </si>
  <si>
    <t>22207</t>
  </si>
  <si>
    <t>DAVENPORT</t>
  </si>
  <si>
    <t>07002</t>
  </si>
  <si>
    <t>DAYTON</t>
  </si>
  <si>
    <t>32414</t>
  </si>
  <si>
    <t>DEER PARK</t>
  </si>
  <si>
    <t>27343</t>
  </si>
  <si>
    <t>DIERINGER</t>
  </si>
  <si>
    <t>36101</t>
  </si>
  <si>
    <t>DIXIE</t>
  </si>
  <si>
    <t>32361</t>
  </si>
  <si>
    <t>EAST VALLEY 361 (Spokane)</t>
  </si>
  <si>
    <t>39090</t>
  </si>
  <si>
    <t>EAST VALLEY 90 (Yakima)</t>
  </si>
  <si>
    <t>09206</t>
  </si>
  <si>
    <t>EASTMONT</t>
  </si>
  <si>
    <t>19028</t>
  </si>
  <si>
    <t>EASTON</t>
  </si>
  <si>
    <t>27404</t>
  </si>
  <si>
    <t>EATONVILLE</t>
  </si>
  <si>
    <t>31015</t>
  </si>
  <si>
    <t>EDMONDS</t>
  </si>
  <si>
    <t>19401</t>
  </si>
  <si>
    <t>ELLENSBURG</t>
  </si>
  <si>
    <t>14068</t>
  </si>
  <si>
    <t>ELMA</t>
  </si>
  <si>
    <t>38308</t>
  </si>
  <si>
    <t>ENDICOTT</t>
  </si>
  <si>
    <t>04127</t>
  </si>
  <si>
    <t>ENTIAT</t>
  </si>
  <si>
    <t>17216</t>
  </si>
  <si>
    <t>ENUMCLAW</t>
  </si>
  <si>
    <t>13165</t>
  </si>
  <si>
    <t>EPHRATA</t>
  </si>
  <si>
    <t>21036</t>
  </si>
  <si>
    <t>EVALINE</t>
  </si>
  <si>
    <t>31002</t>
  </si>
  <si>
    <t>EVERETT</t>
  </si>
  <si>
    <t>06114</t>
  </si>
  <si>
    <t>EVERGREEN 114 (Clark)</t>
  </si>
  <si>
    <t>33205</t>
  </si>
  <si>
    <t>EVERGREEN 205 (Stevens)</t>
  </si>
  <si>
    <t>17210</t>
  </si>
  <si>
    <t>FEDERAL WAY</t>
  </si>
  <si>
    <t>37502</t>
  </si>
  <si>
    <t>FERNDALE</t>
  </si>
  <si>
    <t>27417</t>
  </si>
  <si>
    <t>FIFE</t>
  </si>
  <si>
    <t>03053</t>
  </si>
  <si>
    <t>FINLEY</t>
  </si>
  <si>
    <t>27402</t>
  </si>
  <si>
    <t>FRANKLIN PIERCE</t>
  </si>
  <si>
    <t>32358</t>
  </si>
  <si>
    <t>FREEMAN</t>
  </si>
  <si>
    <t>38302</t>
  </si>
  <si>
    <t>GARFIELD</t>
  </si>
  <si>
    <t>20401</t>
  </si>
  <si>
    <t>GLENWOOD</t>
  </si>
  <si>
    <t>20404</t>
  </si>
  <si>
    <t>GOLDENDALE</t>
  </si>
  <si>
    <t>13301</t>
  </si>
  <si>
    <t>GRAND COULEE DAM</t>
  </si>
  <si>
    <t>39200</t>
  </si>
  <si>
    <t>GRANDVIEW</t>
  </si>
  <si>
    <t>39204</t>
  </si>
  <si>
    <t>GRANGER</t>
  </si>
  <si>
    <t>31332</t>
  </si>
  <si>
    <t>GRANITE FALLS</t>
  </si>
  <si>
    <t>23054</t>
  </si>
  <si>
    <t>GRAPEVIEW</t>
  </si>
  <si>
    <t>32312</t>
  </si>
  <si>
    <t>GREAT NORTHERN</t>
  </si>
  <si>
    <t>27904</t>
  </si>
  <si>
    <t>17906</t>
  </si>
  <si>
    <t>06103</t>
  </si>
  <si>
    <t>GREEN MOUNTAIN</t>
  </si>
  <si>
    <t>34324</t>
  </si>
  <si>
    <t>GRIFFIN</t>
  </si>
  <si>
    <t>22204</t>
  </si>
  <si>
    <t>HARRINGTON</t>
  </si>
  <si>
    <t>39203</t>
  </si>
  <si>
    <t>HIGHLAND</t>
  </si>
  <si>
    <t>17401</t>
  </si>
  <si>
    <t>HIGHLINE</t>
  </si>
  <si>
    <t>06098</t>
  </si>
  <si>
    <t>HOCKINSON</t>
  </si>
  <si>
    <t>23404</t>
  </si>
  <si>
    <t>HOOD CANAL</t>
  </si>
  <si>
    <t>14028</t>
  </si>
  <si>
    <t>HOQUIAM</t>
  </si>
  <si>
    <t>17911</t>
  </si>
  <si>
    <t>17916</t>
  </si>
  <si>
    <t>IMPACT SALISH SEA ELEMENTARY</t>
  </si>
  <si>
    <t>10070</t>
  </si>
  <si>
    <t>INCHELIUM</t>
  </si>
  <si>
    <t>31063</t>
  </si>
  <si>
    <t>INDEX</t>
  </si>
  <si>
    <t>17411</t>
  </si>
  <si>
    <t>ISSAQUAH</t>
  </si>
  <si>
    <t>11056</t>
  </si>
  <si>
    <t>KAHLOTUS</t>
  </si>
  <si>
    <t>08402</t>
  </si>
  <si>
    <t>KALAMA</t>
  </si>
  <si>
    <t>10003</t>
  </si>
  <si>
    <t>KELLER</t>
  </si>
  <si>
    <t>08458</t>
  </si>
  <si>
    <t>KELSO</t>
  </si>
  <si>
    <t>03017</t>
  </si>
  <si>
    <t>KENNEWICK</t>
  </si>
  <si>
    <t>17415</t>
  </si>
  <si>
    <t>KENT</t>
  </si>
  <si>
    <t>33212</t>
  </si>
  <si>
    <t>KETTLE FALLS</t>
  </si>
  <si>
    <t>03052</t>
  </si>
  <si>
    <t>KIONA BENTON</t>
  </si>
  <si>
    <t>19403</t>
  </si>
  <si>
    <t>KITTITAS</t>
  </si>
  <si>
    <t>20402</t>
  </si>
  <si>
    <t>KLICKITAT</t>
  </si>
  <si>
    <t>06101</t>
  </si>
  <si>
    <t>LA CENTER</t>
  </si>
  <si>
    <t>29311</t>
  </si>
  <si>
    <t>LA CONNER</t>
  </si>
  <si>
    <t>38126</t>
  </si>
  <si>
    <t>LACROSSE JOINT</t>
  </si>
  <si>
    <t>04129</t>
  </si>
  <si>
    <t>LAKE CHELAN</t>
  </si>
  <si>
    <t>14097</t>
  </si>
  <si>
    <t>LAKE QUINAULT</t>
  </si>
  <si>
    <t>31004</t>
  </si>
  <si>
    <t>LAKE STEVENS</t>
  </si>
  <si>
    <t>17414</t>
  </si>
  <si>
    <t>LAKE WASHINGTON</t>
  </si>
  <si>
    <t>31306</t>
  </si>
  <si>
    <t>LAKEWOOD</t>
  </si>
  <si>
    <t>38264</t>
  </si>
  <si>
    <t>LAMONT</t>
  </si>
  <si>
    <t>32362</t>
  </si>
  <si>
    <t>LIBERTY</t>
  </si>
  <si>
    <t>01158</t>
  </si>
  <si>
    <t>LIND</t>
  </si>
  <si>
    <t>08122</t>
  </si>
  <si>
    <t>LONGVIEW</t>
  </si>
  <si>
    <t>33183</t>
  </si>
  <si>
    <t>LOON LAKE</t>
  </si>
  <si>
    <t>28144</t>
  </si>
  <si>
    <t>LOPEZ ISLAND</t>
  </si>
  <si>
    <t>32903</t>
  </si>
  <si>
    <t>20406</t>
  </si>
  <si>
    <t>LYLE</t>
  </si>
  <si>
    <t>37504</t>
  </si>
  <si>
    <t>LYNDEN</t>
  </si>
  <si>
    <t>39120</t>
  </si>
  <si>
    <t>MABTON</t>
  </si>
  <si>
    <t>09207</t>
  </si>
  <si>
    <t>MANSFIELD</t>
  </si>
  <si>
    <t>04019</t>
  </si>
  <si>
    <t>MANSON</t>
  </si>
  <si>
    <t>23311</t>
  </si>
  <si>
    <t>MARY M KNIGHT</t>
  </si>
  <si>
    <t>33207</t>
  </si>
  <si>
    <t>MARY WALKER</t>
  </si>
  <si>
    <t>31025</t>
  </si>
  <si>
    <t>MARYSVILLE</t>
  </si>
  <si>
    <t>14065</t>
  </si>
  <si>
    <t>MC CLEARY</t>
  </si>
  <si>
    <t>32354</t>
  </si>
  <si>
    <t>MEAD</t>
  </si>
  <si>
    <t>32326</t>
  </si>
  <si>
    <t>MEDICAL LAKE</t>
  </si>
  <si>
    <t>17400</t>
  </si>
  <si>
    <t>MERCER ISLAND</t>
  </si>
  <si>
    <t>37505</t>
  </si>
  <si>
    <t>MERIDIAN</t>
  </si>
  <si>
    <t>24350</t>
  </si>
  <si>
    <t>METHOW VALLEY</t>
  </si>
  <si>
    <t>30031</t>
  </si>
  <si>
    <t>MILL A</t>
  </si>
  <si>
    <t>31103</t>
  </si>
  <si>
    <t>MONROE</t>
  </si>
  <si>
    <t>14066</t>
  </si>
  <si>
    <t>MONTESANO</t>
  </si>
  <si>
    <t>21214</t>
  </si>
  <si>
    <t>MORTON</t>
  </si>
  <si>
    <t>13161</t>
  </si>
  <si>
    <t>MOSES LAKE</t>
  </si>
  <si>
    <t>21206</t>
  </si>
  <si>
    <t>MOSSYROCK</t>
  </si>
  <si>
    <t>39209</t>
  </si>
  <si>
    <t>MOUNT ADAMS</t>
  </si>
  <si>
    <t>37507</t>
  </si>
  <si>
    <t>MOUNT BAKER</t>
  </si>
  <si>
    <t>30029</t>
  </si>
  <si>
    <t>MOUNT PLEASANT</t>
  </si>
  <si>
    <t>29320</t>
  </si>
  <si>
    <t>MT VERNON</t>
  </si>
  <si>
    <t>31006</t>
  </si>
  <si>
    <t>MUKILTEO</t>
  </si>
  <si>
    <t>39003</t>
  </si>
  <si>
    <t>NACHES VALLEY</t>
  </si>
  <si>
    <t>21014</t>
  </si>
  <si>
    <t>NAPAVINE</t>
  </si>
  <si>
    <t>25155</t>
  </si>
  <si>
    <t>NASELLE GRAYS RIVER</t>
  </si>
  <si>
    <t>24014</t>
  </si>
  <si>
    <t>NESPELEM</t>
  </si>
  <si>
    <t>26056</t>
  </si>
  <si>
    <t>NEWPORT</t>
  </si>
  <si>
    <t>32325</t>
  </si>
  <si>
    <t>NINE MILE FALLS</t>
  </si>
  <si>
    <t>37506</t>
  </si>
  <si>
    <t>NOOKSACK VALLEY</t>
  </si>
  <si>
    <t>14064</t>
  </si>
  <si>
    <t>NORTH BEACH</t>
  </si>
  <si>
    <t>11051</t>
  </si>
  <si>
    <t>NORTH FRANKLIN</t>
  </si>
  <si>
    <t>18400</t>
  </si>
  <si>
    <t>NORTH KITSAP</t>
  </si>
  <si>
    <t>23403</t>
  </si>
  <si>
    <t>NORTH MASON</t>
  </si>
  <si>
    <t>25200</t>
  </si>
  <si>
    <t>NORTH RIVER</t>
  </si>
  <si>
    <t>34003</t>
  </si>
  <si>
    <t>NORTH THURSTON</t>
  </si>
  <si>
    <t>33211</t>
  </si>
  <si>
    <t>NORTHPORT</t>
  </si>
  <si>
    <t>17417</t>
  </si>
  <si>
    <t>NORTHSHORE</t>
  </si>
  <si>
    <t>15201</t>
  </si>
  <si>
    <t>OAK HARBOR</t>
  </si>
  <si>
    <t>38324</t>
  </si>
  <si>
    <t>OAKESDALE</t>
  </si>
  <si>
    <t>14400</t>
  </si>
  <si>
    <t>OAKVILLE</t>
  </si>
  <si>
    <t>25101</t>
  </si>
  <si>
    <t>OCEAN BEACH</t>
  </si>
  <si>
    <t>14172</t>
  </si>
  <si>
    <t>OCOSTA</t>
  </si>
  <si>
    <t>22105</t>
  </si>
  <si>
    <t>ODESSA</t>
  </si>
  <si>
    <t>24105</t>
  </si>
  <si>
    <t>OKANOGAN</t>
  </si>
  <si>
    <t>34111</t>
  </si>
  <si>
    <t>OLYMPIA</t>
  </si>
  <si>
    <t>24019</t>
  </si>
  <si>
    <t>OMAK</t>
  </si>
  <si>
    <t>21300</t>
  </si>
  <si>
    <t>ONALASKA</t>
  </si>
  <si>
    <t>33030</t>
  </si>
  <si>
    <t>ONION CREEK</t>
  </si>
  <si>
    <t>28137</t>
  </si>
  <si>
    <t>ORCAS</t>
  </si>
  <si>
    <t>32123</t>
  </si>
  <si>
    <t>ORCHARD PRAIRIE</t>
  </si>
  <si>
    <t>10065</t>
  </si>
  <si>
    <t>ORIENT</t>
  </si>
  <si>
    <t>09013</t>
  </si>
  <si>
    <t>ORONDO</t>
  </si>
  <si>
    <t>24410</t>
  </si>
  <si>
    <t>OROVILLE</t>
  </si>
  <si>
    <t>27344</t>
  </si>
  <si>
    <t>ORTING</t>
  </si>
  <si>
    <t>01147</t>
  </si>
  <si>
    <t>OTHELLO</t>
  </si>
  <si>
    <t>09102</t>
  </si>
  <si>
    <t>PALISADES</t>
  </si>
  <si>
    <t>38301</t>
  </si>
  <si>
    <t>PALOUSE</t>
  </si>
  <si>
    <t>11001</t>
  </si>
  <si>
    <t>PASCO</t>
  </si>
  <si>
    <t>24122</t>
  </si>
  <si>
    <t>PATEROS</t>
  </si>
  <si>
    <t>03050</t>
  </si>
  <si>
    <t>PATERSON</t>
  </si>
  <si>
    <t>21301</t>
  </si>
  <si>
    <t>PE ELL</t>
  </si>
  <si>
    <t>27401</t>
  </si>
  <si>
    <t>PENINSULA</t>
  </si>
  <si>
    <t>23402</t>
  </si>
  <si>
    <t>PIONEER</t>
  </si>
  <si>
    <t>12110</t>
  </si>
  <si>
    <t>POMEROY</t>
  </si>
  <si>
    <t>05121</t>
  </si>
  <si>
    <t>PORT ANGELES</t>
  </si>
  <si>
    <t>16050</t>
  </si>
  <si>
    <t>PORT TOWNSEND</t>
  </si>
  <si>
    <t>36402</t>
  </si>
  <si>
    <t>PRESCOTT</t>
  </si>
  <si>
    <t>32907</t>
  </si>
  <si>
    <t>PRIDE PREP CHARTER</t>
  </si>
  <si>
    <t>03116</t>
  </si>
  <si>
    <t>PROSSER</t>
  </si>
  <si>
    <t>38267</t>
  </si>
  <si>
    <t>PULLMAN</t>
  </si>
  <si>
    <t>27003</t>
  </si>
  <si>
    <t>PUYALLUP</t>
  </si>
  <si>
    <t>16020</t>
  </si>
  <si>
    <t>QUEETS-CLEARWATER</t>
  </si>
  <si>
    <t>16048</t>
  </si>
  <si>
    <t>QUILCENE</t>
  </si>
  <si>
    <t>05903</t>
  </si>
  <si>
    <t>QUILLEUTE TRIBAL</t>
  </si>
  <si>
    <t>05402</t>
  </si>
  <si>
    <t>QUILLAYUTE VALLEY</t>
  </si>
  <si>
    <t>13144</t>
  </si>
  <si>
    <t>QUINCY</t>
  </si>
  <si>
    <t>34307</t>
  </si>
  <si>
    <t>RAINIER</t>
  </si>
  <si>
    <t>17908</t>
  </si>
  <si>
    <t>RAINIER PREP CHARTER</t>
  </si>
  <si>
    <t>17910</t>
  </si>
  <si>
    <t>25116</t>
  </si>
  <si>
    <t>RAYMOND</t>
  </si>
  <si>
    <t>22009</t>
  </si>
  <si>
    <t>REARDAN-EDWALL</t>
  </si>
  <si>
    <t>17403</t>
  </si>
  <si>
    <t>RENTON</t>
  </si>
  <si>
    <t>10309</t>
  </si>
  <si>
    <t>REPUBLIC</t>
  </si>
  <si>
    <t>03400</t>
  </si>
  <si>
    <t>RICHLAND</t>
  </si>
  <si>
    <t>06122</t>
  </si>
  <si>
    <t>RIDGEFIELD</t>
  </si>
  <si>
    <t>01160</t>
  </si>
  <si>
    <t>RITZVILLE</t>
  </si>
  <si>
    <t>32416</t>
  </si>
  <si>
    <t>RIVERSIDE</t>
  </si>
  <si>
    <t>17407</t>
  </si>
  <si>
    <t>RIVERVIEW</t>
  </si>
  <si>
    <t>34401</t>
  </si>
  <si>
    <t>ROCHESTER</t>
  </si>
  <si>
    <t>20403</t>
  </si>
  <si>
    <t>ROOSEVELT</t>
  </si>
  <si>
    <t>38320</t>
  </si>
  <si>
    <t>ROSALIA</t>
  </si>
  <si>
    <t>13160</t>
  </si>
  <si>
    <t>ROYAL</t>
  </si>
  <si>
    <t>28149</t>
  </si>
  <si>
    <t>SAN JUAN</t>
  </si>
  <si>
    <t>14104</t>
  </si>
  <si>
    <t>SATSOP</t>
  </si>
  <si>
    <t>34974</t>
  </si>
  <si>
    <t>SCHOOL FOR THE BLIND</t>
  </si>
  <si>
    <t>34975</t>
  </si>
  <si>
    <t>SCHOOL FOR THE DEAF</t>
  </si>
  <si>
    <t>17001</t>
  </si>
  <si>
    <t>SEATTLE</t>
  </si>
  <si>
    <t>29101</t>
  </si>
  <si>
    <t>SEDRO WOOLLEY</t>
  </si>
  <si>
    <t>39119</t>
  </si>
  <si>
    <t>SELAH</t>
  </si>
  <si>
    <t>26070</t>
  </si>
  <si>
    <t>SELKIRK</t>
  </si>
  <si>
    <t>05323</t>
  </si>
  <si>
    <t>SEQUIM</t>
  </si>
  <si>
    <t>28010</t>
  </si>
  <si>
    <t>SHAW ISLAND</t>
  </si>
  <si>
    <t>23309</t>
  </si>
  <si>
    <t>SHELTON</t>
  </si>
  <si>
    <t>17412</t>
  </si>
  <si>
    <t>SHORELINE</t>
  </si>
  <si>
    <t>30002</t>
  </si>
  <si>
    <t>SKAMANIA</t>
  </si>
  <si>
    <t>17404</t>
  </si>
  <si>
    <t>SKYKOMISH</t>
  </si>
  <si>
    <t>31201</t>
  </si>
  <si>
    <t>SNOHOMISH</t>
  </si>
  <si>
    <t>17410</t>
  </si>
  <si>
    <t>SNOQUALMIE VALLEY</t>
  </si>
  <si>
    <t>13156</t>
  </si>
  <si>
    <t>SOAP LAKE</t>
  </si>
  <si>
    <t>27909</t>
  </si>
  <si>
    <t>25118</t>
  </si>
  <si>
    <t>SOUTH BEND</t>
  </si>
  <si>
    <t>18402</t>
  </si>
  <si>
    <t>SOUTH KITSAP</t>
  </si>
  <si>
    <t>15206</t>
  </si>
  <si>
    <t>SOUTH WHIDBEY</t>
  </si>
  <si>
    <t>23042</t>
  </si>
  <si>
    <t>SOUTHSIDE</t>
  </si>
  <si>
    <t>32081</t>
  </si>
  <si>
    <t>SPOKANE</t>
  </si>
  <si>
    <t>32901</t>
  </si>
  <si>
    <t>SPOKANE INTL ACADEMY</t>
  </si>
  <si>
    <t>22008</t>
  </si>
  <si>
    <t>SPRAGUE</t>
  </si>
  <si>
    <t>38322</t>
  </si>
  <si>
    <t>ST JOHN</t>
  </si>
  <si>
    <t>31401</t>
  </si>
  <si>
    <t>STANWOOD-CAMANO</t>
  </si>
  <si>
    <t>11054</t>
  </si>
  <si>
    <t>STAR</t>
  </si>
  <si>
    <t>07035</t>
  </si>
  <si>
    <t>STARBUCK</t>
  </si>
  <si>
    <t>04069</t>
  </si>
  <si>
    <t>STEHEKIN</t>
  </si>
  <si>
    <t>27001</t>
  </si>
  <si>
    <t>STEILACOOM HIST.</t>
  </si>
  <si>
    <t>38304</t>
  </si>
  <si>
    <t>STEPTOE</t>
  </si>
  <si>
    <t>30303</t>
  </si>
  <si>
    <t>STEVENSON-CARSON</t>
  </si>
  <si>
    <t>31311</t>
  </si>
  <si>
    <t>SULTAN</t>
  </si>
  <si>
    <t>17905</t>
  </si>
  <si>
    <t>SUMMIT ATLAS CHARTER</t>
  </si>
  <si>
    <t>27905</t>
  </si>
  <si>
    <t>SUMMIT OLYMPUS CHARTER</t>
  </si>
  <si>
    <t>17902</t>
  </si>
  <si>
    <t>SUMMIT SIERRA CHARTER</t>
  </si>
  <si>
    <t>33202</t>
  </si>
  <si>
    <t>SUMMIT VALLEY</t>
  </si>
  <si>
    <t>27320</t>
  </si>
  <si>
    <t>SUMNER</t>
  </si>
  <si>
    <t>39201</t>
  </si>
  <si>
    <t>SUNNYSIDE</t>
  </si>
  <si>
    <t>18902</t>
  </si>
  <si>
    <t>SUQUAMISH TRIBAL</t>
  </si>
  <si>
    <t>27010</t>
  </si>
  <si>
    <t>TACOMA</t>
  </si>
  <si>
    <t>14077</t>
  </si>
  <si>
    <t>TAHOLAH</t>
  </si>
  <si>
    <t>17409</t>
  </si>
  <si>
    <t>TAHOMA</t>
  </si>
  <si>
    <t>38265</t>
  </si>
  <si>
    <t>TEKOA</t>
  </si>
  <si>
    <t>34402</t>
  </si>
  <si>
    <t>TENINO</t>
  </si>
  <si>
    <t>19400</t>
  </si>
  <si>
    <t>THORP</t>
  </si>
  <si>
    <t>21237</t>
  </si>
  <si>
    <t>TOLEDO</t>
  </si>
  <si>
    <t>24404</t>
  </si>
  <si>
    <t>TONASKET</t>
  </si>
  <si>
    <t>39202</t>
  </si>
  <si>
    <t>TOPPENISH</t>
  </si>
  <si>
    <t>36300</t>
  </si>
  <si>
    <t>TOUCHET</t>
  </si>
  <si>
    <t>08130</t>
  </si>
  <si>
    <t>TOUTLE LAKE</t>
  </si>
  <si>
    <t>20400</t>
  </si>
  <si>
    <t>TROUT LAKE</t>
  </si>
  <si>
    <t>17406</t>
  </si>
  <si>
    <t>TUKWILA</t>
  </si>
  <si>
    <t>34033</t>
  </si>
  <si>
    <t>TUMWATER</t>
  </si>
  <si>
    <t>39002</t>
  </si>
  <si>
    <t>UNION GAP</t>
  </si>
  <si>
    <t>27083</t>
  </si>
  <si>
    <t>UNIVERSITY PLACE</t>
  </si>
  <si>
    <t>33070</t>
  </si>
  <si>
    <t>VALLEY</t>
  </si>
  <si>
    <t>06037</t>
  </si>
  <si>
    <t>VANCOUVER</t>
  </si>
  <si>
    <t>17402</t>
  </si>
  <si>
    <t>VASHON ISLAND</t>
  </si>
  <si>
    <t>35200</t>
  </si>
  <si>
    <t>WAHKIAKUM</t>
  </si>
  <si>
    <t>13073</t>
  </si>
  <si>
    <t>WAHLUKE</t>
  </si>
  <si>
    <t>36401</t>
  </si>
  <si>
    <t>WAITSBURG</t>
  </si>
  <si>
    <t>36140</t>
  </si>
  <si>
    <t>WALLA WALLA</t>
  </si>
  <si>
    <t>39207</t>
  </si>
  <si>
    <t>WAPATO</t>
  </si>
  <si>
    <t>13146</t>
  </si>
  <si>
    <t>WARDEN</t>
  </si>
  <si>
    <t>06112</t>
  </si>
  <si>
    <t>WASHOUGAL</t>
  </si>
  <si>
    <t>01109</t>
  </si>
  <si>
    <t>WASHTUCNA</t>
  </si>
  <si>
    <t>09209</t>
  </si>
  <si>
    <t>WATERVILLE</t>
  </si>
  <si>
    <t>33049</t>
  </si>
  <si>
    <t>WELLPINIT</t>
  </si>
  <si>
    <t>04246</t>
  </si>
  <si>
    <t>WENATCHEE</t>
  </si>
  <si>
    <t>39208</t>
  </si>
  <si>
    <t>WEST VALLEY 208 (Yakima)</t>
  </si>
  <si>
    <t>32363</t>
  </si>
  <si>
    <t>WEST VALLEY 363 (Spokane)</t>
  </si>
  <si>
    <t>21303</t>
  </si>
  <si>
    <t>WHITE PASS</t>
  </si>
  <si>
    <t>27416</t>
  </si>
  <si>
    <t>WHITE RIVER</t>
  </si>
  <si>
    <t>20405</t>
  </si>
  <si>
    <t>WHITE SALMON</t>
  </si>
  <si>
    <t>22200</t>
  </si>
  <si>
    <t>WILBUR</t>
  </si>
  <si>
    <t>25160</t>
  </si>
  <si>
    <t>WILLAPA VALLEY</t>
  </si>
  <si>
    <t>13167</t>
  </si>
  <si>
    <t>WILSON CREEK</t>
  </si>
  <si>
    <t>21232</t>
  </si>
  <si>
    <t>WINLOCK</t>
  </si>
  <si>
    <t>14117</t>
  </si>
  <si>
    <t>WISHKAH VALLEY</t>
  </si>
  <si>
    <t>20094</t>
  </si>
  <si>
    <t>WISHRAM</t>
  </si>
  <si>
    <t>08404</t>
  </si>
  <si>
    <t>WOODLAND</t>
  </si>
  <si>
    <t>39007</t>
  </si>
  <si>
    <t>YAKIMA</t>
  </si>
  <si>
    <t>34002</t>
  </si>
  <si>
    <t>YELM</t>
  </si>
  <si>
    <t>39205</t>
  </si>
  <si>
    <t>ZILLAH</t>
  </si>
  <si>
    <t>06801</t>
  </si>
  <si>
    <t>ESA 112</t>
  </si>
  <si>
    <t>17-18 Final Child Count 3-21</t>
  </si>
  <si>
    <t>17-18 Final Local Expenditures</t>
  </si>
  <si>
    <t>17-18 Final State/Local Expenditures</t>
  </si>
  <si>
    <t>18-19 Final Child Count 3-21</t>
  </si>
  <si>
    <t>18-19 Final Local Expenditures</t>
  </si>
  <si>
    <t>18-19 Final State/Local Expenditures</t>
  </si>
  <si>
    <t>19-20 Final Child Count 3-21</t>
  </si>
  <si>
    <t>19-20 Final Local Expenditures</t>
  </si>
  <si>
    <t>19-20 Final State/Local Expenditures</t>
  </si>
  <si>
    <t>20-21 Final Local Expenditures</t>
  </si>
  <si>
    <t>20-21 Final State/Local Expenditures</t>
  </si>
  <si>
    <t>Aberdeen</t>
  </si>
  <si>
    <t>Adna</t>
  </si>
  <si>
    <t>19-20</t>
  </si>
  <si>
    <t xml:space="preserve">Local Total Amount </t>
  </si>
  <si>
    <t>Met</t>
  </si>
  <si>
    <t>State and Local Amount</t>
  </si>
  <si>
    <t>Local per Capita Amount</t>
  </si>
  <si>
    <t>State and Local per Capita Amount</t>
  </si>
  <si>
    <t>Met/Did Not Meet</t>
  </si>
  <si>
    <t>Anacortes</t>
  </si>
  <si>
    <t>Arlington</t>
  </si>
  <si>
    <t>Asotin-Anatone</t>
  </si>
  <si>
    <t>Auburn</t>
  </si>
  <si>
    <t>Bainbridge Island</t>
  </si>
  <si>
    <t>Battle Ground</t>
  </si>
  <si>
    <t>Bellevue</t>
  </si>
  <si>
    <t>Bellingham</t>
  </si>
  <si>
    <t>Benge</t>
  </si>
  <si>
    <t>Bethel</t>
  </si>
  <si>
    <t>Bickleton</t>
  </si>
  <si>
    <t>Blaine</t>
  </si>
  <si>
    <t>Boistfort</t>
  </si>
  <si>
    <t>Bremerton</t>
  </si>
  <si>
    <t>Brewster</t>
  </si>
  <si>
    <t>Bridgeport</t>
  </si>
  <si>
    <t>Did not Meet</t>
  </si>
  <si>
    <t>Burlington-Edison</t>
  </si>
  <si>
    <t>Camas</t>
  </si>
  <si>
    <t>Cape Flattery</t>
  </si>
  <si>
    <t>Carbonado</t>
  </si>
  <si>
    <t>Cascade</t>
  </si>
  <si>
    <t>Cashmere</t>
  </si>
  <si>
    <t>Castle Rock</t>
  </si>
  <si>
    <t>Centerville</t>
  </si>
  <si>
    <t>Central Kitsap</t>
  </si>
  <si>
    <t>Central Valley</t>
  </si>
  <si>
    <t>Centralia</t>
  </si>
  <si>
    <t>Chehalis</t>
  </si>
  <si>
    <t>Cheney</t>
  </si>
  <si>
    <t>Chewelah</t>
  </si>
  <si>
    <t>Chimacum</t>
  </si>
  <si>
    <t>Clarkston</t>
  </si>
  <si>
    <t>Cle Elum-Roslyn</t>
  </si>
  <si>
    <t>Clover Park</t>
  </si>
  <si>
    <t>Colfax</t>
  </si>
  <si>
    <t>College Place</t>
  </si>
  <si>
    <t>Colton</t>
  </si>
  <si>
    <t>Columbia 206</t>
  </si>
  <si>
    <t>Columbia 400</t>
  </si>
  <si>
    <t>DId not Meet</t>
  </si>
  <si>
    <t>Concrete</t>
  </si>
  <si>
    <t>Conway</t>
  </si>
  <si>
    <t>Cosmopolis</t>
  </si>
  <si>
    <t>Coulee/Hartline</t>
  </si>
  <si>
    <t>Coupeville</t>
  </si>
  <si>
    <t>Crescent</t>
  </si>
  <si>
    <t>Creston</t>
  </si>
  <si>
    <t>Curlew</t>
  </si>
  <si>
    <t>Cusick</t>
  </si>
  <si>
    <t>met w/exceptions</t>
  </si>
  <si>
    <t>met with exceptions</t>
  </si>
  <si>
    <t>Darrington</t>
  </si>
  <si>
    <t>Davenport</t>
  </si>
  <si>
    <t>Dayton</t>
  </si>
  <si>
    <t>Deer Park</t>
  </si>
  <si>
    <t>Dieringer</t>
  </si>
  <si>
    <t>Dixie</t>
  </si>
  <si>
    <t>East Valley 361</t>
  </si>
  <si>
    <t>East Valley 90</t>
  </si>
  <si>
    <t>Eastmont</t>
  </si>
  <si>
    <t>Easton</t>
  </si>
  <si>
    <t>Eatonville</t>
  </si>
  <si>
    <t>Edmonds</t>
  </si>
  <si>
    <t>Ellensburg</t>
  </si>
  <si>
    <t>Elma</t>
  </si>
  <si>
    <t>Endicott</t>
  </si>
  <si>
    <t>Entiat</t>
  </si>
  <si>
    <t>Enumclaw</t>
  </si>
  <si>
    <t>Ephrata</t>
  </si>
  <si>
    <t>Everett</t>
  </si>
  <si>
    <t>Evergreen 114</t>
  </si>
  <si>
    <t>Evergreen 205</t>
  </si>
  <si>
    <t>Federal Way</t>
  </si>
  <si>
    <t>Ferndale</t>
  </si>
  <si>
    <t>Fife</t>
  </si>
  <si>
    <t>Finley</t>
  </si>
  <si>
    <t>Franklin Pierce</t>
  </si>
  <si>
    <t>Freeman</t>
  </si>
  <si>
    <t>Garfield</t>
  </si>
  <si>
    <t>Glenwood</t>
  </si>
  <si>
    <t>Goldendale</t>
  </si>
  <si>
    <t>Grand Coulee Dam</t>
  </si>
  <si>
    <t>Grandview</t>
  </si>
  <si>
    <t>Granger</t>
  </si>
  <si>
    <t>Granite Falls</t>
  </si>
  <si>
    <t>Great Northern</t>
  </si>
  <si>
    <t>Green Mountain</t>
  </si>
  <si>
    <t>Griffin</t>
  </si>
  <si>
    <t>Harrington</t>
  </si>
  <si>
    <t>Highland</t>
  </si>
  <si>
    <t>Highline</t>
  </si>
  <si>
    <t>Hockinson</t>
  </si>
  <si>
    <t>Hood Canal</t>
  </si>
  <si>
    <t>Hoquiam</t>
  </si>
  <si>
    <t>Inchelium</t>
  </si>
  <si>
    <t>Index</t>
  </si>
  <si>
    <t>Issaquah</t>
  </si>
  <si>
    <t>Kahlotus</t>
  </si>
  <si>
    <t>Keller</t>
  </si>
  <si>
    <t>Kelso</t>
  </si>
  <si>
    <t>Kennewick</t>
  </si>
  <si>
    <t>Kent</t>
  </si>
  <si>
    <t>Kettle Falls</t>
  </si>
  <si>
    <t>Kiona Benton</t>
  </si>
  <si>
    <t>Kittitas</t>
  </si>
  <si>
    <t>La Center</t>
  </si>
  <si>
    <t>La Conner</t>
  </si>
  <si>
    <t>Lake Chelan</t>
  </si>
  <si>
    <t>Lake Stevens</t>
  </si>
  <si>
    <t>Lake Washington</t>
  </si>
  <si>
    <t>Lakewood</t>
  </si>
  <si>
    <t>Lamont</t>
  </si>
  <si>
    <t>Liberty</t>
  </si>
  <si>
    <t>Lind</t>
  </si>
  <si>
    <t>Longview</t>
  </si>
  <si>
    <t>Loon Lake</t>
  </si>
  <si>
    <t>Lopez</t>
  </si>
  <si>
    <t>Lyle</t>
  </si>
  <si>
    <t>Lynden</t>
  </si>
  <si>
    <t>Mabton</t>
  </si>
  <si>
    <t>Mansfield</t>
  </si>
  <si>
    <t>Manson</t>
  </si>
  <si>
    <t>Mary M Knight</t>
  </si>
  <si>
    <t>Mary Walker</t>
  </si>
  <si>
    <t>Marysville</t>
  </si>
  <si>
    <t>Mccleary</t>
  </si>
  <si>
    <t>Mead</t>
  </si>
  <si>
    <t>Medical Lake</t>
  </si>
  <si>
    <t>Mercer Island</t>
  </si>
  <si>
    <t>Meridian</t>
  </si>
  <si>
    <t>Methow Valley</t>
  </si>
  <si>
    <t>Mill A</t>
  </si>
  <si>
    <t>Monroe</t>
  </si>
  <si>
    <t>Montesano</t>
  </si>
  <si>
    <t>Morton</t>
  </si>
  <si>
    <t>Moses Lake</t>
  </si>
  <si>
    <t>Mossyrock</t>
  </si>
  <si>
    <t>Mount Adams</t>
  </si>
  <si>
    <t>Mount Baker</t>
  </si>
  <si>
    <t>Mount Pleasant</t>
  </si>
  <si>
    <t>Mount Vernon</t>
  </si>
  <si>
    <t>Mukilteo</t>
  </si>
  <si>
    <t>Naches Valley</t>
  </si>
  <si>
    <t>Napavine</t>
  </si>
  <si>
    <t>Naselle-Grays River</t>
  </si>
  <si>
    <t>Nespelem</t>
  </si>
  <si>
    <t>Newport</t>
  </si>
  <si>
    <t>Nine Mile Falls</t>
  </si>
  <si>
    <t>Nooksack Valley</t>
  </si>
  <si>
    <t>North Beach</t>
  </si>
  <si>
    <t>North Franklin</t>
  </si>
  <si>
    <t>North Kitsap</t>
  </si>
  <si>
    <t>North Mason</t>
  </si>
  <si>
    <t>North River</t>
  </si>
  <si>
    <t>North Thurston</t>
  </si>
  <si>
    <t>Northport</t>
  </si>
  <si>
    <t>Northshore</t>
  </si>
  <si>
    <t>Oak Harbor</t>
  </si>
  <si>
    <t>Oakesdale</t>
  </si>
  <si>
    <t>Oakville</t>
  </si>
  <si>
    <t>Ocean Beach</t>
  </si>
  <si>
    <t>Ocosta</t>
  </si>
  <si>
    <t>Odessa</t>
  </si>
  <si>
    <t>Okanogan</t>
  </si>
  <si>
    <t>Olympia</t>
  </si>
  <si>
    <t>Omak</t>
  </si>
  <si>
    <t>Onalaska</t>
  </si>
  <si>
    <t>Onion Creek</t>
  </si>
  <si>
    <t>Orcas Island</t>
  </si>
  <si>
    <t>Orchard Prairie</t>
  </si>
  <si>
    <t>Orient</t>
  </si>
  <si>
    <t>Orondo</t>
  </si>
  <si>
    <t>Oroville</t>
  </si>
  <si>
    <t>Orting</t>
  </si>
  <si>
    <t>Othello</t>
  </si>
  <si>
    <t>Palisades</t>
  </si>
  <si>
    <t>Palouse</t>
  </si>
  <si>
    <t>Pasco</t>
  </si>
  <si>
    <t>Pateros</t>
  </si>
  <si>
    <t>Pe Ell</t>
  </si>
  <si>
    <t>Peninsula</t>
  </si>
  <si>
    <t>Pioneer</t>
  </si>
  <si>
    <t>Pomeroy</t>
  </si>
  <si>
    <t>Port Angeles</t>
  </si>
  <si>
    <t>Port Townsend</t>
  </si>
  <si>
    <t>Prescott</t>
  </si>
  <si>
    <t>Pride Prep</t>
  </si>
  <si>
    <t>Prosser</t>
  </si>
  <si>
    <t>Pullman</t>
  </si>
  <si>
    <t>Puyallup</t>
  </si>
  <si>
    <t>Queets-Clearwater</t>
  </si>
  <si>
    <t>Quilcene</t>
  </si>
  <si>
    <t>Quillayute Valley</t>
  </si>
  <si>
    <t>Quincy</t>
  </si>
  <si>
    <t>Rainier</t>
  </si>
  <si>
    <t>Rainier Prep</t>
  </si>
  <si>
    <t>Reardan-Edwall</t>
  </si>
  <si>
    <t>Renton</t>
  </si>
  <si>
    <t>Republic</t>
  </si>
  <si>
    <t>Richland</t>
  </si>
  <si>
    <t>Ridgefield</t>
  </si>
  <si>
    <t>Ritzville</t>
  </si>
  <si>
    <t>Riverside</t>
  </si>
  <si>
    <t>Riverview</t>
  </si>
  <si>
    <t>Rochester</t>
  </si>
  <si>
    <t>Roosevelt</t>
  </si>
  <si>
    <t>Rosalia</t>
  </si>
  <si>
    <t>Royal</t>
  </si>
  <si>
    <t>San Juan</t>
  </si>
  <si>
    <t>Satsop</t>
  </si>
  <si>
    <t>Seattle</t>
  </si>
  <si>
    <t>Sedro-Woolley</t>
  </si>
  <si>
    <t>Selah</t>
  </si>
  <si>
    <t>Selkirk</t>
  </si>
  <si>
    <t>Sequim</t>
  </si>
  <si>
    <t>Shelton</t>
  </si>
  <si>
    <t>Shoreline</t>
  </si>
  <si>
    <t>Skamania</t>
  </si>
  <si>
    <t>Skykomish</t>
  </si>
  <si>
    <t>Snohomish</t>
  </si>
  <si>
    <t>Snoqualmie Valley</t>
  </si>
  <si>
    <t>Soap Lake</t>
  </si>
  <si>
    <t>South Bend</t>
  </si>
  <si>
    <t>South Kitsap</t>
  </si>
  <si>
    <t>South Whidbey</t>
  </si>
  <si>
    <t>Southside</t>
  </si>
  <si>
    <t>Spokane</t>
  </si>
  <si>
    <t>Spokane Intl Academy</t>
  </si>
  <si>
    <t>Sprague</t>
  </si>
  <si>
    <t>St John</t>
  </si>
  <si>
    <t>Stanwood-Camano</t>
  </si>
  <si>
    <t>Starbuck</t>
  </si>
  <si>
    <t>Steilacoom Hist.</t>
  </si>
  <si>
    <t>Steptoe</t>
  </si>
  <si>
    <t>Stevenson-Carson</t>
  </si>
  <si>
    <t>Sultan</t>
  </si>
  <si>
    <t>Summit Atlas</t>
  </si>
  <si>
    <t>Summit Olympus</t>
  </si>
  <si>
    <t>Summit Sierra</t>
  </si>
  <si>
    <t>Summit Valley</t>
  </si>
  <si>
    <t>Sumner</t>
  </si>
  <si>
    <t>Sunnyside</t>
  </si>
  <si>
    <t>Suquamish</t>
  </si>
  <si>
    <t>Tacoma</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</si>
  <si>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</si>
  <si>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</si>
  <si>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</si>
  <si>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</si>
  <si>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</si>
  <si>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</si>
  <si>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</si>
  <si>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</si>
  <si>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</si>
  <si>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</si>
  <si>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</si>
  <si>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</si>
  <si>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</si>
  <si>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</si>
  <si>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</si>
  <si>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</si>
  <si>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</si>
  <si>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Wahkiakum</t>
  </si>
  <si>
    <t>Wahluke</t>
  </si>
  <si>
    <t>Waitsburg</t>
  </si>
  <si>
    <t>Walla Walla</t>
  </si>
  <si>
    <t>Wapato</t>
  </si>
  <si>
    <t>Warden</t>
  </si>
  <si>
    <t>Washougal</t>
  </si>
  <si>
    <t>Washtucna</t>
  </si>
  <si>
    <t>Waterville</t>
  </si>
  <si>
    <t>Wellpinit</t>
  </si>
  <si>
    <t>Wenatchee</t>
  </si>
  <si>
    <t>West Valley 208</t>
  </si>
  <si>
    <t>West Valley 363</t>
  </si>
  <si>
    <t>White Pass</t>
  </si>
  <si>
    <t>White River</t>
  </si>
  <si>
    <t>White Salmon</t>
  </si>
  <si>
    <t>Wilbur</t>
  </si>
  <si>
    <t>Willapa Valley</t>
  </si>
  <si>
    <t>Winlock</t>
  </si>
  <si>
    <t>Wishkah Valley</t>
  </si>
  <si>
    <t>Wishram</t>
  </si>
  <si>
    <t>Woodland</t>
  </si>
  <si>
    <t>Yakima</t>
  </si>
  <si>
    <t>Yelm</t>
  </si>
  <si>
    <t>Zillah</t>
  </si>
  <si>
    <t>117</t>
  </si>
  <si>
    <t>18-19 Final State Expenditures</t>
  </si>
  <si>
    <t>19-20 Final State Expenditures</t>
  </si>
  <si>
    <t>20-21 Final Child Count 3-21</t>
  </si>
  <si>
    <t>20-21 Final State Expenditures</t>
  </si>
  <si>
    <t>17-18 Final State Expenditures</t>
  </si>
  <si>
    <t>Yes</t>
  </si>
  <si>
    <t>MOE Compliance Testing Results</t>
  </si>
  <si>
    <t>Almira</t>
  </si>
  <si>
    <t>Brinnon</t>
  </si>
  <si>
    <t>Colville</t>
  </si>
  <si>
    <t>Damman</t>
  </si>
  <si>
    <t>Evaline</t>
  </si>
  <si>
    <t>Grapeview</t>
  </si>
  <si>
    <t>Klickitat</t>
  </si>
  <si>
    <t>Lacrosse</t>
  </si>
  <si>
    <t>Lake Quinault</t>
  </si>
  <si>
    <t>Paterson</t>
  </si>
  <si>
    <t>Shaw Island</t>
  </si>
  <si>
    <t>Star</t>
  </si>
  <si>
    <t>Stehekin</t>
  </si>
  <si>
    <t>Taholah</t>
  </si>
  <si>
    <t>Wilson Creek</t>
  </si>
  <si>
    <t>met</t>
  </si>
  <si>
    <t>N/A</t>
  </si>
  <si>
    <t>Closed</t>
  </si>
  <si>
    <t>20-21</t>
  </si>
  <si>
    <t>2019-20 Compliance</t>
  </si>
  <si>
    <t>2020-21 Compliance</t>
  </si>
  <si>
    <t>Kalama (ESA 112)</t>
  </si>
  <si>
    <t>Charter</t>
  </si>
  <si>
    <t>WHY NOT YOU ACADEMY</t>
  </si>
  <si>
    <t>ESD 112</t>
  </si>
  <si>
    <t>Rainier Valley Leadership</t>
  </si>
  <si>
    <t>27902</t>
  </si>
  <si>
    <t>Impact Commencement Bay Tacoma</t>
  </si>
  <si>
    <t>Impact Public Charter</t>
  </si>
  <si>
    <t>Impact Salish Sea Elementary</t>
  </si>
  <si>
    <t>04901</t>
  </si>
  <si>
    <t>PINNACLES PREP</t>
  </si>
  <si>
    <t>38901</t>
  </si>
  <si>
    <t>PULLMAN COMMUNITY</t>
  </si>
  <si>
    <t>37902</t>
  </si>
  <si>
    <t>WHATCOM INTERNGENERATIONAL HS</t>
  </si>
  <si>
    <t>Tribal</t>
  </si>
  <si>
    <t>LUMENS HIGH SCHOOL</t>
  </si>
  <si>
    <t>Start in Tab 2. Getting Started</t>
  </si>
  <si>
    <t xml:space="preserve">     Cell L5:  enter total state (program 21) expenditures</t>
  </si>
  <si>
    <t>Submit LEA's MOE Calculator along with supporting documentation to speced.fiscal@k12.wa.us</t>
  </si>
  <si>
    <t xml:space="preserve">     Cell B3:  Enter district's CCDDD#  (see Tab CCDDD#)</t>
  </si>
  <si>
    <t>Tab 5. Year 1 Amounts</t>
  </si>
  <si>
    <t xml:space="preserve">     Cell I1:  Pre-populated with  LEA's November Federal Child Count (consult Special Education/ESD Special Education November Federal Child Count)</t>
  </si>
  <si>
    <t>Go to Tab 4. Multi-Year MOE Summary</t>
  </si>
  <si>
    <t xml:space="preserve">     Review Line 4 (Year 1).  If LEA "Met" at least one method (F4,H4, J4, L4) the LEA has Met MOE Compliance for 2020-21.</t>
  </si>
  <si>
    <t xml:space="preserve">     If LEA "Did Not Meet" in any of the methods, review allowable exceptions and enter data in Tab 6. Year 1 Exc &amp; Adj in the Compliance Area.</t>
  </si>
  <si>
    <t xml:space="preserve">          https://www.k12.wa.us/policy-funding/special-education-funding-and-finance/special-education-funding-washington-state</t>
  </si>
  <si>
    <t xml:space="preserve">     Review Allowable Exceptions and Adjustments to MOE located:</t>
  </si>
  <si>
    <t xml:space="preserve">                     scroll down to Maintenance of Effort heading</t>
  </si>
  <si>
    <t>WHY NOT YOU ACADEMY (Cascade Midway)</t>
  </si>
  <si>
    <t>Enter CCDDD # in Cell B3</t>
  </si>
  <si>
    <t>BAINBRIDGE ISLAND</t>
  </si>
  <si>
    <t>BURLINGTON-EDISON</t>
  </si>
  <si>
    <t>CARBONADO HISTORICAL</t>
  </si>
  <si>
    <t>COLUMBIA NO. 206</t>
  </si>
  <si>
    <t>COLUMBIA NO. 400</t>
  </si>
  <si>
    <t>EAST VALLEY NO. 361</t>
  </si>
  <si>
    <t>EAST VALLEY NO. 90</t>
  </si>
  <si>
    <t>EVERGREEN NO. 114</t>
  </si>
  <si>
    <t>EVERGREEN NO. 205</t>
  </si>
  <si>
    <t>IMPACT PUBLIC SCHOOLS</t>
  </si>
  <si>
    <t>KIONA-BENTON CITY</t>
  </si>
  <si>
    <t>LACROSSE</t>
  </si>
  <si>
    <t>MARY M. KNIGHT</t>
  </si>
  <si>
    <t>MCCLEARY</t>
  </si>
  <si>
    <t>MOUNT VERNON</t>
  </si>
  <si>
    <t>NASELLE-GRAYS RIVER</t>
  </si>
  <si>
    <t>ORCAS ISLAND</t>
  </si>
  <si>
    <t>PRIDE PREP</t>
  </si>
  <si>
    <t>RAINIER PREP</t>
  </si>
  <si>
    <t>SAN JUAN ISLAND</t>
  </si>
  <si>
    <t>WA STATE CCDHY</t>
  </si>
  <si>
    <t>SEDRO-WOOLLEY</t>
  </si>
  <si>
    <t>ST. JOHN</t>
  </si>
  <si>
    <t>STEILACOOM HISTORICAL</t>
  </si>
  <si>
    <t>SUMNER-BONNEY LAKE</t>
  </si>
  <si>
    <t>VALLEY NO. 70</t>
  </si>
  <si>
    <t>WEST VALLEY NO. 208</t>
  </si>
  <si>
    <t>WEST VALLEY NO. 363</t>
  </si>
  <si>
    <t xml:space="preserve">     Cell K5: enter total local expenditures related to students with disabilities</t>
  </si>
  <si>
    <t>PK</t>
  </si>
  <si>
    <t>K</t>
  </si>
  <si>
    <t>1</t>
  </si>
  <si>
    <t>2</t>
  </si>
  <si>
    <t>3</t>
  </si>
  <si>
    <t>4</t>
  </si>
  <si>
    <t>5</t>
  </si>
  <si>
    <t>6</t>
  </si>
  <si>
    <t>7</t>
  </si>
  <si>
    <t>8</t>
  </si>
  <si>
    <t>9</t>
  </si>
  <si>
    <t>10</t>
  </si>
  <si>
    <t>11</t>
  </si>
  <si>
    <t>12</t>
  </si>
  <si>
    <t>Grand Total</t>
  </si>
  <si>
    <t>Kiona-Benton City</t>
  </si>
  <si>
    <t>Evergreen No. 114</t>
  </si>
  <si>
    <t>Coulee-Hartline</t>
  </si>
  <si>
    <t>McCleary</t>
  </si>
  <si>
    <t>Summit Public Schools: Sierra</t>
  </si>
  <si>
    <t>Summit Public Schools: Atlas</t>
  </si>
  <si>
    <t>Rainier Valley Leadership Academy</t>
  </si>
  <si>
    <t>Catalyst Public Schools</t>
  </si>
  <si>
    <t>Suquamish Tribal Education Department</t>
  </si>
  <si>
    <t>Mary M. Knight</t>
  </si>
  <si>
    <t>Steilacoom Historical</t>
  </si>
  <si>
    <t>Carbonado Historical</t>
  </si>
  <si>
    <t>Sumner-Bonney Lake</t>
  </si>
  <si>
    <t>Summit Public School: Olympus</t>
  </si>
  <si>
    <t>Lopez Island</t>
  </si>
  <si>
    <t>San Juan Island</t>
  </si>
  <si>
    <t>East Valley No. 361</t>
  </si>
  <si>
    <t>West Valley No. 363</t>
  </si>
  <si>
    <t>Spokane International Academy</t>
  </si>
  <si>
    <t>PRIDE Prep</t>
  </si>
  <si>
    <t>Valley No. 70</t>
  </si>
  <si>
    <t>Evergreen No. 205</t>
  </si>
  <si>
    <t>Columbia No. 206</t>
  </si>
  <si>
    <t>School for the Blind</t>
  </si>
  <si>
    <t>900</t>
  </si>
  <si>
    <t>Washington Center for Deaf and Hard of Hearing Youth</t>
  </si>
  <si>
    <t>Columbia No. 400</t>
  </si>
  <si>
    <t>St. John</t>
  </si>
  <si>
    <t>East Valley No. 90</t>
  </si>
  <si>
    <t>West Valley No. 208</t>
  </si>
  <si>
    <t>x</t>
  </si>
  <si>
    <t>LUMEN PUBLIC SCHOOL</t>
  </si>
  <si>
    <t>RAINIER VALLEY LEADERSHIP ACADEMY</t>
  </si>
  <si>
    <t>SPOKANE INTERNATIONAL ACADEMY</t>
  </si>
  <si>
    <t>totals</t>
  </si>
  <si>
    <t>21-22</t>
  </si>
  <si>
    <t>2021-22 Compliance</t>
  </si>
  <si>
    <t>Raymond</t>
  </si>
  <si>
    <t>Serving District Code Institution</t>
  </si>
  <si>
    <t>Serv District - Institution</t>
  </si>
  <si>
    <t>Coop</t>
  </si>
  <si>
    <t>21302-I</t>
  </si>
  <si>
    <t>Chehalis-Green Hill</t>
  </si>
  <si>
    <t>Impact - Commencement Bay Elementary</t>
  </si>
  <si>
    <t>Impact - Puget Sound Elementary</t>
  </si>
  <si>
    <t>Impact - Salish Sea Elementary</t>
  </si>
  <si>
    <t>17411-I</t>
  </si>
  <si>
    <t>Issaquah-Echo Glen</t>
  </si>
  <si>
    <t>Kalama</t>
  </si>
  <si>
    <t>Lumen Charter</t>
  </si>
  <si>
    <t>25155-I</t>
  </si>
  <si>
    <t>Naselle-Grays River-Youth Camp</t>
  </si>
  <si>
    <t>18801</t>
  </si>
  <si>
    <t>Olympic ESD</t>
  </si>
  <si>
    <t>Pinnacles Prep</t>
  </si>
  <si>
    <t>Pullman Community Montessori</t>
  </si>
  <si>
    <t>34979</t>
  </si>
  <si>
    <t>Washington Military Department</t>
  </si>
  <si>
    <t>Whatcom Intergenerational</t>
  </si>
  <si>
    <t>Why Not You</t>
  </si>
  <si>
    <t>21-22 Final Child Count 3-21</t>
  </si>
  <si>
    <t>21-22 Final Local Expenditures</t>
  </si>
  <si>
    <t>21-22 Final State Expenditures</t>
  </si>
  <si>
    <t>21-22 Final State/Local Expenditures</t>
  </si>
  <si>
    <t>111</t>
  </si>
  <si>
    <t>205</t>
  </si>
  <si>
    <t>250</t>
  </si>
  <si>
    <t>901</t>
  </si>
  <si>
    <t>County District Code</t>
  </si>
  <si>
    <t>Special Education-Supplemental, State (from Federal Sources)</t>
  </si>
  <si>
    <t>Special Education-Supplemental, State (from State Resources)</t>
  </si>
  <si>
    <t>Program 21 Special Education-Supplemental, State</t>
  </si>
  <si>
    <t>Statewide</t>
  </si>
  <si>
    <t>Bainbridge</t>
  </si>
  <si>
    <t>Burlington Edison</t>
  </si>
  <si>
    <t>Catalyst Charter</t>
  </si>
  <si>
    <t>27901</t>
  </si>
  <si>
    <t>Chief Leschi Tribal</t>
  </si>
  <si>
    <t>Columbia (Stevenson)</t>
  </si>
  <si>
    <t>Columbia (Walla)</t>
  </si>
  <si>
    <t>East Valley (Spokane)</t>
  </si>
  <si>
    <t>East Valley (Yakima)</t>
  </si>
  <si>
    <t>Evergreen (Clark)</t>
  </si>
  <si>
    <t>Evergreen (Stevevenson)</t>
  </si>
  <si>
    <t>Impact Comm Bay Charter</t>
  </si>
  <si>
    <t>Impact Puget Sound Charter</t>
  </si>
  <si>
    <t>Impact Salish Sea Charter</t>
  </si>
  <si>
    <t>Lacenter</t>
  </si>
  <si>
    <t>Lacrosse Joint</t>
  </si>
  <si>
    <t>37903</t>
  </si>
  <si>
    <t>Lummi Tribal</t>
  </si>
  <si>
    <t>Mc Cleary</t>
  </si>
  <si>
    <t>Mt Vernon</t>
  </si>
  <si>
    <t>Naselle Grays Riv</t>
  </si>
  <si>
    <t>Orcas</t>
  </si>
  <si>
    <t>Pinnacle Prep Charter</t>
  </si>
  <si>
    <t>Pride Prep Charter</t>
  </si>
  <si>
    <t>Pullman Mont Charter</t>
  </si>
  <si>
    <t>Quileute Tribal</t>
  </si>
  <si>
    <t>Rainier Prep Charter</t>
  </si>
  <si>
    <t>Reardan</t>
  </si>
  <si>
    <t>RVLA Charter</t>
  </si>
  <si>
    <t>Sedro Woolley</t>
  </si>
  <si>
    <t>Spokane Int'l Charter</t>
  </si>
  <si>
    <t>Stanwood</t>
  </si>
  <si>
    <t>Summit Atlas Charter</t>
  </si>
  <si>
    <t>Summit Olympus Charter</t>
  </si>
  <si>
    <t>Summit Sierra Charter</t>
  </si>
  <si>
    <t>Suquamish (Chief Kitsap) Tribal</t>
  </si>
  <si>
    <t>34901</t>
  </si>
  <si>
    <t>Wa He Lut Tribal</t>
  </si>
  <si>
    <t>West Valley (Spokane)</t>
  </si>
  <si>
    <t>West Valley (Yakima)</t>
  </si>
  <si>
    <t>Whatcom Int'g Charter</t>
  </si>
  <si>
    <t>Why Not You Charter</t>
  </si>
  <si>
    <t>2021-22 Program to Resource - Source Mike Sando</t>
  </si>
  <si>
    <t>Source is November 2021 child count</t>
  </si>
  <si>
    <t>CATALYST CHARTER</t>
  </si>
  <si>
    <t>Special Education-Supplemental, State (from Other Resources)</t>
  </si>
  <si>
    <t>IMPACT COMMENCEMENT BAY TACOMA</t>
  </si>
  <si>
    <t>Impact Commencement Bay</t>
  </si>
  <si>
    <t>Impact Puget Sound</t>
  </si>
  <si>
    <t>Impact Salish Sea</t>
  </si>
  <si>
    <t>Total State &amp; Local Resources</t>
  </si>
  <si>
    <t>Variance (G5-F5)</t>
  </si>
  <si>
    <t>22-23</t>
  </si>
  <si>
    <t>22-23 Final Child Count 3-21</t>
  </si>
  <si>
    <t>22-23 Final Local Expenditures</t>
  </si>
  <si>
    <t>21-2222-23Expenditures</t>
  </si>
  <si>
    <t>22-23 Final State/Local Expenditures</t>
  </si>
  <si>
    <t>School Age (Age 5 and Grade K through Ages 21) Novembe 2022 Federal Child Count</t>
  </si>
  <si>
    <t>Why Not You Academy</t>
  </si>
  <si>
    <t>Institution Dist Name</t>
  </si>
  <si>
    <t>Districts::ESD</t>
  </si>
  <si>
    <t>PK-12</t>
  </si>
  <si>
    <t>Total 3-21 CC</t>
  </si>
  <si>
    <t>Excel Public Charter-closed August 2019</t>
  </si>
  <si>
    <t>Green Dot Destiny-closed August 2019</t>
  </si>
  <si>
    <t>Soar Academy-closed August 2019</t>
  </si>
  <si>
    <t>Shaw Island-did not apply for FP 267 in 2021/22</t>
  </si>
  <si>
    <t>did not apply</t>
  </si>
  <si>
    <t>closed August 2019</t>
  </si>
  <si>
    <r>
      <t xml:space="preserve">Local Educational Agency Maintenance of Effort Calculator
</t>
    </r>
    <r>
      <rPr>
        <sz val="16"/>
        <color rgb="FF000000"/>
        <rFont val="Calibri"/>
        <family val="2"/>
        <scheme val="minor"/>
      </rPr>
      <t>v2.0, published April 2023</t>
    </r>
    <r>
      <rPr>
        <sz val="36"/>
        <color rgb="FF00000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</si>
</sst>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57">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sz val="12"/>
      <name val="Calibri"/>
      <family val="2"/>
      <scheme val="minor"/>
    </font>
    <font>
      <b/>
      <sz val="12"/>
      <name val="Calibri"/>
      <family val="2"/>
      <scheme val="minor"/>
    </font>
    <font>
      <sz val="12"/>
      <color theme="1"/>
      <name val="Calibri"/>
      <family val="2"/>
      <scheme val="minor"/>
    </font>
    <font>
      <sz val="14"/>
      <color theme="1"/>
      <name val="Calibri"/>
      <family val="2"/>
      <scheme val="minor"/>
    </font>
    <font>
      <sz val="12"/>
      <color theme="0"/>
      <name val="Calibri"/>
      <family val="2"/>
      <scheme val="minor"/>
    </font>
    <font>
      <b/>
      <sz val="14"/>
      <name val="Calibri"/>
      <family val="2"/>
      <scheme val="minor"/>
    </font>
    <font>
      <sz val="9"/>
      <color theme="0"/>
      <name val="Calibri"/>
      <family val="2"/>
      <scheme val="minor"/>
    </font>
    <font>
      <sz val="9"/>
      <color theme="1"/>
      <name val="Calibri"/>
      <family val="2"/>
      <scheme val="minor"/>
    </font>
    <font>
      <i/>
      <sz val="9"/>
      <color rgb="FF000000"/>
      <name val="Calibri"/>
      <family val="2"/>
      <scheme val="minor"/>
    </font>
    <font>
      <b/>
      <sz val="14"/>
      <color theme="0"/>
      <name val="Calibri"/>
      <family val="2"/>
      <scheme val="minor"/>
    </font>
    <font>
      <u/>
      <sz val="12"/>
      <color theme="10"/>
      <name val="Calibri"/>
      <family val="2"/>
      <scheme val="minor"/>
    </font>
    <font>
      <b/>
      <sz val="9"/>
      <color theme="0"/>
      <name val="Calibri"/>
      <family val="2"/>
      <scheme val="minor"/>
    </font>
    <font>
      <b/>
      <sz val="9"/>
      <color theme="1"/>
      <name val="Calibri"/>
      <family val="2"/>
      <scheme val="minor"/>
    </font>
    <font>
      <sz val="14"/>
      <color rgb="FFFF0000"/>
      <name val="Calibri"/>
      <family val="2"/>
      <scheme val="minor"/>
    </font>
    <font>
      <b/>
      <sz val="12"/>
      <color rgb="FF000000"/>
      <name val="Calibri"/>
      <family val="2"/>
      <scheme val="minor"/>
    </font>
    <font>
      <sz val="12"/>
      <color rgb="FF000000"/>
      <name val="Calibri"/>
      <family val="2"/>
      <scheme val="minor"/>
    </font>
    <font>
      <b/>
      <sz val="12"/>
      <color theme="0"/>
      <name val="Calibri"/>
      <family val="2"/>
      <scheme val="minor"/>
    </font>
    <font>
      <sz val="14"/>
      <name val="Calibri"/>
      <family val="2"/>
      <scheme val="minor"/>
    </font>
    <font>
      <b/>
      <sz val="14"/>
      <color rgb="FFFF0000"/>
      <name val="Calibri"/>
      <family val="2"/>
      <scheme val="minor"/>
    </font>
    <font>
      <b/>
      <sz val="16"/>
      <color theme="1"/>
      <name val="Calibri"/>
      <family val="2"/>
      <scheme val="minor"/>
    </font>
    <font>
      <sz val="16"/>
      <color theme="1"/>
      <name val="Calibri"/>
      <family val="2"/>
      <scheme val="minor"/>
    </font>
    <font>
      <sz val="36"/>
      <color rgb="FF000000"/>
      <name val="Calibri"/>
      <family val="2"/>
      <scheme val="minor"/>
    </font>
    <font>
      <sz val="16"/>
      <color rgb="FF000000"/>
      <name val="Calibri"/>
      <family val="2"/>
      <scheme val="minor"/>
    </font>
    <font>
      <b/>
      <sz val="11"/>
      <color rgb="FF000000"/>
      <name val="Calibri"/>
      <family val="2"/>
      <scheme val="minor"/>
    </font>
    <font>
      <sz val="11"/>
      <name val="Calibri"/>
      <family val="2"/>
      <scheme val="minor"/>
    </font>
    <font>
      <sz val="8"/>
      <name val="Calibri"/>
      <family val="2"/>
      <scheme val="minor"/>
    </font>
    <font>
      <sz val="12"/>
      <color rgb="FF006100"/>
      <name val="Calibri"/>
      <family val="2"/>
      <scheme val="minor"/>
    </font>
    <font>
      <b/>
      <u/>
      <sz val="14"/>
      <color theme="10"/>
      <name val="Calibri"/>
      <family val="2"/>
      <scheme val="minor"/>
    </font>
    <font>
      <b/>
      <sz val="12"/>
      <color rgb="FFFF0000"/>
      <name val="Calibri"/>
      <family val="2"/>
      <scheme val="minor"/>
    </font>
    <font>
      <sz val="13"/>
      <color rgb="FFFF0000"/>
      <name val="Calibri"/>
      <family val="2"/>
      <scheme val="minor"/>
    </font>
    <font>
      <sz val="11"/>
      <color theme="0"/>
      <name val="Calibri"/>
      <family val="2"/>
      <scheme val="minor"/>
    </font>
    <font>
      <b/>
      <sz val="11"/>
      <name val="Calibri"/>
      <family val="2"/>
      <scheme val="minor"/>
    </font>
    <font>
      <sz val="16"/>
      <color theme="0"/>
      <name val="Calibri"/>
      <family val="2"/>
      <scheme val="minor"/>
    </font>
    <font>
      <i/>
      <sz val="12"/>
      <color theme="1"/>
      <name val="Calibri"/>
      <family val="2"/>
      <scheme val="minor"/>
    </font>
    <font>
      <b/>
      <sz val="9"/>
      <color indexed="81"/>
      <name val="Tahoma"/>
      <family val="2"/>
    </font>
    <font>
      <sz val="9"/>
      <color indexed="81"/>
      <name val="Tahoma"/>
      <family val="2"/>
    </font>
    <font>
      <b/>
      <sz val="9"/>
      <color theme="1"/>
      <name val="Arial"/>
      <family val="2"/>
    </font>
    <font>
      <sz val="12"/>
      <color rgb="FFC00000"/>
      <name val="Calibri"/>
      <family val="2"/>
      <scheme val="minor"/>
    </font>
    <font>
      <sz val="9"/>
      <color rgb="FF333333"/>
      <name val="Arial"/>
      <family val="2"/>
    </font>
    <font>
      <sz val="9"/>
      <color rgb="FF666666"/>
      <name val="Arial"/>
      <family val="2"/>
    </font>
    <font>
      <b/>
      <sz val="9"/>
      <color rgb="FF666666"/>
      <name val="Arial"/>
      <family val="2"/>
    </font>
    <font>
      <b/>
      <sz val="9"/>
      <color rgb="FF333333"/>
      <name val="Arial"/>
      <family val="2"/>
    </font>
    <font>
      <b/>
      <sz val="14"/>
      <color rgb="FF333333"/>
      <name val="Arial"/>
      <family val="2"/>
    </font>
    <font>
      <b/>
      <sz val="9"/>
      <color rgb="FF00B0F0"/>
      <name val="Arial"/>
      <family val="2"/>
    </font>
    <font>
      <sz val="9"/>
      <name val="Arial"/>
      <family val="2"/>
    </font>
    <font>
      <b/>
      <sz val="9"/>
      <color rgb="FF9C0006"/>
      <name val="Arial"/>
      <family val="2"/>
    </font>
    <font>
      <b/>
      <sz val="14"/>
      <color rgb="FF00B0F0"/>
      <name val="Calibri"/>
      <family val="2"/>
      <scheme val="minor"/>
    </font>
    <font>
      <b/>
      <sz val="11"/>
      <color rgb="FF00B0F0"/>
      <name val="Calibri"/>
      <family val="2"/>
      <scheme val="minor"/>
    </font>
    <font>
      <b/>
      <sz val="11"/>
      <color rgb="FF9C0006"/>
      <name val="Calibri"/>
      <family val="2"/>
      <scheme val="minor"/>
    </font>
    <font>
      <b/>
      <sz val="14"/>
      <color rgb="FF9C0006"/>
      <name val="Calibri"/>
      <family val="2"/>
      <scheme val="minor"/>
    </font>
    <font>
      <sz val="10"/>
      <name val="Arial"/>
      <family val="2"/>
    </font>
    <font>
      <u/>
      <sz val="10"/>
      <color indexed="12"/>
      <name val="Geneva"/>
    </font>
  </fonts>
  <fills count="1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1"/>
        <bgColor indexed="64"/>
      </patternFill>
    </fill>
    <fill>
      <patternFill patternType="solid">
        <fgColor rgb="FFC6EFCE"/>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39997558519241921"/>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indexed="64"/>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style="thin">
        <color auto="1"/>
      </left>
      <right style="thick">
        <color auto="1"/>
      </right>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ck">
        <color auto="1"/>
      </left>
      <right style="thin">
        <color auto="1"/>
      </right>
      <top style="thick">
        <color auto="1"/>
      </top>
      <bottom style="thick">
        <color auto="1"/>
      </bottom>
      <diagonal/>
    </border>
    <border>
      <left style="thick">
        <color auto="1"/>
      </left>
      <right style="thin">
        <color auto="1"/>
      </right>
      <top style="thin">
        <color auto="1"/>
      </top>
      <bottom style="thick">
        <color auto="1"/>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style="medium">
        <color auto="1"/>
      </bottom>
      <diagonal/>
    </border>
    <border>
      <left/>
      <right/>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theme="0"/>
      </left>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bottom style="medium">
        <color auto="1"/>
      </bottom>
      <diagonal/>
    </border>
    <border>
      <left style="thin">
        <color auto="1"/>
      </left>
      <right style="thin">
        <color theme="0"/>
      </right>
      <top style="thin">
        <color auto="1"/>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theme="0"/>
      </right>
      <top style="thin">
        <color theme="0"/>
      </top>
      <bottom/>
      <diagonal/>
    </border>
    <border>
      <left style="thin">
        <color theme="0"/>
      </left>
      <right/>
      <top style="thin">
        <color theme="0"/>
      </top>
      <bottom/>
      <diagonal/>
    </border>
    <border>
      <left style="thick">
        <color auto="1"/>
      </left>
      <right style="thin">
        <color auto="1"/>
      </right>
      <top/>
      <bottom/>
      <diagonal/>
    </border>
    <border>
      <left style="thick">
        <color auto="1"/>
      </left>
      <right style="thin">
        <color auto="1"/>
      </right>
      <top style="thick">
        <color auto="1"/>
      </top>
      <bottom style="thin">
        <color auto="1"/>
      </bottom>
      <diagonal/>
    </border>
    <border>
      <left/>
      <right style="thick">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top style="thick">
        <color auto="1"/>
      </top>
      <bottom style="thin">
        <color auto="1"/>
      </bottom>
      <diagonal/>
    </border>
    <border>
      <left/>
      <right/>
      <top style="thick">
        <color auto="1"/>
      </top>
      <bottom/>
      <diagonal/>
    </border>
    <border>
      <left/>
      <right/>
      <top/>
      <bottom style="thick">
        <color auto="1"/>
      </bottom>
      <diagonal/>
    </border>
    <border>
      <left/>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top/>
      <bottom style="thick">
        <color auto="1"/>
      </bottom>
      <diagonal/>
    </border>
    <border>
      <left style="thick">
        <color auto="1"/>
      </left>
      <right style="thin">
        <color auto="1"/>
      </right>
      <top style="thin">
        <color auto="1"/>
      </top>
      <bottom/>
      <diagonal/>
    </border>
    <border>
      <left style="thick">
        <color auto="1"/>
      </left>
      <right/>
      <top style="thin">
        <color auto="1"/>
      </top>
      <bottom style="thin">
        <color auto="1"/>
      </bottom>
      <diagonal/>
    </border>
    <border>
      <left/>
      <right style="medium">
        <color indexed="64"/>
      </right>
      <top style="medium">
        <color indexed="64"/>
      </top>
      <bottom style="thin">
        <color indexed="64"/>
      </bottom>
      <diagonal/>
    </border>
    <border>
      <left/>
      <right/>
      <top/>
      <bottom style="double">
        <color indexed="64"/>
      </bottom>
      <diagonal/>
    </border>
    <border>
      <left/>
      <right style="medium">
        <color auto="1"/>
      </right>
      <top/>
      <bottom style="double">
        <color indexed="64"/>
      </bottom>
      <diagonal/>
    </border>
  </borders>
  <cellStyleXfs count="10">
    <xf numFmtId="0" fontId="0" fillId="0" borderId="0"/>
    <xf numFmtId="43" fontId="4" fillId="0" borderId="0" applyFont="0" applyFill="0" applyBorder="0" applyAlignment="0" applyProtection="0"/>
    <xf numFmtId="44" fontId="4" fillId="0" borderId="0" applyFont="0" applyFill="0" applyBorder="0" applyAlignment="0" applyProtection="0"/>
    <xf numFmtId="0" fontId="7" fillId="0" borderId="0"/>
    <xf numFmtId="44" fontId="7" fillId="0" borderId="0" applyFont="0" applyFill="0" applyBorder="0" applyAlignment="0" applyProtection="0"/>
    <xf numFmtId="0" fontId="15" fillId="0" borderId="0" applyNumberForma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55" fillId="0" borderId="0"/>
    <xf numFmtId="0" fontId="56" fillId="0" borderId="0" applyNumberFormat="0" applyFill="0" applyBorder="0" applyAlignment="0" applyProtection="0">
      <alignment vertical="top"/>
      <protection locked="0"/>
    </xf>
  </cellStyleXfs>
  <cellXfs count="497">
    <xf numFmtId="0" fontId="0" fillId="0" borderId="0" xfId="0"/>
    <xf numFmtId="0" fontId="0" fillId="0" borderId="0" xfId="0" applyAlignment="1">
      <alignment wrapText="1"/>
    </xf>
    <xf numFmtId="0" fontId="1" fillId="0" borderId="0" xfId="0" applyFont="1"/>
    <xf numFmtId="0" fontId="0" fillId="0" borderId="1" xfId="0" applyBorder="1"/>
    <xf numFmtId="0" fontId="0" fillId="0" borderId="0" xfId="0" applyAlignment="1">
      <alignment horizontal="centerContinuous"/>
    </xf>
    <xf numFmtId="0" fontId="2" fillId="0" borderId="0" xfId="0" applyFont="1" applyAlignment="1">
      <alignment horizontal="centerContinuous"/>
    </xf>
    <xf numFmtId="0" fontId="1" fillId="0" borderId="0" xfId="0" applyFont="1" applyAlignment="1">
      <alignment wrapText="1"/>
    </xf>
    <xf numFmtId="0" fontId="5" fillId="3" borderId="2" xfId="0" applyFont="1" applyFill="1" applyBorder="1"/>
    <xf numFmtId="0" fontId="1" fillId="0" borderId="0" xfId="0" applyFont="1" applyAlignment="1">
      <alignment horizontal="centerContinuous" wrapText="1"/>
    </xf>
    <xf numFmtId="44" fontId="0" fillId="0" borderId="0" xfId="0" applyNumberFormat="1"/>
    <xf numFmtId="0" fontId="7" fillId="0" borderId="0" xfId="3"/>
    <xf numFmtId="0" fontId="2" fillId="0" borderId="0" xfId="3" applyFont="1"/>
    <xf numFmtId="0" fontId="9" fillId="0" borderId="0" xfId="3" applyFont="1" applyAlignment="1">
      <alignment horizontal="center"/>
    </xf>
    <xf numFmtId="0" fontId="11" fillId="0" borderId="0" xfId="3" applyFont="1" applyAlignment="1">
      <alignment horizontal="center"/>
    </xf>
    <xf numFmtId="0" fontId="12" fillId="0" borderId="0" xfId="3" applyFont="1"/>
    <xf numFmtId="0" fontId="2" fillId="0" borderId="0" xfId="3" applyFont="1" applyAlignment="1">
      <alignment horizontal="center"/>
    </xf>
    <xf numFmtId="0" fontId="2" fillId="0" borderId="5" xfId="0" applyFont="1" applyBorder="1" applyAlignment="1">
      <alignment horizontal="centerContinuous"/>
    </xf>
    <xf numFmtId="44" fontId="0" fillId="0" borderId="1" xfId="0" applyNumberFormat="1" applyBorder="1"/>
    <xf numFmtId="0" fontId="3" fillId="0" borderId="0" xfId="0" applyFont="1" applyAlignment="1">
      <alignment horizontal="centerContinuous"/>
    </xf>
    <xf numFmtId="0" fontId="2" fillId="0" borderId="19" xfId="3" applyFont="1" applyBorder="1" applyAlignment="1">
      <alignment vertical="center"/>
    </xf>
    <xf numFmtId="0" fontId="7" fillId="0" borderId="0" xfId="3" applyAlignment="1">
      <alignment vertical="center"/>
    </xf>
    <xf numFmtId="0" fontId="2" fillId="0" borderId="0" xfId="3" applyFont="1" applyAlignment="1">
      <alignment vertical="center"/>
    </xf>
    <xf numFmtId="0" fontId="3" fillId="0" borderId="20" xfId="3" applyFont="1" applyBorder="1" applyAlignment="1">
      <alignment horizontal="centerContinuous" vertical="center"/>
    </xf>
    <xf numFmtId="0" fontId="3" fillId="0" borderId="21" xfId="3" applyFont="1" applyBorder="1" applyAlignment="1">
      <alignment horizontal="centerContinuous" vertical="center"/>
    </xf>
    <xf numFmtId="0" fontId="3" fillId="0" borderId="22" xfId="3" applyFont="1" applyBorder="1" applyAlignment="1">
      <alignment horizontal="centerContinuous" vertical="center"/>
    </xf>
    <xf numFmtId="0" fontId="3" fillId="0" borderId="0" xfId="3" applyFont="1" applyAlignment="1">
      <alignment vertical="center"/>
    </xf>
    <xf numFmtId="0" fontId="3" fillId="0" borderId="23" xfId="3" applyFont="1" applyBorder="1" applyAlignment="1">
      <alignment vertical="center"/>
    </xf>
    <xf numFmtId="0" fontId="3" fillId="0" borderId="24" xfId="3" applyFont="1" applyBorder="1" applyAlignment="1">
      <alignment vertical="center"/>
    </xf>
    <xf numFmtId="0" fontId="2" fillId="0" borderId="25" xfId="3" applyFont="1" applyBorder="1" applyAlignment="1">
      <alignment horizontal="centerContinuous" vertical="center"/>
    </xf>
    <xf numFmtId="0" fontId="2" fillId="0" borderId="26" xfId="3" applyFont="1" applyBorder="1" applyAlignment="1">
      <alignment horizontal="centerContinuous" vertical="center"/>
    </xf>
    <xf numFmtId="0" fontId="2" fillId="0" borderId="27" xfId="3" applyFont="1" applyBorder="1" applyAlignment="1">
      <alignment horizontal="centerContinuous" vertical="center"/>
    </xf>
    <xf numFmtId="0" fontId="3" fillId="0" borderId="28" xfId="3" applyFont="1" applyBorder="1" applyAlignment="1">
      <alignment vertical="center"/>
    </xf>
    <xf numFmtId="0" fontId="3" fillId="0" borderId="27" xfId="3" applyFont="1" applyBorder="1" applyAlignment="1">
      <alignment horizontal="centerContinuous" vertical="center"/>
    </xf>
    <xf numFmtId="0" fontId="6" fillId="3" borderId="29" xfId="3" applyFont="1" applyFill="1" applyBorder="1" applyAlignment="1" applyProtection="1">
      <alignment vertical="center" wrapText="1"/>
      <protection locked="0"/>
    </xf>
    <xf numFmtId="0" fontId="6" fillId="3" borderId="30" xfId="3" applyFont="1" applyFill="1" applyBorder="1" applyAlignment="1" applyProtection="1">
      <alignment vertical="center" wrapText="1"/>
      <protection locked="0"/>
    </xf>
    <xf numFmtId="0" fontId="6" fillId="3" borderId="17" xfId="3" applyFont="1" applyFill="1" applyBorder="1" applyAlignment="1" applyProtection="1">
      <alignment vertical="center" wrapText="1"/>
      <protection locked="0"/>
    </xf>
    <xf numFmtId="0" fontId="6" fillId="3" borderId="17" xfId="3" applyFont="1" applyFill="1" applyBorder="1" applyAlignment="1">
      <alignment horizontal="center" vertical="center" wrapText="1"/>
    </xf>
    <xf numFmtId="0" fontId="3" fillId="0" borderId="0" xfId="3" applyFont="1" applyAlignment="1">
      <alignment horizontal="center" wrapText="1"/>
    </xf>
    <xf numFmtId="44" fontId="0" fillId="3" borderId="13" xfId="4" applyFont="1" applyFill="1" applyBorder="1" applyAlignment="1">
      <alignment vertical="center"/>
    </xf>
    <xf numFmtId="0" fontId="7" fillId="3" borderId="0" xfId="3" applyFill="1" applyAlignment="1">
      <alignment vertical="center"/>
    </xf>
    <xf numFmtId="0" fontId="7" fillId="3" borderId="35" xfId="3" applyFill="1" applyBorder="1" applyAlignment="1">
      <alignment vertical="center"/>
    </xf>
    <xf numFmtId="0" fontId="3" fillId="3" borderId="0" xfId="3" applyFont="1" applyFill="1" applyAlignment="1">
      <alignment horizontal="right" vertical="center"/>
    </xf>
    <xf numFmtId="44" fontId="3" fillId="3" borderId="36" xfId="4" applyFont="1" applyFill="1" applyBorder="1" applyAlignment="1">
      <alignment vertical="center"/>
    </xf>
    <xf numFmtId="0" fontId="3" fillId="3" borderId="0" xfId="3" applyFont="1" applyFill="1" applyAlignment="1">
      <alignment vertical="center"/>
    </xf>
    <xf numFmtId="0" fontId="2" fillId="3" borderId="0" xfId="3" applyFont="1" applyFill="1" applyAlignment="1">
      <alignment horizontal="right" vertical="center"/>
    </xf>
    <xf numFmtId="0" fontId="14" fillId="0" borderId="0" xfId="3" applyFont="1" applyAlignment="1">
      <alignment horizontal="center" vertical="center"/>
    </xf>
    <xf numFmtId="0" fontId="16" fillId="0" borderId="0" xfId="3" applyFont="1" applyAlignment="1">
      <alignment horizontal="center" vertical="center"/>
    </xf>
    <xf numFmtId="0" fontId="17" fillId="0" borderId="0" xfId="3" applyFont="1" applyAlignment="1">
      <alignment vertical="center"/>
    </xf>
    <xf numFmtId="0" fontId="7" fillId="2" borderId="19" xfId="3" applyFill="1" applyBorder="1" applyAlignment="1" applyProtection="1">
      <alignment vertical="center"/>
      <protection locked="0"/>
    </xf>
    <xf numFmtId="0" fontId="7" fillId="2" borderId="31" xfId="3" applyFill="1" applyBorder="1" applyAlignment="1" applyProtection="1">
      <alignment vertical="center"/>
      <protection locked="0"/>
    </xf>
    <xf numFmtId="0" fontId="7" fillId="2" borderId="32" xfId="3" applyFill="1" applyBorder="1" applyAlignment="1" applyProtection="1">
      <alignment vertical="center"/>
      <protection locked="0"/>
    </xf>
    <xf numFmtId="0" fontId="7" fillId="2" borderId="13" xfId="3" applyFill="1" applyBorder="1" applyAlignment="1" applyProtection="1">
      <alignment vertical="center"/>
      <protection locked="0"/>
    </xf>
    <xf numFmtId="44" fontId="0" fillId="2" borderId="13" xfId="4" applyFont="1" applyFill="1" applyBorder="1" applyAlignment="1" applyProtection="1">
      <alignment vertical="center"/>
      <protection locked="0"/>
    </xf>
    <xf numFmtId="0" fontId="7" fillId="2" borderId="33" xfId="3" applyFill="1" applyBorder="1" applyAlignment="1" applyProtection="1">
      <alignment vertical="center"/>
      <protection locked="0"/>
    </xf>
    <xf numFmtId="0" fontId="7" fillId="2" borderId="1" xfId="3" applyFill="1" applyBorder="1" applyAlignment="1" applyProtection="1">
      <alignment vertical="center"/>
      <protection locked="0"/>
    </xf>
    <xf numFmtId="0" fontId="7" fillId="2" borderId="34" xfId="3" applyFill="1" applyBorder="1" applyAlignment="1" applyProtection="1">
      <alignment vertical="center"/>
      <protection locked="0"/>
    </xf>
    <xf numFmtId="44" fontId="0" fillId="2" borderId="34" xfId="4" applyFont="1" applyFill="1" applyBorder="1" applyAlignment="1" applyProtection="1">
      <alignment vertical="center"/>
      <protection locked="0"/>
    </xf>
    <xf numFmtId="0" fontId="18" fillId="0" borderId="0" xfId="3" applyFont="1" applyAlignment="1">
      <alignment vertical="top"/>
    </xf>
    <xf numFmtId="0" fontId="7" fillId="3" borderId="0" xfId="3" applyFill="1"/>
    <xf numFmtId="0" fontId="2" fillId="3" borderId="0" xfId="3" applyFont="1" applyFill="1"/>
    <xf numFmtId="0" fontId="19" fillId="0" borderId="20" xfId="3" applyFont="1" applyBorder="1" applyAlignment="1">
      <alignment horizontal="centerContinuous" vertical="center"/>
    </xf>
    <xf numFmtId="0" fontId="19" fillId="0" borderId="21" xfId="3" applyFont="1" applyBorder="1" applyAlignment="1">
      <alignment horizontal="centerContinuous" vertical="center"/>
    </xf>
    <xf numFmtId="0" fontId="19" fillId="0" borderId="22" xfId="3" applyFont="1" applyBorder="1" applyAlignment="1">
      <alignment horizontal="centerContinuous" vertical="center"/>
    </xf>
    <xf numFmtId="0" fontId="19" fillId="0" borderId="39" xfId="3" applyFont="1" applyBorder="1" applyAlignment="1">
      <alignment vertical="center"/>
    </xf>
    <xf numFmtId="0" fontId="7" fillId="3" borderId="0" xfId="3" applyFill="1" applyAlignment="1">
      <alignment horizontal="center"/>
    </xf>
    <xf numFmtId="0" fontId="19" fillId="0" borderId="23" xfId="3" applyFont="1" applyBorder="1" applyAlignment="1">
      <alignment horizontal="left" vertical="center"/>
    </xf>
    <xf numFmtId="0" fontId="19" fillId="0" borderId="24" xfId="3" applyFont="1" applyBorder="1" applyAlignment="1">
      <alignment horizontal="center" vertical="center"/>
    </xf>
    <xf numFmtId="0" fontId="19" fillId="0" borderId="24" xfId="3" applyFont="1" applyBorder="1" applyAlignment="1">
      <alignment horizontal="left" vertical="center"/>
    </xf>
    <xf numFmtId="0" fontId="19" fillId="0" borderId="27" xfId="3" applyFont="1" applyBorder="1" applyAlignment="1">
      <alignment horizontal="left" vertical="center"/>
    </xf>
    <xf numFmtId="0" fontId="19" fillId="0" borderId="0" xfId="3" applyFont="1" applyAlignment="1">
      <alignment horizontal="left" vertical="center"/>
    </xf>
    <xf numFmtId="0" fontId="19" fillId="3" borderId="0" xfId="3" applyFont="1" applyFill="1" applyAlignment="1">
      <alignment horizontal="left" vertical="center"/>
    </xf>
    <xf numFmtId="0" fontId="19" fillId="0" borderId="39" xfId="3" applyFont="1" applyBorder="1" applyAlignment="1">
      <alignment horizontal="left" vertical="top"/>
    </xf>
    <xf numFmtId="0" fontId="19" fillId="0" borderId="0" xfId="3" applyFont="1" applyAlignment="1">
      <alignment horizontal="center" vertical="center"/>
    </xf>
    <xf numFmtId="0" fontId="19" fillId="0" borderId="37" xfId="3" applyFont="1" applyBorder="1" applyAlignment="1">
      <alignment horizontal="left" vertical="center"/>
    </xf>
    <xf numFmtId="0" fontId="19" fillId="3" borderId="0" xfId="3" applyFont="1" applyFill="1" applyAlignment="1">
      <alignment horizontal="center" vertical="center"/>
    </xf>
    <xf numFmtId="0" fontId="19" fillId="0" borderId="39" xfId="3" applyFont="1" applyBorder="1" applyAlignment="1">
      <alignment horizontal="left" indent="40"/>
    </xf>
    <xf numFmtId="0" fontId="19" fillId="0" borderId="0" xfId="3" applyFont="1" applyAlignment="1">
      <alignment horizontal="centerContinuous" vertical="center"/>
    </xf>
    <xf numFmtId="0" fontId="19" fillId="0" borderId="37" xfId="3" applyFont="1" applyBorder="1" applyAlignment="1">
      <alignment horizontal="centerContinuous" vertical="center"/>
    </xf>
    <xf numFmtId="0" fontId="6" fillId="3" borderId="40" xfId="3" applyFont="1" applyFill="1" applyBorder="1" applyAlignment="1">
      <alignment horizontal="centerContinuous" vertical="center"/>
    </xf>
    <xf numFmtId="0" fontId="6" fillId="3" borderId="25" xfId="3" applyFont="1" applyFill="1" applyBorder="1" applyAlignment="1">
      <alignment horizontal="centerContinuous" vertical="center"/>
    </xf>
    <xf numFmtId="0" fontId="6" fillId="3" borderId="25" xfId="3" applyFont="1" applyFill="1" applyBorder="1" applyAlignment="1">
      <alignment horizontal="center" vertical="center"/>
    </xf>
    <xf numFmtId="0" fontId="6" fillId="3" borderId="41" xfId="3" applyFont="1" applyFill="1" applyBorder="1" applyAlignment="1">
      <alignment horizontal="center" vertical="center"/>
    </xf>
    <xf numFmtId="0" fontId="5" fillId="3" borderId="4" xfId="3" applyFont="1" applyFill="1" applyBorder="1" applyAlignment="1">
      <alignment horizontal="center"/>
    </xf>
    <xf numFmtId="0" fontId="6" fillId="3" borderId="0" xfId="3" applyFont="1" applyFill="1" applyAlignment="1">
      <alignment horizontal="centerContinuous" vertical="center"/>
    </xf>
    <xf numFmtId="44" fontId="20" fillId="3" borderId="38" xfId="4" applyFont="1" applyFill="1" applyBorder="1" applyAlignment="1" applyProtection="1">
      <alignment horizontal="left" vertical="center"/>
    </xf>
    <xf numFmtId="44" fontId="20" fillId="3" borderId="0" xfId="4" applyFont="1" applyFill="1" applyBorder="1" applyAlignment="1" applyProtection="1">
      <alignment horizontal="left" vertical="center"/>
    </xf>
    <xf numFmtId="0" fontId="7" fillId="3" borderId="42" xfId="3" applyFill="1" applyBorder="1"/>
    <xf numFmtId="0" fontId="19" fillId="3" borderId="43" xfId="3" applyFont="1" applyFill="1" applyBorder="1" applyAlignment="1">
      <alignment horizontal="center" vertical="center"/>
    </xf>
    <xf numFmtId="0" fontId="19" fillId="3" borderId="44" xfId="3" applyFont="1" applyFill="1" applyBorder="1" applyAlignment="1">
      <alignment horizontal="left" vertical="center"/>
    </xf>
    <xf numFmtId="44" fontId="20" fillId="3" borderId="19" xfId="4" applyFont="1" applyFill="1" applyBorder="1" applyAlignment="1" applyProtection="1">
      <alignment horizontal="left" vertical="center"/>
    </xf>
    <xf numFmtId="44" fontId="20" fillId="3" borderId="45" xfId="4" applyFont="1" applyFill="1" applyBorder="1" applyAlignment="1" applyProtection="1">
      <alignment horizontal="left" vertical="center"/>
    </xf>
    <xf numFmtId="0" fontId="19" fillId="0" borderId="23" xfId="3" applyFont="1" applyBorder="1" applyAlignment="1">
      <alignment horizontal="left" indent="40"/>
    </xf>
    <xf numFmtId="0" fontId="19" fillId="0" borderId="24" xfId="3" applyFont="1" applyBorder="1" applyAlignment="1">
      <alignment horizontal="centerContinuous" vertical="center"/>
    </xf>
    <xf numFmtId="0" fontId="19" fillId="0" borderId="27" xfId="3" applyFont="1" applyBorder="1" applyAlignment="1">
      <alignment horizontal="centerContinuous" vertical="center"/>
    </xf>
    <xf numFmtId="44" fontId="20" fillId="3" borderId="0" xfId="3" applyNumberFormat="1" applyFont="1" applyFill="1" applyAlignment="1">
      <alignment horizontal="left" vertical="center"/>
    </xf>
    <xf numFmtId="0" fontId="19" fillId="3" borderId="3" xfId="3" applyFont="1" applyFill="1" applyBorder="1" applyAlignment="1">
      <alignment horizontal="center" vertical="center"/>
    </xf>
    <xf numFmtId="0" fontId="19" fillId="3" borderId="41" xfId="3" applyFont="1" applyFill="1" applyBorder="1" applyAlignment="1">
      <alignment horizontal="center" vertical="center"/>
    </xf>
    <xf numFmtId="0" fontId="21" fillId="3" borderId="25" xfId="3" applyFont="1" applyFill="1" applyBorder="1" applyAlignment="1">
      <alignment vertical="center"/>
    </xf>
    <xf numFmtId="0" fontId="19" fillId="3" borderId="0" xfId="3" applyFont="1" applyFill="1" applyAlignment="1">
      <alignment horizontal="centerContinuous" vertical="center"/>
    </xf>
    <xf numFmtId="44" fontId="20" fillId="3" borderId="0" xfId="3" applyNumberFormat="1" applyFont="1" applyFill="1" applyAlignment="1">
      <alignment horizontal="center" vertical="center"/>
    </xf>
    <xf numFmtId="0" fontId="20" fillId="4" borderId="34" xfId="3" applyFont="1" applyFill="1" applyBorder="1" applyAlignment="1" applyProtection="1">
      <alignment vertical="center"/>
      <protection locked="0"/>
    </xf>
    <xf numFmtId="0" fontId="7" fillId="3" borderId="33" xfId="3" applyFill="1" applyBorder="1"/>
    <xf numFmtId="0" fontId="19" fillId="3" borderId="46" xfId="3" applyFont="1" applyFill="1" applyBorder="1" applyAlignment="1">
      <alignment horizontal="center" vertical="center"/>
    </xf>
    <xf numFmtId="0" fontId="19" fillId="3" borderId="47" xfId="3" applyFont="1" applyFill="1" applyBorder="1" applyAlignment="1">
      <alignment horizontal="left" vertical="center"/>
    </xf>
    <xf numFmtId="44" fontId="20" fillId="3" borderId="1" xfId="4" applyFont="1" applyFill="1" applyBorder="1" applyAlignment="1" applyProtection="1">
      <alignment horizontal="left" vertical="center"/>
    </xf>
    <xf numFmtId="0" fontId="7" fillId="0" borderId="48" xfId="3" applyBorder="1"/>
    <xf numFmtId="0" fontId="19" fillId="0" borderId="49" xfId="3" applyFont="1" applyBorder="1" applyAlignment="1">
      <alignment horizontal="center" vertical="center"/>
    </xf>
    <xf numFmtId="0" fontId="7" fillId="3" borderId="49" xfId="3" applyFill="1" applyBorder="1"/>
    <xf numFmtId="0" fontId="19" fillId="0" borderId="49" xfId="3" applyFont="1" applyBorder="1" applyAlignment="1">
      <alignment horizontal="right" vertical="center"/>
    </xf>
    <xf numFmtId="44" fontId="19" fillId="0" borderId="45" xfId="3" applyNumberFormat="1" applyFont="1" applyBorder="1" applyAlignment="1">
      <alignment horizontal="left" vertical="center"/>
    </xf>
    <xf numFmtId="44" fontId="20" fillId="0" borderId="0" xfId="3" applyNumberFormat="1" applyFont="1" applyAlignment="1">
      <alignment horizontal="left" vertical="center"/>
    </xf>
    <xf numFmtId="0" fontId="19" fillId="0" borderId="49" xfId="3" applyFont="1" applyBorder="1" applyAlignment="1">
      <alignment horizontal="left" vertical="center"/>
    </xf>
    <xf numFmtId="0" fontId="19" fillId="0" borderId="23" xfId="3" applyFont="1" applyBorder="1" applyAlignment="1">
      <alignment vertical="center"/>
    </xf>
    <xf numFmtId="0" fontId="19" fillId="0" borderId="24" xfId="3" applyFont="1" applyBorder="1" applyAlignment="1">
      <alignment vertical="center"/>
    </xf>
    <xf numFmtId="0" fontId="19" fillId="0" borderId="27" xfId="3" applyFont="1" applyBorder="1" applyAlignment="1">
      <alignment vertical="center"/>
    </xf>
    <xf numFmtId="0" fontId="9" fillId="3" borderId="11" xfId="3" applyFont="1" applyFill="1" applyBorder="1" applyAlignment="1">
      <alignment horizontal="left" vertical="center"/>
    </xf>
    <xf numFmtId="9" fontId="6" fillId="3" borderId="30" xfId="6" applyFont="1" applyFill="1" applyBorder="1" applyAlignment="1" applyProtection="1">
      <alignment wrapText="1"/>
    </xf>
    <xf numFmtId="0" fontId="2" fillId="3" borderId="14" xfId="3" applyFont="1" applyFill="1" applyBorder="1"/>
    <xf numFmtId="0" fontId="19" fillId="3" borderId="0" xfId="3" applyFont="1" applyFill="1" applyAlignment="1">
      <alignment vertical="center"/>
    </xf>
    <xf numFmtId="0" fontId="20" fillId="3" borderId="0" xfId="3" applyFont="1" applyFill="1"/>
    <xf numFmtId="0" fontId="19" fillId="0" borderId="0" xfId="3" applyFont="1" applyAlignment="1">
      <alignment vertical="center"/>
    </xf>
    <xf numFmtId="0" fontId="9" fillId="3" borderId="39" xfId="3" applyFont="1" applyFill="1" applyBorder="1"/>
    <xf numFmtId="0" fontId="9" fillId="3" borderId="0" xfId="3" applyFont="1" applyFill="1"/>
    <xf numFmtId="0" fontId="20" fillId="0" borderId="0" xfId="3" applyFont="1"/>
    <xf numFmtId="0" fontId="20" fillId="0" borderId="39" xfId="3" applyFont="1" applyBorder="1"/>
    <xf numFmtId="0" fontId="20" fillId="3" borderId="2" xfId="3" applyFont="1" applyFill="1" applyBorder="1" applyAlignment="1">
      <alignment horizontal="left" vertical="center"/>
    </xf>
    <xf numFmtId="1" fontId="20" fillId="3" borderId="1" xfId="3" applyNumberFormat="1" applyFont="1" applyFill="1" applyBorder="1"/>
    <xf numFmtId="0" fontId="20" fillId="3" borderId="2" xfId="3" applyFont="1" applyFill="1" applyBorder="1" applyAlignment="1">
      <alignment vertical="center"/>
    </xf>
    <xf numFmtId="0" fontId="20" fillId="3" borderId="39" xfId="3" applyFont="1" applyFill="1" applyBorder="1"/>
    <xf numFmtId="9" fontId="20" fillId="3" borderId="0" xfId="6" applyFont="1" applyFill="1" applyBorder="1" applyProtection="1"/>
    <xf numFmtId="0" fontId="20" fillId="3" borderId="1" xfId="3" applyFont="1" applyFill="1" applyBorder="1"/>
    <xf numFmtId="0" fontId="19" fillId="0" borderId="0" xfId="3" applyFont="1" applyAlignment="1">
      <alignment vertical="center" wrapText="1"/>
    </xf>
    <xf numFmtId="9" fontId="19" fillId="3" borderId="0" xfId="6" applyFont="1" applyFill="1" applyBorder="1" applyAlignment="1" applyProtection="1">
      <alignment wrapText="1"/>
    </xf>
    <xf numFmtId="0" fontId="20" fillId="3" borderId="50" xfId="3" applyFont="1" applyFill="1" applyBorder="1" applyAlignment="1">
      <alignment vertical="center"/>
    </xf>
    <xf numFmtId="9" fontId="20" fillId="3" borderId="32" xfId="6" applyFont="1" applyFill="1" applyBorder="1" applyProtection="1"/>
    <xf numFmtId="9" fontId="20" fillId="0" borderId="0" xfId="6" applyFont="1" applyFill="1" applyBorder="1" applyProtection="1"/>
    <xf numFmtId="9" fontId="20" fillId="0" borderId="39" xfId="6" applyFont="1" applyFill="1" applyBorder="1" applyProtection="1"/>
    <xf numFmtId="44" fontId="5" fillId="3" borderId="0" xfId="4" applyFont="1" applyFill="1" applyBorder="1" applyProtection="1"/>
    <xf numFmtId="44" fontId="7" fillId="3" borderId="0" xfId="3" applyNumberFormat="1" applyFill="1"/>
    <xf numFmtId="0" fontId="7" fillId="3" borderId="47" xfId="3" applyFill="1" applyBorder="1"/>
    <xf numFmtId="44" fontId="5" fillId="3" borderId="1" xfId="4" applyFont="1" applyFill="1" applyBorder="1" applyProtection="1"/>
    <xf numFmtId="44" fontId="2" fillId="0" borderId="0" xfId="3" applyNumberFormat="1" applyFont="1"/>
    <xf numFmtId="44" fontId="7" fillId="0" borderId="0" xfId="3" applyNumberFormat="1"/>
    <xf numFmtId="44" fontId="2" fillId="3" borderId="32" xfId="3" applyNumberFormat="1" applyFont="1" applyFill="1" applyBorder="1"/>
    <xf numFmtId="44" fontId="20" fillId="3" borderId="0" xfId="3" applyNumberFormat="1" applyFont="1" applyFill="1" applyAlignment="1">
      <alignment vertical="center"/>
    </xf>
    <xf numFmtId="0" fontId="19" fillId="0" borderId="24" xfId="3" applyFont="1" applyBorder="1" applyAlignment="1">
      <alignment vertical="center" wrapText="1"/>
    </xf>
    <xf numFmtId="0" fontId="19" fillId="0" borderId="27" xfId="3" applyFont="1" applyBorder="1" applyAlignment="1">
      <alignment vertical="center" wrapText="1"/>
    </xf>
    <xf numFmtId="0" fontId="19" fillId="0" borderId="39" xfId="3" applyFont="1" applyBorder="1" applyAlignment="1">
      <alignment vertical="center" wrapText="1"/>
    </xf>
    <xf numFmtId="0" fontId="2" fillId="0" borderId="39" xfId="3" applyFont="1" applyBorder="1" applyAlignment="1">
      <alignment vertical="top"/>
    </xf>
    <xf numFmtId="0" fontId="19" fillId="0" borderId="37" xfId="3" applyFont="1" applyBorder="1" applyAlignment="1">
      <alignment horizontal="center" vertical="center"/>
    </xf>
    <xf numFmtId="0" fontId="7" fillId="0" borderId="39" xfId="3" applyBorder="1"/>
    <xf numFmtId="0" fontId="19" fillId="0" borderId="39" xfId="3" applyFont="1" applyBorder="1" applyAlignment="1">
      <alignment vertical="top"/>
    </xf>
    <xf numFmtId="0" fontId="7" fillId="0" borderId="37" xfId="3" applyBorder="1"/>
    <xf numFmtId="0" fontId="19" fillId="3" borderId="39" xfId="3" applyFont="1" applyFill="1" applyBorder="1" applyAlignment="1">
      <alignment horizontal="center" vertical="center"/>
    </xf>
    <xf numFmtId="0" fontId="19" fillId="3" borderId="17" xfId="3" applyFont="1" applyFill="1" applyBorder="1" applyAlignment="1">
      <alignment horizontal="center" vertical="center"/>
    </xf>
    <xf numFmtId="0" fontId="6" fillId="3" borderId="51" xfId="3" applyFont="1" applyFill="1" applyBorder="1" applyAlignment="1">
      <alignment horizontal="center"/>
    </xf>
    <xf numFmtId="44" fontId="20" fillId="0" borderId="0" xfId="3" applyNumberFormat="1" applyFont="1" applyAlignment="1">
      <alignment vertical="center"/>
    </xf>
    <xf numFmtId="0" fontId="19" fillId="3" borderId="31" xfId="3" applyFont="1" applyFill="1" applyBorder="1" applyAlignment="1">
      <alignment horizontal="left" vertical="center"/>
    </xf>
    <xf numFmtId="0" fontId="19" fillId="3" borderId="53" xfId="3" applyFont="1" applyFill="1" applyBorder="1" applyAlignment="1">
      <alignment horizontal="left" vertical="center"/>
    </xf>
    <xf numFmtId="44" fontId="19" fillId="3" borderId="52" xfId="4" applyFont="1" applyFill="1" applyBorder="1" applyAlignment="1" applyProtection="1">
      <alignment vertical="center"/>
    </xf>
    <xf numFmtId="0" fontId="19" fillId="3" borderId="2" xfId="3" applyFont="1" applyFill="1" applyBorder="1" applyAlignment="1">
      <alignment vertical="center"/>
    </xf>
    <xf numFmtId="0" fontId="6" fillId="3" borderId="1" xfId="3" applyFont="1" applyFill="1" applyBorder="1" applyAlignment="1">
      <alignment horizontal="center"/>
    </xf>
    <xf numFmtId="0" fontId="19" fillId="3" borderId="0" xfId="3" applyFont="1" applyFill="1" applyAlignment="1">
      <alignment vertical="center" wrapText="1"/>
    </xf>
    <xf numFmtId="0" fontId="19" fillId="3" borderId="0" xfId="3" applyFont="1" applyFill="1" applyAlignment="1">
      <alignment horizontal="left" vertical="center" wrapText="1"/>
    </xf>
    <xf numFmtId="0" fontId="19" fillId="3" borderId="39" xfId="3" applyFont="1" applyFill="1" applyBorder="1" applyAlignment="1">
      <alignment horizontal="left" vertical="center"/>
    </xf>
    <xf numFmtId="44" fontId="19" fillId="3" borderId="1" xfId="4" applyFont="1" applyFill="1" applyBorder="1" applyAlignment="1" applyProtection="1">
      <alignment vertical="center"/>
    </xf>
    <xf numFmtId="0" fontId="19" fillId="3" borderId="39" xfId="3" applyFont="1" applyFill="1" applyBorder="1" applyAlignment="1">
      <alignment horizontal="left" vertical="center" wrapText="1"/>
    </xf>
    <xf numFmtId="0" fontId="19" fillId="0" borderId="23" xfId="3" applyFont="1" applyBorder="1" applyAlignment="1">
      <alignment vertical="top"/>
    </xf>
    <xf numFmtId="0" fontId="19" fillId="0" borderId="37" xfId="3" applyFont="1" applyBorder="1" applyAlignment="1">
      <alignment horizontal="left" vertical="center" wrapText="1"/>
    </xf>
    <xf numFmtId="0" fontId="19" fillId="0" borderId="39" xfId="3" applyFont="1" applyBorder="1" applyAlignment="1">
      <alignment horizontal="left" vertical="center" wrapText="1"/>
    </xf>
    <xf numFmtId="0" fontId="19" fillId="0" borderId="0" xfId="3" applyFont="1" applyAlignment="1">
      <alignment horizontal="left" vertical="center" wrapText="1"/>
    </xf>
    <xf numFmtId="0" fontId="6" fillId="3" borderId="0" xfId="3" applyFont="1" applyFill="1" applyAlignment="1">
      <alignment horizontal="center"/>
    </xf>
    <xf numFmtId="0" fontId="6" fillId="3" borderId="17" xfId="3" applyFont="1" applyFill="1" applyBorder="1" applyAlignment="1">
      <alignment horizontal="center"/>
    </xf>
    <xf numFmtId="0" fontId="19" fillId="3" borderId="35" xfId="3" applyFont="1" applyFill="1" applyBorder="1" applyAlignment="1">
      <alignment horizontal="left" vertical="center"/>
    </xf>
    <xf numFmtId="44" fontId="19" fillId="3" borderId="13" xfId="4" applyFont="1" applyFill="1" applyBorder="1" applyAlignment="1">
      <alignment vertical="center"/>
    </xf>
    <xf numFmtId="0" fontId="19" fillId="3" borderId="35" xfId="3" applyFont="1" applyFill="1" applyBorder="1" applyAlignment="1">
      <alignment horizontal="left" vertical="center" wrapText="1"/>
    </xf>
    <xf numFmtId="0" fontId="6" fillId="0" borderId="54" xfId="3" applyFont="1" applyBorder="1" applyAlignment="1">
      <alignment vertical="center"/>
    </xf>
    <xf numFmtId="0" fontId="22" fillId="0" borderId="55" xfId="3" applyFont="1" applyBorder="1" applyAlignment="1">
      <alignment horizontal="centerContinuous" vertical="center" wrapText="1"/>
    </xf>
    <xf numFmtId="0" fontId="2" fillId="0" borderId="0" xfId="3" applyFont="1" applyAlignment="1">
      <alignment horizontal="centerContinuous"/>
    </xf>
    <xf numFmtId="0" fontId="21" fillId="3" borderId="56" xfId="3" applyFont="1" applyFill="1" applyBorder="1" applyAlignment="1">
      <alignment horizontal="left" vertical="center"/>
    </xf>
    <xf numFmtId="0" fontId="6" fillId="3" borderId="57" xfId="3" applyFont="1" applyFill="1" applyBorder="1" applyAlignment="1">
      <alignment horizontal="center"/>
    </xf>
    <xf numFmtId="0" fontId="2" fillId="3" borderId="2" xfId="3" applyFont="1" applyFill="1" applyBorder="1"/>
    <xf numFmtId="0" fontId="15" fillId="0" borderId="0" xfId="5" applyProtection="1"/>
    <xf numFmtId="0" fontId="9" fillId="3" borderId="0" xfId="3" applyFont="1" applyFill="1" applyAlignment="1">
      <alignment horizontal="center"/>
    </xf>
    <xf numFmtId="0" fontId="11" fillId="3" borderId="0" xfId="3" applyFont="1" applyFill="1" applyAlignment="1">
      <alignment horizontal="center"/>
    </xf>
    <xf numFmtId="0" fontId="12" fillId="3" borderId="0" xfId="3" applyFont="1" applyFill="1"/>
    <xf numFmtId="0" fontId="20" fillId="2" borderId="33" xfId="3" applyFont="1" applyFill="1" applyBorder="1" applyAlignment="1" applyProtection="1">
      <alignment vertical="center"/>
      <protection locked="0"/>
    </xf>
    <xf numFmtId="0" fontId="20" fillId="2" borderId="34" xfId="3" applyFont="1" applyFill="1" applyBorder="1" applyAlignment="1" applyProtection="1">
      <alignment vertical="center"/>
      <protection locked="0"/>
    </xf>
    <xf numFmtId="44" fontId="20" fillId="2" borderId="1" xfId="4" applyFont="1" applyFill="1" applyBorder="1" applyAlignment="1" applyProtection="1">
      <alignment horizontal="left" vertical="center"/>
      <protection locked="0"/>
    </xf>
    <xf numFmtId="0" fontId="20" fillId="2" borderId="2" xfId="3" applyFont="1" applyFill="1" applyBorder="1" applyAlignment="1" applyProtection="1">
      <alignment horizontal="left" vertical="center"/>
      <protection locked="0"/>
    </xf>
    <xf numFmtId="0" fontId="20" fillId="2" borderId="1" xfId="3" applyFont="1" applyFill="1" applyBorder="1" applyAlignment="1" applyProtection="1">
      <alignment horizontal="left" vertical="center"/>
      <protection locked="0"/>
    </xf>
    <xf numFmtId="0" fontId="20" fillId="2" borderId="31" xfId="3" applyFont="1" applyFill="1" applyBorder="1" applyAlignment="1" applyProtection="1">
      <alignment horizontal="left" vertical="center"/>
      <protection locked="0"/>
    </xf>
    <xf numFmtId="0" fontId="20" fillId="2" borderId="13" xfId="3" applyFont="1" applyFill="1" applyBorder="1" applyAlignment="1" applyProtection="1">
      <alignment vertical="center" wrapText="1"/>
      <protection locked="0"/>
    </xf>
    <xf numFmtId="44" fontId="20" fillId="2" borderId="52" xfId="4" applyFont="1" applyFill="1" applyBorder="1" applyAlignment="1" applyProtection="1">
      <alignment vertical="center"/>
      <protection locked="0"/>
    </xf>
    <xf numFmtId="0" fontId="20" fillId="2" borderId="33" xfId="3" applyFont="1" applyFill="1" applyBorder="1" applyAlignment="1" applyProtection="1">
      <alignment vertical="center" wrapText="1"/>
      <protection locked="0"/>
    </xf>
    <xf numFmtId="44" fontId="20" fillId="2" borderId="1" xfId="4" applyFont="1" applyFill="1" applyBorder="1" applyAlignment="1" applyProtection="1">
      <alignment vertical="center"/>
      <protection locked="0"/>
    </xf>
    <xf numFmtId="0" fontId="20" fillId="2" borderId="35" xfId="3" applyFont="1" applyFill="1" applyBorder="1" applyAlignment="1" applyProtection="1">
      <alignment horizontal="left" vertical="center"/>
      <protection locked="0"/>
    </xf>
    <xf numFmtId="44" fontId="20" fillId="2" borderId="13" xfId="4" applyFont="1" applyFill="1" applyBorder="1" applyAlignment="1" applyProtection="1">
      <alignment vertical="center"/>
      <protection locked="0"/>
    </xf>
    <xf numFmtId="44" fontId="2" fillId="2" borderId="38" xfId="4" applyFont="1" applyFill="1" applyBorder="1" applyAlignment="1" applyProtection="1">
      <alignment horizontal="left"/>
      <protection locked="0"/>
    </xf>
    <xf numFmtId="0" fontId="2" fillId="0" borderId="0" xfId="0" applyFont="1"/>
    <xf numFmtId="44" fontId="19" fillId="3" borderId="0" xfId="4" applyFont="1" applyFill="1" applyBorder="1" applyAlignment="1">
      <alignment vertical="center"/>
    </xf>
    <xf numFmtId="0" fontId="0" fillId="0" borderId="1" xfId="0" applyBorder="1" applyAlignment="1">
      <alignment horizontal="center"/>
    </xf>
    <xf numFmtId="0" fontId="23" fillId="0" borderId="0" xfId="0" applyFont="1" applyAlignment="1">
      <alignment horizontal="centerContinuous"/>
    </xf>
    <xf numFmtId="0" fontId="0" fillId="0" borderId="1" xfId="0" applyBorder="1" applyAlignment="1">
      <alignment vertical="center"/>
    </xf>
    <xf numFmtId="43" fontId="0" fillId="0" borderId="0" xfId="0" applyNumberFormat="1"/>
    <xf numFmtId="44" fontId="0" fillId="0" borderId="1" xfId="0" applyNumberFormat="1" applyBorder="1" applyAlignment="1">
      <alignment vertical="center"/>
    </xf>
    <xf numFmtId="0" fontId="7" fillId="0" borderId="19" xfId="3" applyBorder="1" applyAlignment="1" applyProtection="1">
      <alignment vertical="center"/>
      <protection locked="0"/>
    </xf>
    <xf numFmtId="0" fontId="3" fillId="0" borderId="23" xfId="3" applyFont="1" applyBorder="1" applyAlignment="1">
      <alignment horizontal="centerContinuous" vertical="center"/>
    </xf>
    <xf numFmtId="0" fontId="3" fillId="0" borderId="24" xfId="3" applyFont="1" applyBorder="1" applyAlignment="1">
      <alignment horizontal="centerContinuous" vertical="center"/>
    </xf>
    <xf numFmtId="0" fontId="2" fillId="0" borderId="0" xfId="3" applyFont="1" applyAlignment="1">
      <alignment horizontal="centerContinuous" vertical="center"/>
    </xf>
    <xf numFmtId="0" fontId="3" fillId="0" borderId="0" xfId="3" applyFont="1" applyAlignment="1">
      <alignment horizontal="centerContinuous" vertical="center"/>
    </xf>
    <xf numFmtId="0" fontId="3" fillId="0" borderId="37" xfId="3" applyFont="1" applyBorder="1" applyAlignment="1">
      <alignment horizontal="centerContinuous" vertical="center"/>
    </xf>
    <xf numFmtId="0" fontId="6" fillId="0" borderId="42" xfId="3" applyFont="1" applyBorder="1" applyAlignment="1" applyProtection="1">
      <alignment vertical="center" wrapText="1"/>
      <protection locked="0"/>
    </xf>
    <xf numFmtId="0" fontId="6" fillId="0" borderId="43" xfId="3" applyFont="1" applyBorder="1" applyAlignment="1" applyProtection="1">
      <alignment vertical="center" wrapText="1"/>
      <protection locked="0"/>
    </xf>
    <xf numFmtId="0" fontId="6" fillId="0" borderId="43" xfId="3" applyFont="1" applyBorder="1" applyAlignment="1">
      <alignment horizontal="center" vertical="center" wrapText="1"/>
    </xf>
    <xf numFmtId="0" fontId="6" fillId="0" borderId="58" xfId="3" applyFont="1" applyBorder="1" applyAlignment="1">
      <alignment horizontal="center" vertical="center" wrapText="1"/>
    </xf>
    <xf numFmtId="0" fontId="3" fillId="0" borderId="39" xfId="3" applyFont="1" applyBorder="1" applyAlignment="1">
      <alignment horizontal="centerContinuous" vertical="center"/>
    </xf>
    <xf numFmtId="0" fontId="0" fillId="0" borderId="32" xfId="0" applyBorder="1" applyAlignment="1">
      <alignment wrapText="1"/>
    </xf>
    <xf numFmtId="0" fontId="0" fillId="0" borderId="11" xfId="0" applyBorder="1"/>
    <xf numFmtId="0" fontId="6" fillId="3" borderId="56" xfId="0" applyFont="1" applyFill="1" applyBorder="1"/>
    <xf numFmtId="0" fontId="6" fillId="3" borderId="57" xfId="0" applyFont="1" applyFill="1" applyBorder="1"/>
    <xf numFmtId="0" fontId="0" fillId="2" borderId="1" xfId="0" applyFill="1" applyBorder="1" applyProtection="1">
      <protection locked="0"/>
    </xf>
    <xf numFmtId="49" fontId="0" fillId="2" borderId="1" xfId="0" applyNumberFormat="1" applyFill="1" applyBorder="1" applyProtection="1">
      <protection locked="0"/>
    </xf>
    <xf numFmtId="0" fontId="0" fillId="2" borderId="32" xfId="0" applyFill="1" applyBorder="1" applyProtection="1">
      <protection locked="0"/>
    </xf>
    <xf numFmtId="0" fontId="0" fillId="0" borderId="47" xfId="0" applyBorder="1"/>
    <xf numFmtId="0" fontId="0" fillId="0" borderId="47" xfId="0" applyBorder="1" applyAlignment="1">
      <alignment wrapText="1"/>
    </xf>
    <xf numFmtId="0" fontId="0" fillId="0" borderId="11" xfId="0" applyBorder="1" applyAlignment="1">
      <alignment wrapText="1"/>
    </xf>
    <xf numFmtId="0" fontId="1" fillId="0" borderId="30" xfId="0" applyFont="1" applyBorder="1" applyAlignment="1">
      <alignment wrapText="1"/>
    </xf>
    <xf numFmtId="0" fontId="1" fillId="0" borderId="12" xfId="0" applyFont="1" applyBorder="1" applyAlignment="1">
      <alignment wrapText="1"/>
    </xf>
    <xf numFmtId="0" fontId="0" fillId="0" borderId="14" xfId="0" applyBorder="1" applyAlignment="1">
      <alignment wrapText="1"/>
    </xf>
    <xf numFmtId="44" fontId="0" fillId="2" borderId="1" xfId="2" applyFont="1" applyFill="1" applyBorder="1" applyProtection="1">
      <protection locked="0"/>
    </xf>
    <xf numFmtId="164" fontId="0" fillId="2" borderId="34" xfId="1" applyNumberFormat="1" applyFont="1" applyFill="1" applyBorder="1" applyProtection="1">
      <protection locked="0"/>
    </xf>
    <xf numFmtId="164" fontId="0" fillId="2" borderId="13" xfId="1" applyNumberFormat="1" applyFont="1" applyFill="1" applyBorder="1" applyProtection="1">
      <protection locked="0"/>
    </xf>
    <xf numFmtId="0" fontId="1" fillId="0" borderId="11" xfId="0" applyFont="1" applyBorder="1" applyAlignment="1">
      <alignment wrapText="1"/>
    </xf>
    <xf numFmtId="44" fontId="0" fillId="2" borderId="1" xfId="0" applyNumberFormat="1" applyFill="1" applyBorder="1" applyProtection="1">
      <protection locked="0"/>
    </xf>
    <xf numFmtId="44" fontId="0" fillId="2" borderId="34" xfId="2" applyFont="1" applyFill="1" applyBorder="1" applyProtection="1">
      <protection locked="0"/>
    </xf>
    <xf numFmtId="164" fontId="0" fillId="2" borderId="32" xfId="1" applyNumberFormat="1" applyFont="1" applyFill="1" applyBorder="1" applyProtection="1">
      <protection locked="0"/>
    </xf>
    <xf numFmtId="0" fontId="0" fillId="0" borderId="32" xfId="0" applyBorder="1"/>
    <xf numFmtId="44" fontId="0" fillId="2" borderId="32" xfId="0" applyNumberFormat="1" applyFill="1" applyBorder="1" applyProtection="1">
      <protection locked="0"/>
    </xf>
    <xf numFmtId="44" fontId="19" fillId="3" borderId="12" xfId="4" applyFont="1" applyFill="1" applyBorder="1" applyAlignment="1">
      <alignment horizontal="centerContinuous" vertical="center"/>
    </xf>
    <xf numFmtId="44" fontId="19" fillId="3" borderId="34" xfId="4" applyFont="1" applyFill="1" applyBorder="1" applyAlignment="1">
      <alignment vertical="center"/>
    </xf>
    <xf numFmtId="0" fontId="19" fillId="3" borderId="14" xfId="3" applyFont="1" applyFill="1" applyBorder="1" applyAlignment="1">
      <alignment horizontal="left" vertical="center"/>
    </xf>
    <xf numFmtId="0" fontId="19" fillId="3" borderId="11" xfId="3" applyFont="1" applyFill="1" applyBorder="1" applyAlignment="1">
      <alignment horizontal="left" vertical="center"/>
    </xf>
    <xf numFmtId="0" fontId="1" fillId="0" borderId="47" xfId="0" applyFont="1" applyBorder="1"/>
    <xf numFmtId="0" fontId="1" fillId="0" borderId="30" xfId="0" applyFont="1" applyBorder="1" applyAlignment="1">
      <alignment horizontal="center"/>
    </xf>
    <xf numFmtId="0" fontId="1" fillId="0" borderId="12" xfId="0" applyFont="1" applyBorder="1" applyAlignment="1">
      <alignment horizontal="center"/>
    </xf>
    <xf numFmtId="0" fontId="1" fillId="0" borderId="14" xfId="0" applyFont="1" applyBorder="1"/>
    <xf numFmtId="0" fontId="0" fillId="0" borderId="59" xfId="0" applyBorder="1" applyAlignment="1">
      <alignment horizontal="centerContinuous" vertical="center"/>
    </xf>
    <xf numFmtId="0" fontId="0" fillId="0" borderId="61" xfId="0" applyBorder="1" applyAlignment="1">
      <alignment horizontal="centerContinuous" vertical="center"/>
    </xf>
    <xf numFmtId="0" fontId="0" fillId="0" borderId="63" xfId="0" applyBorder="1" applyAlignment="1">
      <alignment horizontal="centerContinuous" vertical="center"/>
    </xf>
    <xf numFmtId="0" fontId="0" fillId="0" borderId="64" xfId="0" applyBorder="1" applyAlignment="1">
      <alignment horizontal="centerContinuous" vertical="center"/>
    </xf>
    <xf numFmtId="0" fontId="0" fillId="0" borderId="60" xfId="0" applyBorder="1" applyAlignment="1">
      <alignment horizontal="centerContinuous" vertical="center"/>
    </xf>
    <xf numFmtId="0" fontId="0" fillId="0" borderId="65" xfId="0" applyBorder="1" applyAlignment="1">
      <alignment horizontal="centerContinuous" vertical="center"/>
    </xf>
    <xf numFmtId="0" fontId="0" fillId="0" borderId="66" xfId="0" applyBorder="1" applyAlignment="1">
      <alignment horizontal="centerContinuous" vertical="center"/>
    </xf>
    <xf numFmtId="0" fontId="0" fillId="0" borderId="62" xfId="0" applyBorder="1" applyAlignment="1">
      <alignment horizontal="centerContinuous" vertical="center"/>
    </xf>
    <xf numFmtId="0" fontId="0" fillId="0" borderId="67" xfId="0" applyBorder="1" applyAlignment="1">
      <alignment horizontal="centerContinuous" vertical="center"/>
    </xf>
    <xf numFmtId="44" fontId="0" fillId="0" borderId="32" xfId="0" applyNumberFormat="1" applyBorder="1"/>
    <xf numFmtId="0" fontId="0" fillId="0" borderId="34" xfId="0" applyBorder="1"/>
    <xf numFmtId="44" fontId="0" fillId="0" borderId="34" xfId="0" applyNumberFormat="1" applyBorder="1"/>
    <xf numFmtId="0" fontId="0" fillId="0" borderId="34" xfId="0" applyBorder="1" applyAlignment="1">
      <alignment horizontal="center"/>
    </xf>
    <xf numFmtId="0" fontId="1" fillId="0" borderId="11" xfId="0" applyFont="1" applyBorder="1"/>
    <xf numFmtId="44" fontId="0" fillId="0" borderId="13" xfId="0" applyNumberFormat="1" applyBorder="1"/>
    <xf numFmtId="44" fontId="1" fillId="0" borderId="12" xfId="0" applyNumberFormat="1" applyFont="1" applyBorder="1" applyAlignment="1">
      <alignment horizontal="left"/>
    </xf>
    <xf numFmtId="0" fontId="0" fillId="2" borderId="34" xfId="0" applyFill="1" applyBorder="1" applyProtection="1">
      <protection locked="0"/>
    </xf>
    <xf numFmtId="0" fontId="0" fillId="2" borderId="13" xfId="0" applyFill="1" applyBorder="1" applyProtection="1">
      <protection locked="0"/>
    </xf>
    <xf numFmtId="44" fontId="19" fillId="3" borderId="12" xfId="4" applyFont="1" applyFill="1" applyBorder="1" applyAlignment="1">
      <alignment horizontal="left" vertical="center"/>
    </xf>
    <xf numFmtId="0" fontId="0" fillId="0" borderId="34" xfId="0" applyBorder="1" applyAlignment="1">
      <alignment vertical="center"/>
    </xf>
    <xf numFmtId="44" fontId="0" fillId="0" borderId="34" xfId="0" applyNumberFormat="1" applyBorder="1" applyAlignment="1">
      <alignment vertical="center"/>
    </xf>
    <xf numFmtId="44" fontId="0" fillId="0" borderId="12" xfId="0" applyNumberFormat="1" applyBorder="1"/>
    <xf numFmtId="0" fontId="19" fillId="3" borderId="11" xfId="3" applyFont="1" applyFill="1" applyBorder="1" applyAlignment="1">
      <alignment horizontal="left" vertical="top"/>
    </xf>
    <xf numFmtId="44" fontId="19" fillId="3" borderId="12" xfId="4" applyFont="1" applyFill="1" applyBorder="1" applyAlignment="1">
      <alignment horizontal="left" vertical="top"/>
    </xf>
    <xf numFmtId="44" fontId="1" fillId="0" borderId="12" xfId="0" applyNumberFormat="1" applyFont="1" applyBorder="1"/>
    <xf numFmtId="44" fontId="0" fillId="2" borderId="34" xfId="0" applyNumberFormat="1" applyFill="1" applyBorder="1" applyProtection="1">
      <protection locked="0"/>
    </xf>
    <xf numFmtId="14" fontId="0" fillId="2" borderId="34" xfId="0" applyNumberFormat="1" applyFill="1" applyBorder="1" applyProtection="1">
      <protection locked="0"/>
    </xf>
    <xf numFmtId="14" fontId="0" fillId="2" borderId="13" xfId="0" applyNumberFormat="1" applyFill="1" applyBorder="1" applyProtection="1">
      <protection locked="0"/>
    </xf>
    <xf numFmtId="0" fontId="0" fillId="0" borderId="14" xfId="0" applyBorder="1"/>
    <xf numFmtId="0" fontId="0" fillId="0" borderId="59" xfId="0" applyBorder="1"/>
    <xf numFmtId="0" fontId="0" fillId="0" borderId="61"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0" xfId="0" applyBorder="1" applyAlignment="1">
      <alignment vertical="center"/>
    </xf>
    <xf numFmtId="0" fontId="0" fillId="0" borderId="65" xfId="0" applyBorder="1" applyAlignment="1">
      <alignment vertical="center"/>
    </xf>
    <xf numFmtId="0" fontId="0" fillId="0" borderId="66" xfId="0" applyBorder="1" applyAlignment="1">
      <alignment vertical="center"/>
    </xf>
    <xf numFmtId="0" fontId="0" fillId="0" borderId="62" xfId="0" applyBorder="1" applyAlignment="1">
      <alignment vertical="center"/>
    </xf>
    <xf numFmtId="0" fontId="0" fillId="0" borderId="67" xfId="0" applyBorder="1" applyAlignment="1">
      <alignment vertical="center"/>
    </xf>
    <xf numFmtId="0" fontId="0" fillId="0" borderId="13" xfId="0" applyBorder="1" applyAlignment="1">
      <alignment horizontal="center"/>
    </xf>
    <xf numFmtId="164" fontId="0" fillId="0" borderId="34" xfId="1" applyNumberFormat="1" applyFont="1" applyBorder="1"/>
    <xf numFmtId="0" fontId="26" fillId="0" borderId="60" xfId="3" applyFont="1" applyBorder="1" applyAlignment="1">
      <alignment vertical="top" wrapText="1"/>
    </xf>
    <xf numFmtId="0" fontId="28" fillId="0" borderId="60" xfId="0" applyFont="1" applyBorder="1" applyAlignment="1">
      <alignment vertical="center" wrapText="1"/>
    </xf>
    <xf numFmtId="49" fontId="10" fillId="3" borderId="15" xfId="3" applyNumberFormat="1" applyFont="1" applyFill="1" applyBorder="1" applyAlignment="1">
      <alignment horizontal="center" vertical="center" wrapText="1"/>
    </xf>
    <xf numFmtId="49" fontId="10" fillId="3" borderId="7" xfId="3" applyNumberFormat="1" applyFont="1" applyFill="1" applyBorder="1" applyAlignment="1">
      <alignment horizontal="centerContinuous" vertical="center" wrapText="1"/>
    </xf>
    <xf numFmtId="49" fontId="10" fillId="3" borderId="6" xfId="3" applyNumberFormat="1" applyFont="1" applyFill="1" applyBorder="1" applyAlignment="1">
      <alignment horizontal="centerContinuous" vertical="center" wrapText="1"/>
    </xf>
    <xf numFmtId="49" fontId="10" fillId="3" borderId="7" xfId="3" applyNumberFormat="1" applyFont="1" applyFill="1" applyBorder="1" applyAlignment="1">
      <alignment horizontal="center" vertical="center" wrapText="1"/>
    </xf>
    <xf numFmtId="49" fontId="10" fillId="3" borderId="6" xfId="3" applyNumberFormat="1" applyFont="1" applyFill="1" applyBorder="1" applyAlignment="1">
      <alignment horizontal="center" vertical="center" wrapText="1"/>
    </xf>
    <xf numFmtId="0" fontId="3" fillId="0" borderId="0" xfId="3" applyFont="1" applyAlignment="1">
      <alignment horizontal="centerContinuous"/>
    </xf>
    <xf numFmtId="0" fontId="8" fillId="0" borderId="0" xfId="3" applyFont="1"/>
    <xf numFmtId="0" fontId="8" fillId="0" borderId="0" xfId="3" applyFont="1" applyAlignment="1">
      <alignment horizontal="centerContinuous"/>
    </xf>
    <xf numFmtId="0" fontId="7" fillId="3" borderId="8" xfId="3" applyFill="1" applyBorder="1" applyAlignment="1">
      <alignment horizontal="center" vertical="center" wrapText="1"/>
    </xf>
    <xf numFmtId="44" fontId="7" fillId="3" borderId="10" xfId="4" applyFont="1" applyFill="1" applyBorder="1" applyAlignment="1" applyProtection="1">
      <alignment vertical="center"/>
    </xf>
    <xf numFmtId="0" fontId="3" fillId="0" borderId="0" xfId="0" applyFont="1"/>
    <xf numFmtId="0" fontId="23" fillId="0" borderId="0" xfId="0" applyFont="1"/>
    <xf numFmtId="0" fontId="24"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0" fillId="0" borderId="0" xfId="0" applyAlignment="1">
      <alignment horizontal="centerContinuous" vertical="center"/>
    </xf>
    <xf numFmtId="44" fontId="7" fillId="3" borderId="68" xfId="4" applyFont="1" applyFill="1" applyBorder="1" applyAlignment="1" applyProtection="1">
      <alignment vertical="center"/>
    </xf>
    <xf numFmtId="0" fontId="3" fillId="3" borderId="69" xfId="3" applyFont="1" applyFill="1" applyBorder="1" applyAlignment="1">
      <alignment horizontal="centerContinuous" vertical="center" wrapText="1"/>
    </xf>
    <xf numFmtId="0" fontId="3" fillId="3" borderId="70" xfId="3" applyFont="1" applyFill="1" applyBorder="1" applyAlignment="1">
      <alignment horizontal="centerContinuous" vertical="center" wrapText="1"/>
    </xf>
    <xf numFmtId="44" fontId="7" fillId="3" borderId="72" xfId="4" applyFont="1" applyFill="1" applyBorder="1" applyAlignment="1" applyProtection="1">
      <alignment horizontal="center" vertical="center"/>
    </xf>
    <xf numFmtId="44" fontId="31" fillId="5" borderId="71" xfId="4" applyFont="1" applyFill="1" applyBorder="1" applyAlignment="1" applyProtection="1">
      <alignment horizontal="center" vertical="center"/>
    </xf>
    <xf numFmtId="49" fontId="10" fillId="3" borderId="74" xfId="3" applyNumberFormat="1" applyFont="1" applyFill="1" applyBorder="1" applyAlignment="1">
      <alignment horizontal="center" vertical="center" wrapText="1"/>
    </xf>
    <xf numFmtId="0" fontId="3" fillId="3" borderId="75" xfId="3" applyFont="1" applyFill="1" applyBorder="1" applyAlignment="1">
      <alignment horizontal="centerContinuous" vertical="center" wrapText="1"/>
    </xf>
    <xf numFmtId="0" fontId="3" fillId="3" borderId="30"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32" fillId="3" borderId="9" xfId="5" applyFont="1" applyFill="1" applyBorder="1" applyAlignment="1" applyProtection="1">
      <alignment horizontal="center" vertical="center" wrapText="1"/>
    </xf>
    <xf numFmtId="0" fontId="32" fillId="3" borderId="10" xfId="5" applyFont="1" applyFill="1" applyBorder="1" applyAlignment="1" applyProtection="1">
      <alignment horizontal="center" vertical="center" wrapText="1"/>
    </xf>
    <xf numFmtId="0" fontId="32" fillId="3" borderId="16" xfId="5" applyFont="1" applyFill="1" applyBorder="1" applyAlignment="1" applyProtection="1">
      <alignment horizontal="center" vertical="center" wrapText="1"/>
    </xf>
    <xf numFmtId="0" fontId="3" fillId="3" borderId="73" xfId="3" applyFont="1" applyFill="1" applyBorder="1" applyAlignment="1">
      <alignment horizontal="centerContinuous" vertical="center" wrapText="1"/>
    </xf>
    <xf numFmtId="49" fontId="10" fillId="3" borderId="77" xfId="3" applyNumberFormat="1" applyFont="1" applyFill="1" applyBorder="1" applyAlignment="1">
      <alignment horizontal="center" vertical="center" wrapText="1"/>
    </xf>
    <xf numFmtId="0" fontId="2" fillId="3" borderId="34" xfId="3" applyFont="1" applyFill="1" applyBorder="1" applyAlignment="1">
      <alignment horizontal="center" vertical="center" wrapText="1"/>
    </xf>
    <xf numFmtId="0" fontId="2" fillId="3" borderId="34" xfId="3" applyFont="1" applyFill="1" applyBorder="1" applyAlignment="1" applyProtection="1">
      <alignment horizontal="center" vertical="center" wrapText="1"/>
      <protection locked="0"/>
    </xf>
    <xf numFmtId="0" fontId="15" fillId="0" borderId="0" xfId="5"/>
    <xf numFmtId="0" fontId="1" fillId="0" borderId="0" xfId="0" applyFont="1" applyAlignment="1">
      <alignment horizontal="centerContinuous"/>
    </xf>
    <xf numFmtId="0" fontId="0" fillId="0" borderId="30"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44" fontId="0" fillId="0" borderId="10" xfId="0" applyNumberFormat="1" applyBorder="1"/>
    <xf numFmtId="44" fontId="0" fillId="0" borderId="79" xfId="0" applyNumberFormat="1" applyBorder="1"/>
    <xf numFmtId="44" fontId="1" fillId="0" borderId="32" xfId="0" applyNumberFormat="1" applyFont="1" applyBorder="1"/>
    <xf numFmtId="44" fontId="1" fillId="0" borderId="13" xfId="0" applyNumberFormat="1" applyFont="1" applyBorder="1"/>
    <xf numFmtId="44" fontId="1" fillId="0" borderId="78" xfId="0" applyNumberFormat="1" applyFont="1" applyBorder="1"/>
    <xf numFmtId="44" fontId="0" fillId="0" borderId="47" xfId="0" applyNumberFormat="1" applyBorder="1"/>
    <xf numFmtId="44" fontId="0" fillId="0" borderId="46" xfId="0" applyNumberFormat="1" applyBorder="1"/>
    <xf numFmtId="1" fontId="7" fillId="3" borderId="76" xfId="4" applyNumberFormat="1" applyFont="1" applyFill="1" applyBorder="1" applyAlignment="1" applyProtection="1">
      <alignment vertical="center"/>
    </xf>
    <xf numFmtId="0" fontId="0" fillId="0" borderId="12" xfId="0" applyBorder="1" applyAlignment="1">
      <alignment wrapText="1"/>
    </xf>
    <xf numFmtId="0" fontId="0" fillId="0" borderId="0" xfId="0" applyAlignment="1">
      <alignment horizontal="centerContinuous" wrapText="1"/>
    </xf>
    <xf numFmtId="0" fontId="6" fillId="0" borderId="54" xfId="3" applyFont="1" applyBorder="1" applyAlignment="1">
      <alignment horizontal="centerContinuous" vertical="center" wrapText="1"/>
    </xf>
    <xf numFmtId="44" fontId="33" fillId="3" borderId="0" xfId="3" applyNumberFormat="1" applyFont="1" applyFill="1" applyAlignment="1">
      <alignment vertical="center"/>
    </xf>
    <xf numFmtId="0" fontId="34" fillId="0" borderId="0" xfId="3" applyFont="1" applyAlignment="1">
      <alignment vertical="top"/>
    </xf>
    <xf numFmtId="0" fontId="36" fillId="0" borderId="60" xfId="3" applyFont="1" applyBorder="1" applyAlignment="1">
      <alignment horizontal="left" wrapText="1"/>
    </xf>
    <xf numFmtId="0" fontId="13" fillId="0" borderId="0" xfId="0" applyFont="1" applyAlignment="1">
      <alignment horizontal="left" wrapText="1"/>
    </xf>
    <xf numFmtId="0" fontId="13" fillId="0" borderId="35" xfId="0" applyFont="1" applyBorder="1"/>
    <xf numFmtId="0" fontId="0" fillId="2" borderId="1" xfId="0" applyFill="1" applyBorder="1" applyAlignment="1" applyProtection="1">
      <alignment wrapText="1"/>
      <protection locked="0"/>
    </xf>
    <xf numFmtId="0" fontId="29" fillId="0" borderId="0" xfId="0" applyFont="1"/>
    <xf numFmtId="0" fontId="9" fillId="0" borderId="0" xfId="3" applyFont="1"/>
    <xf numFmtId="0" fontId="13" fillId="0" borderId="0" xfId="0" applyFont="1"/>
    <xf numFmtId="0" fontId="35" fillId="0" borderId="0" xfId="0" applyFont="1"/>
    <xf numFmtId="0" fontId="19" fillId="3" borderId="23" xfId="3" applyFont="1" applyFill="1" applyBorder="1" applyAlignment="1">
      <alignment horizontal="centerContinuous" vertical="center"/>
    </xf>
    <xf numFmtId="44" fontId="19" fillId="3" borderId="27" xfId="4" applyFont="1" applyFill="1" applyBorder="1" applyAlignment="1">
      <alignment horizontal="centerContinuous" vertical="center"/>
    </xf>
    <xf numFmtId="0" fontId="19" fillId="3" borderId="40" xfId="3" applyFont="1" applyFill="1" applyBorder="1" applyAlignment="1">
      <alignment horizontal="centerContinuous" vertical="center"/>
    </xf>
    <xf numFmtId="44" fontId="19" fillId="3" borderId="80" xfId="4" applyFont="1" applyFill="1" applyBorder="1" applyAlignment="1">
      <alignment horizontal="centerContinuous" vertical="center"/>
    </xf>
    <xf numFmtId="1" fontId="20" fillId="3" borderId="1" xfId="1" applyNumberFormat="1" applyFont="1" applyFill="1" applyBorder="1" applyProtection="1"/>
    <xf numFmtId="0" fontId="6" fillId="3" borderId="18" xfId="3" applyFont="1" applyFill="1" applyBorder="1" applyAlignment="1">
      <alignment horizontal="center"/>
    </xf>
    <xf numFmtId="0" fontId="20" fillId="2" borderId="14" xfId="3" applyFont="1" applyFill="1" applyBorder="1" applyAlignment="1" applyProtection="1">
      <alignment horizontal="left" vertical="center"/>
      <protection locked="0"/>
    </xf>
    <xf numFmtId="0" fontId="19" fillId="3" borderId="14" xfId="3" applyFont="1" applyFill="1" applyBorder="1" applyAlignment="1">
      <alignment horizontal="left" vertical="center" wrapText="1"/>
    </xf>
    <xf numFmtId="0" fontId="37" fillId="0" borderId="0" xfId="0" applyFont="1" applyAlignment="1">
      <alignment vertical="center"/>
    </xf>
    <xf numFmtId="0" fontId="7" fillId="0" borderId="0" xfId="0" applyFont="1" applyAlignment="1">
      <alignment vertical="center"/>
    </xf>
    <xf numFmtId="0" fontId="2" fillId="0" borderId="0" xfId="0" applyFont="1" applyAlignment="1">
      <alignment wrapText="1"/>
    </xf>
    <xf numFmtId="0" fontId="15" fillId="0" borderId="0" xfId="5" applyBorder="1" applyAlignment="1"/>
    <xf numFmtId="0" fontId="9" fillId="0" borderId="0" xfId="0" applyFont="1" applyAlignment="1">
      <alignment vertical="center"/>
    </xf>
    <xf numFmtId="0" fontId="0" fillId="6" borderId="0" xfId="0" applyFill="1"/>
    <xf numFmtId="43" fontId="0" fillId="0" borderId="0" xfId="1" applyFont="1" applyFill="1"/>
    <xf numFmtId="0" fontId="1" fillId="0" borderId="43" xfId="0" applyFont="1" applyBorder="1" applyAlignment="1">
      <alignment horizontal="center"/>
    </xf>
    <xf numFmtId="43" fontId="0" fillId="0" borderId="0" xfId="1" applyFont="1"/>
    <xf numFmtId="0" fontId="1" fillId="6" borderId="0" xfId="0" applyFont="1" applyFill="1" applyAlignment="1">
      <alignment horizontal="center"/>
    </xf>
    <xf numFmtId="0" fontId="1" fillId="6" borderId="0" xfId="0" applyFont="1" applyFill="1" applyAlignment="1">
      <alignment horizontal="center" wrapText="1"/>
    </xf>
    <xf numFmtId="0" fontId="0" fillId="7" borderId="0" xfId="0" applyFill="1"/>
    <xf numFmtId="0" fontId="1" fillId="7" borderId="0" xfId="0" applyFont="1" applyFill="1" applyAlignment="1">
      <alignment horizontal="center" wrapText="1"/>
    </xf>
    <xf numFmtId="0" fontId="0" fillId="0" borderId="0" xfId="0" quotePrefix="1"/>
    <xf numFmtId="0" fontId="1" fillId="0" borderId="43" xfId="0" applyFont="1" applyBorder="1" applyAlignment="1">
      <alignment horizontal="left"/>
    </xf>
    <xf numFmtId="0" fontId="0" fillId="0" borderId="0" xfId="0" applyAlignment="1">
      <alignment horizontal="left"/>
    </xf>
    <xf numFmtId="0" fontId="15" fillId="0" borderId="0" xfId="5" applyFill="1"/>
    <xf numFmtId="49" fontId="0" fillId="8" borderId="1" xfId="0" quotePrefix="1" applyNumberFormat="1" applyFill="1" applyBorder="1" applyProtection="1">
      <protection locked="0"/>
    </xf>
    <xf numFmtId="0" fontId="1" fillId="0" borderId="0" xfId="0" applyFont="1" applyAlignment="1">
      <alignment horizontal="center" wrapText="1"/>
    </xf>
    <xf numFmtId="164" fontId="1" fillId="0" borderId="0" xfId="1" applyNumberFormat="1" applyFont="1"/>
    <xf numFmtId="0" fontId="0" fillId="0" borderId="43" xfId="0" applyBorder="1"/>
    <xf numFmtId="43" fontId="1" fillId="0" borderId="0" xfId="1" applyFont="1" applyAlignment="1">
      <alignment horizontal="center" wrapText="1"/>
    </xf>
    <xf numFmtId="0" fontId="1" fillId="0" borderId="0" xfId="0" applyFont="1" applyAlignment="1">
      <alignment horizontal="center"/>
    </xf>
    <xf numFmtId="0" fontId="42" fillId="0" borderId="0" xfId="0" applyFont="1" applyAlignment="1">
      <alignment vertical="center"/>
    </xf>
    <xf numFmtId="0" fontId="0" fillId="8" borderId="0" xfId="0" applyFill="1"/>
    <xf numFmtId="0" fontId="12" fillId="0" borderId="0" xfId="0" applyFont="1"/>
    <xf numFmtId="0" fontId="12" fillId="0" borderId="0" xfId="1" applyNumberFormat="1" applyFont="1"/>
    <xf numFmtId="0" fontId="17" fillId="0" borderId="43" xfId="0" applyFont="1" applyBorder="1" applyAlignment="1">
      <alignment horizontal="center"/>
    </xf>
    <xf numFmtId="0" fontId="17" fillId="0" borderId="58" xfId="0" applyFont="1" applyBorder="1" applyAlignment="1">
      <alignment horizontal="center"/>
    </xf>
    <xf numFmtId="0" fontId="41" fillId="0" borderId="43" xfId="1" applyNumberFormat="1" applyFont="1" applyFill="1" applyBorder="1" applyAlignment="1">
      <alignment horizontal="center" wrapText="1"/>
    </xf>
    <xf numFmtId="0" fontId="17" fillId="6" borderId="43" xfId="0" applyFont="1" applyFill="1" applyBorder="1"/>
    <xf numFmtId="0" fontId="17" fillId="0" borderId="43" xfId="0" applyFont="1" applyBorder="1" applyAlignment="1">
      <alignment horizontal="center" wrapText="1"/>
    </xf>
    <xf numFmtId="0" fontId="17" fillId="0" borderId="43" xfId="1" applyNumberFormat="1" applyFont="1" applyFill="1" applyBorder="1" applyAlignment="1">
      <alignment horizontal="center" wrapText="1"/>
    </xf>
    <xf numFmtId="0" fontId="17" fillId="0" borderId="0" xfId="0" applyFont="1" applyAlignment="1">
      <alignment horizontal="center"/>
    </xf>
    <xf numFmtId="0" fontId="12" fillId="0" borderId="37" xfId="0" applyFont="1" applyBorder="1"/>
    <xf numFmtId="0" fontId="12" fillId="6" borderId="0" xfId="0" applyFont="1" applyFill="1"/>
    <xf numFmtId="0" fontId="12" fillId="8" borderId="37" xfId="0" applyFont="1" applyFill="1" applyBorder="1"/>
    <xf numFmtId="0" fontId="12" fillId="0" borderId="0" xfId="0" quotePrefix="1" applyFont="1"/>
    <xf numFmtId="0" fontId="0" fillId="0" borderId="37" xfId="0" applyBorder="1"/>
    <xf numFmtId="43" fontId="17" fillId="0" borderId="0" xfId="1" applyFont="1" applyBorder="1"/>
    <xf numFmtId="43" fontId="17" fillId="0" borderId="37" xfId="1" applyFont="1" applyBorder="1" applyAlignment="1">
      <alignment horizontal="right"/>
    </xf>
    <xf numFmtId="43" fontId="17" fillId="0" borderId="0" xfId="1" applyFont="1"/>
    <xf numFmtId="164" fontId="1" fillId="0" borderId="0" xfId="1" applyNumberFormat="1" applyFont="1" applyFill="1"/>
    <xf numFmtId="164" fontId="1" fillId="0" borderId="0" xfId="0" applyNumberFormat="1" applyFont="1"/>
    <xf numFmtId="43" fontId="0" fillId="9" borderId="0" xfId="1" applyFont="1" applyFill="1"/>
    <xf numFmtId="0" fontId="0" fillId="9" borderId="0" xfId="0" applyFill="1"/>
    <xf numFmtId="43" fontId="1" fillId="9" borderId="0" xfId="1" applyFont="1" applyFill="1" applyAlignment="1">
      <alignment horizontal="center" wrapText="1"/>
    </xf>
    <xf numFmtId="0" fontId="1" fillId="9" borderId="0" xfId="0" applyFont="1" applyFill="1" applyAlignment="1">
      <alignment horizontal="center" wrapText="1"/>
    </xf>
    <xf numFmtId="43" fontId="12" fillId="0" borderId="0" xfId="1" applyFont="1"/>
    <xf numFmtId="43" fontId="17" fillId="0" borderId="43" xfId="1" applyFont="1" applyFill="1" applyBorder="1" applyAlignment="1">
      <alignment horizontal="center" wrapText="1"/>
    </xf>
    <xf numFmtId="43" fontId="17" fillId="0" borderId="0" xfId="1" applyFont="1" applyFill="1" applyBorder="1" applyAlignment="1">
      <alignment horizontal="center" wrapText="1"/>
    </xf>
    <xf numFmtId="43" fontId="17" fillId="0" borderId="0" xfId="1" applyFont="1" applyFill="1" applyBorder="1" applyAlignment="1">
      <alignment horizontal="center"/>
    </xf>
    <xf numFmtId="43" fontId="17" fillId="0" borderId="37" xfId="1" applyFont="1" applyFill="1" applyBorder="1" applyAlignment="1">
      <alignment horizontal="right"/>
    </xf>
    <xf numFmtId="43" fontId="41" fillId="0" borderId="0" xfId="1" applyFont="1" applyFill="1" applyBorder="1" applyAlignment="1">
      <alignment horizontal="center" wrapText="1"/>
    </xf>
    <xf numFmtId="43" fontId="17" fillId="6" borderId="0" xfId="1" applyFont="1" applyFill="1" applyBorder="1"/>
    <xf numFmtId="43" fontId="17" fillId="0" borderId="0" xfId="1" applyFont="1" applyFill="1" applyAlignment="1">
      <alignment horizontal="center"/>
    </xf>
    <xf numFmtId="164" fontId="17" fillId="0" borderId="0" xfId="1" applyNumberFormat="1" applyFont="1" applyFill="1" applyBorder="1" applyAlignment="1">
      <alignment horizontal="center" wrapText="1"/>
    </xf>
    <xf numFmtId="0" fontId="12" fillId="0" borderId="81" xfId="0" applyFont="1" applyBorder="1"/>
    <xf numFmtId="0" fontId="12" fillId="0" borderId="82" xfId="0" applyFont="1" applyBorder="1"/>
    <xf numFmtId="0" fontId="12" fillId="0" borderId="81" xfId="1" applyNumberFormat="1" applyFont="1" applyBorder="1"/>
    <xf numFmtId="0" fontId="12" fillId="6" borderId="81" xfId="0" applyFont="1" applyFill="1" applyBorder="1"/>
    <xf numFmtId="43" fontId="12" fillId="0" borderId="81" xfId="1" applyFont="1" applyBorder="1"/>
    <xf numFmtId="9" fontId="12" fillId="0" borderId="0" xfId="7" applyFont="1"/>
    <xf numFmtId="43" fontId="53" fillId="0" borderId="0" xfId="1" applyFont="1"/>
    <xf numFmtId="43" fontId="52" fillId="0" borderId="0" xfId="1" applyFont="1"/>
    <xf numFmtId="43" fontId="3" fillId="0" borderId="0" xfId="1" applyFont="1" applyAlignment="1">
      <alignment horizontal="center"/>
    </xf>
    <xf numFmtId="43" fontId="47" fillId="0" borderId="0" xfId="1" quotePrefix="1" applyFont="1" applyAlignment="1">
      <alignment horizontal="center" vertical="center"/>
    </xf>
    <xf numFmtId="43" fontId="54" fillId="0" borderId="0" xfId="1" applyFont="1" applyAlignment="1">
      <alignment horizontal="center"/>
    </xf>
    <xf numFmtId="43" fontId="51" fillId="0" borderId="0" xfId="1" applyFont="1" applyAlignment="1">
      <alignment horizontal="center"/>
    </xf>
    <xf numFmtId="43" fontId="0" fillId="10" borderId="0" xfId="1" applyFont="1" applyFill="1"/>
    <xf numFmtId="43" fontId="44" fillId="10" borderId="0" xfId="1" quotePrefix="1" applyFont="1" applyFill="1" applyAlignment="1">
      <alignment horizontal="center"/>
    </xf>
    <xf numFmtId="43" fontId="50" fillId="10" borderId="0" xfId="1" quotePrefix="1" applyFont="1" applyFill="1" applyAlignment="1">
      <alignment horizontal="center"/>
    </xf>
    <xf numFmtId="43" fontId="48" fillId="10" borderId="0" xfId="1" quotePrefix="1" applyFont="1" applyFill="1" applyAlignment="1">
      <alignment horizontal="center"/>
    </xf>
    <xf numFmtId="43" fontId="43" fillId="10" borderId="0" xfId="1" quotePrefix="1" applyFont="1" applyFill="1" applyAlignment="1">
      <alignment horizontal="center" vertical="center" wrapText="1"/>
    </xf>
    <xf numFmtId="43" fontId="44" fillId="10" borderId="0" xfId="1" quotePrefix="1" applyFont="1" applyFill="1" applyAlignment="1">
      <alignment horizontal="center" vertical="center" wrapText="1"/>
    </xf>
    <xf numFmtId="43" fontId="50" fillId="10" borderId="0" xfId="1" quotePrefix="1" applyFont="1" applyFill="1" applyAlignment="1">
      <alignment horizontal="center" vertical="center" wrapText="1"/>
    </xf>
    <xf numFmtId="43" fontId="49" fillId="10" borderId="0" xfId="1" quotePrefix="1" applyFont="1" applyFill="1" applyAlignment="1">
      <alignment horizontal="center" vertical="center" wrapText="1"/>
    </xf>
    <xf numFmtId="43" fontId="48" fillId="10" borderId="0" xfId="1" quotePrefix="1" applyFont="1" applyFill="1" applyAlignment="1">
      <alignment horizontal="center" vertical="center" wrapText="1"/>
    </xf>
    <xf numFmtId="43" fontId="0" fillId="0" borderId="0" xfId="1" applyFont="1" applyAlignment="1">
      <alignment horizontal="center" vertical="center" wrapText="1"/>
    </xf>
    <xf numFmtId="43" fontId="45" fillId="0" borderId="46" xfId="1" quotePrefix="1" applyFont="1" applyBorder="1" applyAlignment="1">
      <alignment vertical="top"/>
    </xf>
    <xf numFmtId="43" fontId="1" fillId="0" borderId="46" xfId="1" applyFont="1" applyBorder="1"/>
    <xf numFmtId="43" fontId="46" fillId="0" borderId="46" xfId="1" applyFont="1" applyBorder="1" applyAlignment="1">
      <alignment vertical="center"/>
    </xf>
    <xf numFmtId="43" fontId="50" fillId="0" borderId="46" xfId="1" applyFont="1" applyBorder="1" applyAlignment="1">
      <alignment vertical="center"/>
    </xf>
    <xf numFmtId="43" fontId="48" fillId="0" borderId="46" xfId="1" applyFont="1" applyBorder="1" applyAlignment="1">
      <alignment vertical="center"/>
    </xf>
    <xf numFmtId="43" fontId="44" fillId="0" borderId="0" xfId="1" quotePrefix="1" applyFont="1" applyAlignment="1">
      <alignment horizontal="left" vertical="top"/>
    </xf>
    <xf numFmtId="43" fontId="44" fillId="0" borderId="0" xfId="1" quotePrefix="1" applyFont="1" applyFill="1" applyAlignment="1">
      <alignment horizontal="left" vertical="top"/>
    </xf>
    <xf numFmtId="43" fontId="43" fillId="0" borderId="0" xfId="1" applyFont="1" applyAlignment="1">
      <alignment vertical="center"/>
    </xf>
    <xf numFmtId="43" fontId="50" fillId="0" borderId="0" xfId="1" applyFont="1" applyAlignment="1">
      <alignment vertical="center"/>
    </xf>
    <xf numFmtId="43" fontId="48" fillId="0" borderId="0" xfId="1" applyFont="1" applyAlignment="1">
      <alignment vertical="center"/>
    </xf>
    <xf numFmtId="43" fontId="53" fillId="0" borderId="0" xfId="1" applyFont="1" applyFill="1"/>
    <xf numFmtId="43" fontId="43" fillId="0" borderId="0" xfId="1" applyFont="1" applyFill="1" applyAlignment="1">
      <alignment vertical="center"/>
    </xf>
    <xf numFmtId="43" fontId="48" fillId="0" borderId="0" xfId="1" applyFont="1" applyFill="1" applyAlignment="1">
      <alignment vertical="center"/>
    </xf>
    <xf numFmtId="43" fontId="0" fillId="0" borderId="0" xfId="1" applyFont="1" applyFill="1" applyBorder="1"/>
    <xf numFmtId="43" fontId="12" fillId="0" borderId="0" xfId="1" applyFont="1" applyFill="1"/>
    <xf numFmtId="43" fontId="12" fillId="0" borderId="81" xfId="1" applyFont="1" applyFill="1" applyBorder="1"/>
    <xf numFmtId="1" fontId="8" fillId="0" borderId="0" xfId="0" applyNumberFormat="1" applyFont="1" applyAlignment="1">
      <alignment horizontal="center"/>
    </xf>
    <xf numFmtId="1" fontId="8" fillId="6" borderId="0" xfId="0" applyNumberFormat="1" applyFont="1" applyFill="1" applyAlignment="1">
      <alignment horizontal="center"/>
    </xf>
    <xf numFmtId="1" fontId="8" fillId="0" borderId="0" xfId="1" applyNumberFormat="1" applyFont="1" applyAlignment="1">
      <alignment horizontal="center"/>
    </xf>
    <xf numFmtId="1" fontId="8" fillId="7" borderId="0" xfId="0" applyNumberFormat="1" applyFont="1" applyFill="1" applyAlignment="1">
      <alignment horizontal="center"/>
    </xf>
    <xf numFmtId="1" fontId="8" fillId="9" borderId="0" xfId="1" applyNumberFormat="1" applyFont="1" applyFill="1" applyAlignment="1">
      <alignment horizontal="center"/>
    </xf>
    <xf numFmtId="1" fontId="8" fillId="9" borderId="0" xfId="0" applyNumberFormat="1" applyFont="1" applyFill="1" applyAlignment="1">
      <alignment horizontal="center"/>
    </xf>
    <xf numFmtId="0" fontId="0" fillId="0" borderId="0" xfId="0" applyAlignment="1">
      <alignment horizontal="center"/>
    </xf>
    <xf numFmtId="1" fontId="0" fillId="0" borderId="0" xfId="0" applyNumberFormat="1"/>
    <xf numFmtId="1" fontId="1" fillId="0" borderId="0" xfId="0" applyNumberFormat="1" applyFont="1"/>
    <xf numFmtId="1" fontId="0" fillId="0" borderId="0" xfId="0" quotePrefix="1" applyNumberFormat="1"/>
    <xf numFmtId="1" fontId="0" fillId="0" borderId="81" xfId="0" applyNumberFormat="1" applyBorder="1"/>
    <xf numFmtId="43" fontId="0" fillId="8" borderId="0" xfId="1" applyFont="1" applyFill="1"/>
    <xf numFmtId="0" fontId="2" fillId="0" borderId="5" xfId="0" applyFont="1" applyBorder="1" applyAlignment="1">
      <alignment horizontal="left" wrapText="1"/>
    </xf>
    <xf numFmtId="0" fontId="35" fillId="0" borderId="0" xfId="0" applyFont="1" applyAlignment="1">
      <alignment horizontal="left" wrapText="1"/>
    </xf>
    <xf numFmtId="0" fontId="35" fillId="0" borderId="0" xfId="0" applyFont="1" applyAlignment="1">
      <alignment horizontal="left"/>
    </xf>
    <xf numFmtId="0" fontId="13" fillId="0" borderId="0" xfId="0" applyFont="1" applyAlignment="1">
      <alignment horizontal="left" wrapText="1"/>
    </xf>
    <xf numFmtId="0" fontId="9" fillId="0" borderId="0" xfId="3" applyFont="1" applyAlignment="1">
      <alignment horizontal="left"/>
    </xf>
    <xf numFmtId="0" fontId="9" fillId="0" borderId="0" xfId="3" applyFont="1" applyAlignment="1">
      <alignment horizontal="center" vertical="center"/>
    </xf>
    <xf numFmtId="0" fontId="14" fillId="0" borderId="0" xfId="3" applyFont="1" applyAlignment="1">
      <alignment horizontal="center" vertical="center"/>
    </xf>
    <xf numFmtId="0" fontId="9" fillId="3" borderId="0" xfId="3" applyFont="1" applyFill="1" applyAlignment="1">
      <alignment horizontal="center"/>
    </xf>
    <xf numFmtId="0" fontId="21" fillId="0" borderId="43" xfId="3" applyFont="1" applyBorder="1" applyAlignment="1">
      <alignment horizontal="center" vertical="center"/>
    </xf>
    <xf numFmtId="0" fontId="21" fillId="0" borderId="24" xfId="3" applyFont="1" applyBorder="1" applyAlignment="1">
      <alignment horizontal="center" vertical="center"/>
    </xf>
    <xf numFmtId="0" fontId="9" fillId="0" borderId="0" xfId="3" applyFont="1" applyAlignment="1">
      <alignment horizontal="center"/>
    </xf>
    <xf numFmtId="0" fontId="9" fillId="3" borderId="0" xfId="3" applyFont="1" applyFill="1" applyAlignment="1">
      <alignment horizontal="left"/>
    </xf>
    <xf numFmtId="0" fontId="9" fillId="0" borderId="43" xfId="3" applyFont="1" applyBorder="1" applyAlignment="1">
      <alignment horizontal="center"/>
    </xf>
    <xf numFmtId="0" fontId="9" fillId="0" borderId="49" xfId="3" applyFont="1" applyBorder="1" applyAlignment="1">
      <alignment horizontal="center"/>
    </xf>
    <xf numFmtId="0" fontId="9" fillId="3" borderId="0" xfId="3" applyFont="1" applyFill="1" applyAlignment="1">
      <alignment horizontal="left" vertical="top"/>
    </xf>
    <xf numFmtId="0" fontId="9" fillId="0" borderId="24" xfId="3" applyFont="1" applyBorder="1" applyAlignment="1" applyProtection="1">
      <alignment horizontal="left" vertical="center"/>
      <protection locked="0"/>
    </xf>
    <xf numFmtId="0" fontId="9" fillId="0" borderId="0" xfId="3" applyFont="1" applyAlignment="1" applyProtection="1">
      <alignment horizontal="left" vertical="center"/>
      <protection locked="0"/>
    </xf>
    <xf numFmtId="0" fontId="35" fillId="0" borderId="0" xfId="0" applyFont="1" applyAlignment="1">
      <alignment horizontal="center"/>
    </xf>
    <xf numFmtId="0" fontId="37" fillId="0" borderId="0" xfId="0" applyFont="1" applyAlignment="1">
      <alignment horizontal="left"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37" fillId="0" borderId="0" xfId="0" applyFont="1" applyAlignment="1">
      <alignment horizontal="center" vertical="center"/>
    </xf>
    <xf numFmtId="43" fontId="1" fillId="8" borderId="0" xfId="1" applyFont="1" applyFill="1" applyAlignment="1">
      <alignment horizontal="center"/>
    </xf>
    <xf numFmtId="0" fontId="1" fillId="0" borderId="0" xfId="0" applyFont="1" applyAlignment="1">
      <alignment horizontal="center"/>
    </xf>
    <xf numFmtId="43" fontId="1" fillId="9" borderId="0" xfId="1" applyFont="1" applyFill="1" applyAlignment="1">
      <alignment horizontal="center"/>
    </xf>
    <xf numFmtId="0" fontId="1" fillId="9" borderId="0" xfId="0" applyFont="1" applyFill="1" applyAlignment="1">
      <alignment horizontal="center" wrapText="1"/>
    </xf>
    <xf numFmtId="43" fontId="1" fillId="0" borderId="0" xfId="1" applyFont="1" applyAlignment="1">
      <alignment horizontal="center"/>
    </xf>
    <xf numFmtId="0" fontId="1" fillId="0" borderId="0" xfId="0" applyFont="1" applyAlignment="1">
      <alignment horizontal="center" wrapText="1"/>
    </xf>
    <xf numFmtId="0" fontId="1" fillId="11" borderId="0" xfId="0" applyFont="1" applyFill="1" applyAlignment="1">
      <alignment horizontal="center" wrapText="1"/>
    </xf>
    <xf numFmtId="43" fontId="3" fillId="0" borderId="0" xfId="1" applyFont="1" applyAlignment="1">
      <alignment horizontal="left"/>
    </xf>
    <xf numFmtId="0" fontId="1" fillId="0" borderId="0" xfId="0" applyFont="1" applyAlignment="1">
      <alignment horizontal="left"/>
    </xf>
  </cellXfs>
  <cellStyles count="10">
    <cellStyle name="Comma" xfId="1" builtinId="3"/>
    <cellStyle name="Currency" xfId="2" builtinId="4"/>
    <cellStyle name="Currency 2" xfId="4" xr:uid="{00000000-0005-0000-0000-000002000000}"/>
    <cellStyle name="Hyperlink" xfId="5" builtinId="8"/>
    <cellStyle name="Hyperlink 2" xfId="9" xr:uid="{94484276-B476-42D8-BE8A-613556D4FF09}"/>
    <cellStyle name="Normal" xfId="0" builtinId="0"/>
    <cellStyle name="Normal 2" xfId="3" xr:uid="{00000000-0005-0000-0000-000005000000}"/>
    <cellStyle name="Normal 3" xfId="8" xr:uid="{210FD5A8-438A-4628-BFCD-AF2779AA0559}"/>
    <cellStyle name="Percent" xfId="7" builtinId="5"/>
    <cellStyle name="Percent 2" xfId="6" xr:uid="{00000000-0005-0000-0000-000006000000}"/>
  </cellStyles>
  <dxfs count="2632">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auto="1"/>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left style="thin">
          <color indexed="64"/>
        </left>
        <right style="thin">
          <color auto="1"/>
        </right>
        <top style="thin">
          <color auto="1"/>
        </top>
        <bottom style="thin">
          <color indexed="64"/>
        </bottom>
      </border>
    </dxf>
    <dxf>
      <alignment horizontal="general"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alignment horizontal="centerContinuous"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indexed="64"/>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indexed="64"/>
          <bgColor theme="0"/>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indexed="64"/>
          <bgColor theme="0"/>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indexed="64"/>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indexed="64"/>
          <bgColor theme="0"/>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indexed="64"/>
          <bgColor theme="0"/>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indexed="64"/>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thin">
          <color indexed="64"/>
        </top>
        <bottom style="medium">
          <color indexed="64"/>
        </bottom>
      </border>
    </dxf>
    <dxf>
      <border>
        <bottom style="thin">
          <color indexed="64"/>
        </bottom>
      </border>
    </dxf>
    <dxf>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alignment horizontal="left" vertical="center"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style="thin">
          <color auto="1"/>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style="thin">
          <color auto="1"/>
        </right>
        <top style="thin">
          <color auto="1"/>
        </top>
        <bottom/>
        <vertical style="thin">
          <color auto="1"/>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auto="1"/>
        </left>
        <right style="thin">
          <color auto="1"/>
        </right>
        <vertical style="thin">
          <color auto="1"/>
        </vertical>
      </border>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center"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ck">
          <color auto="1"/>
        </right>
        <top style="thin">
          <color auto="1"/>
        </top>
        <bottom style="thin">
          <color auto="1"/>
        </bottom>
        <vertical/>
        <horizontal/>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ck">
          <color auto="1"/>
        </right>
        <top style="thick">
          <color auto="1"/>
        </top>
        <bottom style="thick">
          <color auto="1"/>
        </bottom>
      </border>
      <protection locked="1"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border>
      <protection locked="1"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ck">
          <color auto="1"/>
        </left>
        <right style="thin">
          <color auto="1"/>
        </right>
        <top style="thin">
          <color auto="1"/>
        </top>
        <bottom style="thin">
          <color auto="1"/>
        </bottom>
      </border>
      <protection locked="1" hidden="0"/>
    </dxf>
    <dxf>
      <border>
        <top style="thin">
          <color auto="1"/>
        </top>
      </border>
    </dxf>
    <dxf>
      <border diagonalUp="0" diagonalDown="0">
        <left style="thick">
          <color auto="1"/>
        </left>
        <right style="thick">
          <color auto="1"/>
        </right>
        <top style="thick">
          <color auto="1"/>
        </top>
        <bottom style="thick">
          <color auto="1"/>
        </bottom>
      </border>
    </dxf>
    <dxf>
      <font>
        <b val="0"/>
        <i val="0"/>
        <strike val="0"/>
        <condense val="0"/>
        <extend val="0"/>
        <outline val="0"/>
        <shadow val="0"/>
        <u val="none"/>
        <vertAlign val="baseline"/>
        <sz val="12"/>
        <color theme="1"/>
        <name val="Calibri"/>
        <scheme val="minor"/>
      </font>
      <numFmt numFmtId="30" formatCode="@"/>
      <fill>
        <patternFill patternType="solid">
          <fgColor indexed="64"/>
          <bgColor theme="6" tint="0.79998168889431442"/>
        </patternFill>
      </fill>
      <alignment horizontal="general" vertical="center" textRotation="0" wrapText="0" indent="0" justifyLastLine="0" shrinkToFit="0" readingOrder="0"/>
      <protection locked="1" hidden="0"/>
    </dxf>
    <dxf>
      <border>
        <bottom style="thick">
          <color auto="1"/>
        </bottom>
      </border>
    </dxf>
    <dxf>
      <font>
        <b/>
        <i val="0"/>
        <strike val="0"/>
        <condense val="0"/>
        <extend val="0"/>
        <outline val="0"/>
        <shadow val="0"/>
        <u val="none"/>
        <vertAlign val="baseline"/>
        <sz val="14"/>
        <color auto="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protection locked="0" hidden="0"/>
    </dxf>
    <dxf>
      <border outline="0">
        <right style="thin">
          <color indexed="64"/>
        </right>
      </border>
      <protection locked="0" hidden="0"/>
    </dxf>
    <dxf>
      <border outline="0">
        <right style="thin">
          <color indexed="64"/>
        </right>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scheme val="minor"/>
      </font>
      <numFmt numFmtId="164" formatCode="_(* #,##0_);_(* \(#,##0\);_(* &quot;-&quot;??_);_(@_)"/>
      <fill>
        <patternFill patternType="solid">
          <fgColor indexed="64"/>
          <bgColor theme="8" tint="0.79998168889431442"/>
        </patternFill>
      </fill>
      <border diagonalUp="0" diagonalDown="0">
        <left style="thin">
          <color auto="1"/>
        </left>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border>
      <protection locked="0" hidden="0"/>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protection locked="0" hidden="0"/>
    </dxf>
    <dxf>
      <border outline="0">
        <right style="thin">
          <color indexed="64"/>
        </right>
      </border>
    </dxf>
    <dxf>
      <border outline="0">
        <top style="thin">
          <color auto="1"/>
        </top>
      </border>
    </dxf>
    <dxf>
      <border outline="0">
        <top style="medium">
          <color auto="1"/>
        </top>
        <bottom style="thin">
          <color indexed="64"/>
        </bottom>
      </border>
    </dxf>
    <dxf>
      <border outline="0">
        <bottom style="thin">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thin">
          <color auto="1"/>
        </left>
        <right style="thin">
          <color auto="1"/>
        </right>
        <top/>
        <bottom/>
      </border>
    </dxf>
  </dxfs>
  <tableStyles count="0" defaultTableStyle="TableStyleMedium2" defaultPivotStyle="PivotStyleLight16"/>
  <colors>
    <mruColors>
      <color rgb="FFC6EFCE"/>
      <color rgb="FF9C0006"/>
      <color rgb="FF006100"/>
      <color rgb="FFFFC7CE"/>
      <color rgb="FF006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7448550</xdr:colOff>
      <xdr:row>0</xdr:row>
      <xdr:rowOff>1628775</xdr:rowOff>
    </xdr:from>
    <xdr:to>
      <xdr:col>0</xdr:col>
      <xdr:colOff>9025527</xdr:colOff>
      <xdr:row>0</xdr:row>
      <xdr:rowOff>2268855</xdr:rowOff>
    </xdr:to>
    <xdr:pic>
      <xdr:nvPicPr>
        <xdr:cNvPr id="3" name="Picture 2" descr="CIFR: Center for IDEA Fiscal Reporting" title="CIFR Logo">
          <a:extLst>
            <a:ext uri="{FF2B5EF4-FFF2-40B4-BE49-F238E27FC236}">
              <a16:creationId xmlns:a16="http://schemas.microsoft.com/office/drawing/2014/main" id="{E60E1248-5154-4D7A-9B61-A4F5C392BC88}"/>
            </a:ext>
          </a:extLst>
        </xdr:cNvPr>
        <xdr:cNvPicPr/>
      </xdr:nvPicPr>
      <xdr:blipFill>
        <a:blip xmlns:r="http://schemas.openxmlformats.org/officeDocument/2006/relationships" r:embed="rId1" cstate="print"/>
        <a:stretch>
          <a:fillRect/>
        </a:stretch>
      </xdr:blipFill>
      <xdr:spPr>
        <a:xfrm>
          <a:off x="7448550" y="1628775"/>
          <a:ext cx="1576977"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685800</xdr:colOff>
      <xdr:row>1</xdr:row>
      <xdr:rowOff>0</xdr:rowOff>
    </xdr:from>
    <xdr:ext cx="184731" cy="264560"/>
    <xdr:sp macro="" textlink="">
      <xdr:nvSpPr>
        <xdr:cNvPr id="2" name="TextBox 1">
          <a:extLst>
            <a:ext uri="{FF2B5EF4-FFF2-40B4-BE49-F238E27FC236}">
              <a16:creationId xmlns:a16="http://schemas.microsoft.com/office/drawing/2014/main" id="{22847ADB-3843-42CD-854F-A698D9EC7195}"/>
            </a:ext>
          </a:extLst>
        </xdr:cNvPr>
        <xdr:cNvSpPr txBox="1"/>
      </xdr:nvSpPr>
      <xdr:spPr>
        <a:xfrm>
          <a:off x="1885950"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ss_\Google%20Drive\Documents\Westat\LEA%20MOE%20Tools\Calculator%202.0%202016_2021%20Sample%20Draft%20v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itle Page"/>
      <sheetName val="2. Getting Started"/>
      <sheetName val="3a. Intervening Years"/>
      <sheetName val="3b. High Cost Fund"/>
      <sheetName val="4. Multi-Year MOE Summary"/>
      <sheetName val="5. Year 1 Amounts"/>
      <sheetName val="6. Year 1 Exc &amp; Adj"/>
      <sheetName val="7. Year 1 Summary"/>
      <sheetName val="8. Year 2 Amounts"/>
      <sheetName val="9. Year 2 Exc &amp; Adj"/>
      <sheetName val="10. Year 2 Summary"/>
      <sheetName val="11. Year 3 Amounts"/>
      <sheetName val="12. Year 3 Exc &amp; Adj"/>
      <sheetName val="13. Year 3 Summary"/>
      <sheetName val="14. Year 4 Amounts"/>
      <sheetName val="15. Year 4 Exc &amp; Adj"/>
      <sheetName val="16. Year 4 Summary"/>
      <sheetName val="17. Year 5 Amounts"/>
      <sheetName val="18. Year 5 Exc &amp; Adj"/>
      <sheetName val="19. Year 5 Summary"/>
      <sheetName val="20. Year 6 Amounts"/>
      <sheetName val="21. Year 6 Exc &amp; Adj"/>
      <sheetName val="22. Year 6 Summary"/>
      <sheetName val="23. Year 7 Amounts"/>
      <sheetName val="24. Year 7 Exc &amp; Adj"/>
      <sheetName val="25. Year 7 Summary"/>
      <sheetName val="26. Year 8 Amounts"/>
      <sheetName val="27. Year 8 Exc &amp; Adj"/>
      <sheetName val="28. Year 8 Summary"/>
      <sheetName val="29. Year 9 Amounts"/>
      <sheetName val="30. Year 9 Exc &amp; Adj"/>
      <sheetName val="31. Year 9 Summary"/>
      <sheetName val="32. Year 10 Amounts"/>
      <sheetName val="33. Year 10 Exc &amp; Adj"/>
      <sheetName val="34. Year 10 Summary"/>
      <sheetName val="35. Year 11 Amounts"/>
      <sheetName val="36. Year 11 Exc &amp; Adj"/>
      <sheetName val="37. Year 11 Summary"/>
      <sheetName val="38. Total Local Funds"/>
      <sheetName val="39. Total State &amp; Local Funds"/>
      <sheetName val="40. Local Funds Per Capita"/>
      <sheetName val="41. State &amp; Local Funds Per Cap"/>
      <sheetName val="42. SEA or LEA Worksheet"/>
      <sheetName val="43. SEA Guidance"/>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Moved</v>
          </cell>
        </row>
        <row r="3">
          <cell r="A3" t="str">
            <v>Aged out</v>
          </cell>
        </row>
        <row r="4">
          <cell r="A4" t="str">
            <v>Graduated with a regular diploma</v>
          </cell>
        </row>
        <row r="5">
          <cell r="A5" t="str">
            <v>No longer needs the program of special education</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00000000}" name="Background" displayName="Background" ref="A1:B6" totalsRowShown="0" headerRowDxfId="2631" headerRowBorderDxfId="2630" tableBorderDxfId="2629" totalsRowBorderDxfId="2628">
  <autoFilter ref="A1:B6" xr:uid="{00000000-0009-0000-0100-0000C0000000}">
    <filterColumn colId="0" hiddenButton="1"/>
    <filterColumn colId="1" hiddenButton="1"/>
  </autoFilter>
  <tableColumns count="2">
    <tableColumn id="1" xr3:uid="{00000000-0010-0000-0000-000001000000}" name="Enter the requested information below" dataDxfId="2627"/>
    <tableColumn id="2" xr3:uid="{00000000-0010-0000-0000-000002000000}" name="Information" dataDxfId="2626"/>
  </tableColumns>
  <tableStyleInfo name="TableStyleMedium2" showFirstColumn="0" showLastColumn="0" showRowStripes="0" showColumnStripes="0"/>
  <extLst>
    <ext xmlns:x14="http://schemas.microsoft.com/office/spreadsheetml/2009/9/main" uri="{504A1905-F514-4f6f-8877-14C23A59335A}">
      <x14:table altText="Background information" altTextSummary="Users should enter background information in this table. The fiscal year for Year 1 is essential for the workbook to functio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1000000}" name="ExcAReplaceDataYear4Budget" displayName="ExcAReplaceDataYear4Budget" ref="A15:F21" totalsRowShown="0" headerRowDxfId="2558" dataDxfId="2556" headerRowBorderDxfId="2557" tableBorderDxfId="2555">
  <tableColumns count="6">
    <tableColumn id="1" xr3:uid="{00000000-0010-0000-5100-000001000000}" name="Position Title" dataDxfId="2554"/>
    <tableColumn id="2" xr3:uid="{00000000-0010-0000-5100-000002000000}" name="Employee Name" dataDxfId="2553"/>
    <tableColumn id="3" xr3:uid="{00000000-0010-0000-5100-000003000000}" name="This column intentionally left blank" dataDxfId="2552"/>
    <tableColumn id="4" xr3:uid="{00000000-0010-0000-5100-000004000000}" name="Salary" dataDxfId="2551" dataCellStyle="Currency"/>
    <tableColumn id="5" xr3:uid="{00000000-0010-0000-5100-000005000000}" name="Benefits" dataDxfId="2550" dataCellStyle="Currency"/>
    <tableColumn id="8" xr3:uid="{00000000-0010-0000-5100-000008000000}" name="Total Budget" dataDxfId="2549"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4 Eligibility Standard" altTextSummary="Users can enter data in this table for any replacement personnel projected for Year 4. This table is for the eligiblity standard and is based on budget amounts."/>
    </ext>
  </extLst>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B000000}" name="ComplianceYear3" displayName="ComplianceYear3" ref="A13:E18" totalsRowShown="0" headerRowDxfId="1937" headerRowBorderDxfId="1936" tableBorderDxfId="1935" totalsRowBorderDxfId="1934">
  <autoFilter ref="A13:E18" xr:uid="{00000000-0009-0000-0100-0000D0000000}">
    <filterColumn colId="0" hiddenButton="1"/>
    <filterColumn colId="1" hiddenButton="1"/>
    <filterColumn colId="2" hiddenButton="1"/>
    <filterColumn colId="3" hiddenButton="1"/>
    <filterColumn colId="4" hiddenButton="1"/>
  </autoFilter>
  <tableColumns count="5">
    <tableColumn id="1" xr3:uid="{00000000-0010-0000-4B00-000001000000}" name="MOE Information" dataDxfId="1933"/>
    <tableColumn id="2" xr3:uid="{00000000-0010-0000-4B00-000002000000}" name="Total Local Funds" dataDxfId="1932"/>
    <tableColumn id="3" xr3:uid="{00000000-0010-0000-4B00-000003000000}" name="Total State and Local Funds" dataDxfId="1931"/>
    <tableColumn id="4" xr3:uid="{00000000-0010-0000-4B00-000004000000}" name="Local Funds Per Capita" dataDxfId="1930"/>
    <tableColumn id="5" xr3:uid="{00000000-0010-0000-4B00-000005000000}" name="State and Local Funds Per Capita" dataDxfId="1929"/>
  </tableColumns>
  <tableStyleInfo name="TableStyleLight18" showFirstColumn="0" showLastColumn="0" showRowStripes="0" showColumnStripes="0"/>
  <extLst>
    <ext xmlns:x14="http://schemas.microsoft.com/office/spreadsheetml/2009/9/main" uri="{504A1905-F514-4f6f-8877-14C23A59335A}">
      <x14:table altText="Compliance Standard for Year 3" altTextSummary="This table displays MOE amounts and results for the compliance standard for Year 3."/>
    </ext>
  </extLst>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C000000}" name="RepaymentYear3" displayName="RepaymentYear3" ref="A21:B27" totalsRowShown="0" headerRowBorderDxfId="1928" tableBorderDxfId="1927" totalsRowBorderDxfId="1926">
  <autoFilter ref="A21:B27" xr:uid="{00000000-0009-0000-0100-0000D1000000}">
    <filterColumn colId="0" hiddenButton="1"/>
    <filterColumn colId="1" hiddenButton="1"/>
  </autoFilter>
  <tableColumns count="2">
    <tableColumn id="1" xr3:uid="{00000000-0010-0000-4C00-000001000000}" name="Repayment data" dataDxfId="1925"/>
    <tableColumn id="2" xr3:uid="{00000000-0010-0000-4C00-000002000000}" name="Data for Year 3"/>
  </tableColumns>
  <tableStyleInfo name="TableStyleLight18" showFirstColumn="0" showLastColumn="0" showRowStripes="0" showColumnStripes="0"/>
  <extLst>
    <ext xmlns:x14="http://schemas.microsoft.com/office/spreadsheetml/2009/9/main" uri="{504A1905-F514-4f6f-8877-14C23A59335A}">
      <x14:table altText="Repayment for Year 3" altTextSummary="This table calculates the repayment amount for Year 3 if the LEA fails MOE by all four methods for the compliance standard. Users must enter data for IDEA allocations."/>
    </ext>
  </extLst>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0000000-000C-0000-FFFF-FFFF4D000000}" name="ExcAdjSummaryYear3" displayName="ExcAdjSummaryYear3" ref="A33:E40" totalsRowShown="0" headerRowDxfId="1924" headerRowBorderDxfId="1923" tableBorderDxfId="1922" totalsRowBorderDxfId="1921">
  <autoFilter ref="A33:E40" xr:uid="{00000000-0009-0000-0100-000053010000}">
    <filterColumn colId="0" hiddenButton="1"/>
    <filterColumn colId="1" hiddenButton="1"/>
    <filterColumn colId="2" hiddenButton="1"/>
    <filterColumn colId="3" hiddenButton="1"/>
    <filterColumn colId="4" hiddenButton="1"/>
  </autoFilter>
  <tableColumns count="5">
    <tableColumn id="1" xr3:uid="{00000000-0010-0000-4D00-000001000000}" name="Exception or Adjustment" dataDxfId="1920"/>
    <tableColumn id="2" xr3:uid="{00000000-0010-0000-4D00-000002000000}" name="Projected Local Funds" dataDxfId="1919"/>
    <tableColumn id="3" xr3:uid="{00000000-0010-0000-4D00-000003000000}" name="Projected State and Local Funds" dataDxfId="1918"/>
    <tableColumn id="4" xr3:uid="{00000000-0010-0000-4D00-000004000000}" name="Local Funds" dataDxfId="1917"/>
    <tableColumn id="5" xr3:uid="{00000000-0010-0000-4D00-000005000000}" name="State and Local Funds" dataDxfId="1916"/>
  </tableColumns>
  <tableStyleInfo name="TableStyleLight18" showFirstColumn="0" showLastColumn="0" showRowStripes="0" showColumnStripes="0"/>
  <extLst>
    <ext xmlns:x14="http://schemas.microsoft.com/office/spreadsheetml/2009/9/main" uri="{504A1905-F514-4f6f-8877-14C23A59335A}">
      <x14:table altText="Exceptions and Adjustment for Year 3" altTextSummary="This table presents a summary of all exceptions taken for Year 3. Detailed data on the exceptions are entered on the Exc &amp; Adj tab for Year 3."/>
    </ext>
  </extLst>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6000000}" name="BudgetYear5" displayName="BudgetYear5" ref="A4:F31" totalsRowShown="0" headerRowDxfId="1915" tableBorderDxfId="1914">
  <tableColumns count="6">
    <tableColumn id="1" xr3:uid="{00000000-0010-0000-6600-000001000000}" name="Object Description" dataDxfId="1913"/>
    <tableColumn id="2" xr3:uid="{00000000-0010-0000-6600-000002000000}" name="Code 1" dataDxfId="1912"/>
    <tableColumn id="7" xr3:uid="{00000000-0010-0000-6600-000007000000}" name="Code 2" dataDxfId="1911"/>
    <tableColumn id="3" xr3:uid="{00000000-0010-0000-6600-000003000000}" name="Local" dataDxfId="1910" dataCellStyle="Currency"/>
    <tableColumn id="4" xr3:uid="{00000000-0010-0000-6600-000004000000}" name="State" dataDxfId="1909" dataCellStyle="Currency"/>
    <tableColumn id="5" xr3:uid="{00000000-0010-0000-6600-000005000000}" name="State and Local" dataDxfId="1908"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5" altTextSummary="In this table, users will enter their budget amounts for Year 5. The column headers for the first three columns are unlocked and can be edited. If the LEA cannot separately budget for state and local funds, leave the Local column blank."/>
    </ext>
  </extLst>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67000000}" name="ExpendituresYear5" displayName="ExpendituresYear5" ref="H4:M31" totalsRowShown="0" headerRowDxfId="1907" tableBorderDxfId="1906">
  <tableColumns count="6">
    <tableColumn id="1" xr3:uid="{00000000-0010-0000-6700-000001000000}" name="Object Description" dataDxfId="1905"/>
    <tableColumn id="2" xr3:uid="{00000000-0010-0000-6700-000002000000}" name="Code" dataDxfId="1904"/>
    <tableColumn id="6" xr3:uid="{00000000-0010-0000-6700-000006000000}" name="Code 2" dataDxfId="1903"/>
    <tableColumn id="3" xr3:uid="{00000000-0010-0000-6700-000003000000}" name="Local" dataDxfId="1902" dataCellStyle="Currency"/>
    <tableColumn id="4" xr3:uid="{00000000-0010-0000-6700-000004000000}" name="State" dataDxfId="1901" dataCellStyle="Currency"/>
    <tableColumn id="5" xr3:uid="{00000000-0010-0000-6700-000005000000}" name="State and Local" dataDxfId="1900"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5" altTextSummary="In this table, users will enter the LEA's final expenditures for Year 5. The column headers for the first three columns are unlocked and can be edited. If the LEA cannot separately budget for state and local funds, leave the Local column blank."/>
    </ext>
  </extLst>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68000000}" name="ExcADepartingDataYear5Budget" displayName="ExcADepartingDataYear5Budget" ref="A7:F13" totalsRowShown="0" headerRowDxfId="1899" dataDxfId="1897" headerRowBorderDxfId="1898" tableBorderDxfId="1896">
  <tableColumns count="6">
    <tableColumn id="1" xr3:uid="{00000000-0010-0000-6800-000001000000}" name="Position Title" dataDxfId="1895"/>
    <tableColumn id="2" xr3:uid="{00000000-0010-0000-6800-000002000000}" name="Employee Name" dataDxfId="1894"/>
    <tableColumn id="3" xr3:uid="{00000000-0010-0000-6800-000003000000}" name="Reason for Leaving" dataDxfId="1893"/>
    <tableColumn id="4" xr3:uid="{00000000-0010-0000-6800-000004000000}" name="Salary" dataDxfId="1892" dataCellStyle="Currency"/>
    <tableColumn id="5" xr3:uid="{00000000-0010-0000-6800-000005000000}" name="Benefits" dataDxfId="1891" dataCellStyle="Currency"/>
    <tableColumn id="8" xr3:uid="{00000000-0010-0000-6800-000008000000}" name="Total Budget" dataDxfId="189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5 Eligiblity Standard" altTextSummary="Users can enter data in this table for any departing personnel projected for Year 5. This table is for the eligiblity standard and is based on budget amounts."/>
    </ext>
  </extLst>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9000000}" name="ExcAReplaceDataYear5Budget" displayName="ExcAReplaceDataYear5Budget" ref="A15:F21" totalsRowShown="0" headerRowDxfId="1889" dataDxfId="1887" headerRowBorderDxfId="1888" tableBorderDxfId="1886">
  <tableColumns count="6">
    <tableColumn id="1" xr3:uid="{00000000-0010-0000-6900-000001000000}" name="Position Title" dataDxfId="1885"/>
    <tableColumn id="2" xr3:uid="{00000000-0010-0000-6900-000002000000}" name="Employee Name" dataDxfId="1884"/>
    <tableColumn id="3" xr3:uid="{00000000-0010-0000-6900-000003000000}" name="This column intentionally left blank" dataDxfId="1883"/>
    <tableColumn id="4" xr3:uid="{00000000-0010-0000-6900-000004000000}" name="Salary" dataDxfId="1882" dataCellStyle="Currency"/>
    <tableColumn id="5" xr3:uid="{00000000-0010-0000-6900-000005000000}" name="Benefits" dataDxfId="1881" dataCellStyle="Currency"/>
    <tableColumn id="8" xr3:uid="{00000000-0010-0000-6900-000008000000}" name="Total Budget" dataDxfId="188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5 Eligibility Standard" altTextSummary="Users can enter data in this table for any replacement personnel projected for Year 5. This table is for the eligiblity standard and is based on budget amounts."/>
    </ext>
  </extLst>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A000000}" name="ExcDDataYear5Budget" displayName="ExcDDataYear5Budget" ref="A47:B53" totalsRowShown="0" headerRowDxfId="1879" dataDxfId="1877" headerRowBorderDxfId="1878" tableBorderDxfId="1876">
  <tableColumns count="2">
    <tableColumn id="1" xr3:uid="{00000000-0010-0000-6A00-000001000000}" name="Description" dataDxfId="1875"/>
    <tableColumn id="2" xr3:uid="{00000000-0010-0000-6A00-000002000000}" name="Budgeted Cost in Final Year" dataDxfId="187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5 Eligiblity Standard" altTextSummary="Users can enter data in this table for the projected termination of costly expenditures for long-term purchases for Year 5. This table is for the eligiblity standard and is based on budget amounts."/>
    </ext>
  </extLst>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B000000}" name="AdjDataYear5Budget" displayName="AdjDataYear5Budget" ref="A71:B72" totalsRowShown="0" headerRowDxfId="1873" dataDxfId="1871" headerRowBorderDxfId="1872" tableBorderDxfId="1870" totalsRowBorderDxfId="1869">
  <tableColumns count="2">
    <tableColumn id="1" xr3:uid="{00000000-0010-0000-6B00-000001000000}" name="Column1" dataDxfId="1868"/>
    <tableColumn id="2" xr3:uid="{00000000-0010-0000-6B00-000002000000}" name="Projected Adjustment" dataDxfId="1867"/>
  </tableColumns>
  <tableStyleInfo name="TableStyleMedium9" showFirstColumn="0" showLastColumn="0" showRowStripes="0" showColumnStripes="0"/>
  <extLst>
    <ext xmlns:x14="http://schemas.microsoft.com/office/spreadsheetml/2009/9/main" uri="{504A1905-F514-4f6f-8877-14C23A59335A}">
      <x14:table altText="MOE Adjustment Data Entry for Year 5 Eligiblity Standard" altTextSummary="Users can enter data in this table for the projected Adjustment to MOE for Year 5. This table is for the eligiblity standard and is based on budget amounts. Use IDC's MOE Reduction Decision Tree and Calculator to determine the adjustment amount."/>
    </ext>
  </extLst>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C000000}" name="ExcCDataYear5Budget" displayName="ExcCDataYear5Budget" ref="A37:C43" totalsRowShown="0" headerRowDxfId="1866" dataDxfId="1865" tableBorderDxfId="1864">
  <tableColumns count="3">
    <tableColumn id="1" xr3:uid="{00000000-0010-0000-6C00-000001000000}" name="Student Identifier" dataDxfId="1863"/>
    <tableColumn id="2" xr3:uid="{00000000-0010-0000-6C00-000002000000}" name="Reason" dataDxfId="1862"/>
    <tableColumn id="3" xr3:uid="{00000000-0010-0000-6C00-000003000000}" name="Budgeted Cost" dataDxfId="186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5 Eligiblity Standard" altTextSummary="Users can enter data in this table for the projected termination of the obligation to provide special education to a particular student that is an exceptionally costly program projected for Year 5. This table is for the eligiblity standard and is based on budget amounts."/>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2000000}" name="ExcDDataYear4Budget" displayName="ExcDDataYear4Budget" ref="A47:B53" totalsRowShown="0" headerRowDxfId="2548" dataDxfId="2546" headerRowBorderDxfId="2547" tableBorderDxfId="2545">
  <tableColumns count="2">
    <tableColumn id="1" xr3:uid="{00000000-0010-0000-5200-000001000000}" name="Description" dataDxfId="2544"/>
    <tableColumn id="2" xr3:uid="{00000000-0010-0000-5200-000002000000}" name="Budgeted Cost in Final Year" dataDxfId="2543"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4 Eligiblity Standard" altTextSummary="Users can enter data in this table for the projected termination of costly expenditures for long-term purchases for Year 4. This table is for the eligiblity standard and is based on budget amounts."/>
    </ext>
  </extLst>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D000000}" name="ExcEDataYear5Budget" displayName="ExcEDataYear5Budget" ref="A57:B63" totalsRowShown="0" headerRowDxfId="1860" tableBorderDxfId="1859">
  <tableColumns count="2">
    <tableColumn id="1" xr3:uid="{00000000-0010-0000-6D00-000001000000}" name="Student Identifier" dataDxfId="1858"/>
    <tableColumn id="2" xr3:uid="{00000000-0010-0000-6D00-000002000000}" name="Budgeted Cost Assumed by SEA" dataDxfId="185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5 Eligiblity Standard" altTextSummary="Users can enter data for the projected assumption of cost by the high cost fund operated by the SEA for Year 5. This table is for the eligibility standard and uses budget data. The table will not calculate a total if tab 3b indicates that the SEA does not have a high cost fund in Year 5."/>
    </ext>
  </extLst>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E000000}" name="ExcBChildCountDataYear5Budget" displayName="ExcBChildCountDataYear5Budget" ref="A25:B29" totalsRowShown="0" headerRowDxfId="1856" dataDxfId="1855">
  <tableColumns count="2">
    <tableColumn id="1" xr3:uid="{00000000-0010-0000-6E00-000001000000}" name="Column1" dataDxfId="1854"/>
    <tableColumn id="2" xr3:uid="{00000000-0010-0000-6E00-000002000000}" name="Column2" dataDxfId="185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5 Eligibility Standard" altTextSummary="This table automatically calculates the change in enrollment for Year 5 to determine whether the LEA can apply exception (b). This table is for the eligibility standard."/>
    </ext>
  </extLst>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F000000}" name="ExcBFundsDataYear5Budget" displayName="ExcBFundsDataYear5Budget" ref="A30:C32" totalsRowShown="0" headerRowDxfId="1852" dataDxfId="1850" headerRowBorderDxfId="1851" tableBorderDxfId="1849" totalsRowBorderDxfId="1848">
  <tableColumns count="3">
    <tableColumn id="1" xr3:uid="{00000000-0010-0000-6F00-000001000000}" name="Column1" dataDxfId="1847"/>
    <tableColumn id="2" xr3:uid="{00000000-0010-0000-6F00-000002000000}" name="Total Local Funds" dataDxfId="1846">
      <calculatedColumnFormula>'2. Getting Started'!C17</calculatedColumnFormula>
    </tableColumn>
    <tableColumn id="3" xr3:uid="{00000000-0010-0000-6F00-000003000000}" name="Total State and Local Funds" dataDxfId="1845">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5 Eligiblity Standard" altTextSummary="This table automatically calculates the projected reduction based on a decrease in enrollment for Year 5. This table is for the eligibility standard and uses budget data. The row for Projected Reduction will be blank if there is no decrease in child count."/>
    </ext>
  </extLst>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70000000}" name="ExcADepartingDataYear5Expenditures" displayName="ExcADepartingDataYear5Expenditures" ref="H7:M13" totalsRowShown="0" headerRowDxfId="1844" dataDxfId="1842" headerRowBorderDxfId="1843" tableBorderDxfId="1841">
  <tableColumns count="6">
    <tableColumn id="1" xr3:uid="{00000000-0010-0000-7000-000001000000}" name="Position Title" dataDxfId="1840"/>
    <tableColumn id="2" xr3:uid="{00000000-0010-0000-7000-000002000000}" name="Employee Name" dataDxfId="1839"/>
    <tableColumn id="3" xr3:uid="{00000000-0010-0000-7000-000003000000}" name="Reason for Leaving" dataDxfId="1838"/>
    <tableColumn id="4" xr3:uid="{00000000-0010-0000-7000-000004000000}" name="Salary" dataDxfId="1837" dataCellStyle="Currency"/>
    <tableColumn id="5" xr3:uid="{00000000-0010-0000-7000-000005000000}" name="Benefits" dataDxfId="1836" dataCellStyle="Currency"/>
    <tableColumn id="8" xr3:uid="{00000000-0010-0000-7000-000008000000}" name="Total Expenditures" dataDxfId="183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5 Compliance Standard" altTextSummary="Users can enter data in this table for any departing personnel for Year 5. This table is for the compliance standard and is based on final expenditures."/>
    </ext>
  </extLst>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71000000}" name="ExcAReplaceDataYear5Expenditures" displayName="ExcAReplaceDataYear5Expenditures" ref="H15:M21" totalsRowShown="0" headerRowDxfId="1834" dataDxfId="1832" headerRowBorderDxfId="1833" tableBorderDxfId="1831">
  <tableColumns count="6">
    <tableColumn id="1" xr3:uid="{00000000-0010-0000-7100-000001000000}" name="Position Title" dataDxfId="1830"/>
    <tableColumn id="2" xr3:uid="{00000000-0010-0000-7100-000002000000}" name="Employee Name" dataDxfId="1829"/>
    <tableColumn id="3" xr3:uid="{00000000-0010-0000-7100-000003000000}" name="This column intentionally left blank" dataDxfId="1828"/>
    <tableColumn id="4" xr3:uid="{00000000-0010-0000-7100-000004000000}" name="Salary" dataDxfId="1827" dataCellStyle="Currency"/>
    <tableColumn id="5" xr3:uid="{00000000-0010-0000-7100-000005000000}" name="Benefits" dataDxfId="1826" dataCellStyle="Currency"/>
    <tableColumn id="8" xr3:uid="{00000000-0010-0000-7100-000008000000}" name="Total Expenditures" dataDxfId="182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5 Compliance Standard" altTextSummary="Users can enter data in this table for any replacement personnel for Year 5. This table is for the compliance standard and is based on final expenditures."/>
    </ext>
  </extLst>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72000000}" name="ExcDDataYear5Expenditures" displayName="ExcDDataYear5Expenditures" ref="H47:I53" totalsRowShown="0" headerRowDxfId="1824" dataDxfId="1822" headerRowBorderDxfId="1823" tableBorderDxfId="1821">
  <tableColumns count="2">
    <tableColumn id="1" xr3:uid="{00000000-0010-0000-7200-000001000000}" name="Description" dataDxfId="1820"/>
    <tableColumn id="2" xr3:uid="{00000000-0010-0000-7200-000002000000}" name="Cost in Final Year of Expenditure" dataDxfId="181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5 Compliance Standard" altTextSummary="Users can enter data in this table for the termination of costly expenditures for long-term purchases for Year 5. This table is for the compliance standard and is based on final expenditures."/>
    </ext>
  </extLst>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73000000}" name="AdjDataYear5Expenditures" displayName="AdjDataYear5Expenditures" ref="H71:I72" totalsRowShown="0" headerRowDxfId="1818" dataDxfId="1816" headerRowBorderDxfId="1817" tableBorderDxfId="1815" totalsRowBorderDxfId="1814">
  <tableColumns count="2">
    <tableColumn id="1" xr3:uid="{00000000-0010-0000-7300-000001000000}" name="Column1" dataDxfId="1813"/>
    <tableColumn id="2" xr3:uid="{00000000-0010-0000-7300-000002000000}" name="Adjustment " dataDxfId="1812"/>
  </tableColumns>
  <tableStyleInfo name="TableStyleMedium9" showFirstColumn="0" showLastColumn="0" showRowStripes="0" showColumnStripes="0"/>
  <extLst>
    <ext xmlns:x14="http://schemas.microsoft.com/office/spreadsheetml/2009/9/main" uri="{504A1905-F514-4f6f-8877-14C23A59335A}">
      <x14:table altText="MOE Adjustment Data Entry for Year 5 Compliance Standard" altTextSummary="Users can enter data in this table for the Adjustment to MOE for Year 5. This table is for the compliance standard and is based on final expenditures. Use IDC's MOE Reduction Decision Tree and Calculator to determine the adjustment amount."/>
    </ext>
  </extLst>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74000000}" name="ExcCDataYear5Expenditures" displayName="ExcCDataYear5Expenditures" ref="H37:J43" totalsRowShown="0" headerRowDxfId="1811" dataDxfId="1810" tableBorderDxfId="1809">
  <tableColumns count="3">
    <tableColumn id="1" xr3:uid="{00000000-0010-0000-7400-000001000000}" name="Student Identifier" dataDxfId="1808"/>
    <tableColumn id="2" xr3:uid="{00000000-0010-0000-7400-000002000000}" name="Reason" dataDxfId="1807"/>
    <tableColumn id="3" xr3:uid="{00000000-0010-0000-7400-000003000000}" name="Expenditures" dataDxfId="180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5 Compliance Standard" altTextSummary="Users can enter data in this table for the termination of the obligation to provide special education to a particular student that is an exceptionally costly program projected for Year 5. This table is for the compliance standard and is based on final expenditures."/>
    </ext>
  </extLst>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5000000}" name="ExcEDataYear5Expenditures" displayName="ExcEDataYear5Expenditures" ref="H57:I63" totalsRowShown="0" headerRowDxfId="1805" tableBorderDxfId="1804">
  <tableColumns count="2">
    <tableColumn id="1" xr3:uid="{00000000-0010-0000-7500-000001000000}" name="Student Identifier" dataDxfId="1803"/>
    <tableColumn id="2" xr3:uid="{00000000-0010-0000-7500-000002000000}" name="Cost Assumed by SEA" dataDxfId="180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5 Compliance Standard" altTextSummary="Users can enter data for the assumption of cost by the high cost fund operated by the SEA for Year 5. This table is for the compliance standard and uses final expenditures. The table will not calculate a total if tab 3b indicates that the SEA does not have a high cost fund in Year 5."/>
    </ext>
  </extLst>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76000000}" name="ExcBChildCountDataYear5Expenditures" displayName="ExcBChildCountDataYear5Expenditures" ref="H25:I29" totalsRowShown="0" headerRowDxfId="1801" dataDxfId="1800">
  <tableColumns count="2">
    <tableColumn id="1" xr3:uid="{00000000-0010-0000-7600-000001000000}" name="Column1" dataDxfId="1799"/>
    <tableColumn id="2" xr3:uid="{00000000-0010-0000-7600-000002000000}" name="Column2" dataDxfId="179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5 Compliance Standard" altTextSummary="This table automatically calculates the change in enrollment for Year 5 to determine whether the LEA can apply exception (b). This table is for the compliance standar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3000000}" name="AdjDataYear4Budget" displayName="AdjDataYear4Budget" ref="A71:B72" totalsRowShown="0" headerRowDxfId="2542" dataDxfId="2540" headerRowBorderDxfId="2541" tableBorderDxfId="2539" totalsRowBorderDxfId="2538">
  <tableColumns count="2">
    <tableColumn id="1" xr3:uid="{00000000-0010-0000-5300-000001000000}" name="Column1" dataDxfId="2537"/>
    <tableColumn id="2" xr3:uid="{00000000-0010-0000-5300-000002000000}" name="Projected Adjustment" dataDxfId="2536"/>
  </tableColumns>
  <tableStyleInfo name="TableStyleMedium9" showFirstColumn="0" showLastColumn="0" showRowStripes="0" showColumnStripes="0"/>
  <extLst>
    <ext xmlns:x14="http://schemas.microsoft.com/office/spreadsheetml/2009/9/main" uri="{504A1905-F514-4f6f-8877-14C23A59335A}">
      <x14:table altText="MOE Adjustment Data Entry for Year 4 Eligiblity Standard" altTextSummary="Users can enter data in this table for the projected Adjustment to MOE for Year 4. This table is for the eligiblity standard and is based on budget amounts. Use IDC's MOE Reduction Decision Tree and Calculator to determine the adjustment amount."/>
    </ext>
  </extLst>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7000000}" name="ExcBFundsDataYear5Expenditures" displayName="ExcBFundsDataYear5Expenditures" ref="H30:J32" totalsRowShown="0" headerRowDxfId="1797" dataDxfId="1795" headerRowBorderDxfId="1796" tableBorderDxfId="1794" totalsRowBorderDxfId="1793">
  <tableColumns count="3">
    <tableColumn id="1" xr3:uid="{00000000-0010-0000-7700-000001000000}" name="Column1" dataDxfId="1792"/>
    <tableColumn id="2" xr3:uid="{00000000-0010-0000-7700-000002000000}" name="Local Total" dataDxfId="1791"/>
    <tableColumn id="3" xr3:uid="{00000000-0010-0000-7700-000003000000}" name="State and Local Total" dataDxfId="1790"/>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5 Compliance Standard" altTextSummary="This table automatically calculates the reduction based on a decrease in enrollment for Year 5. This table is for the compliance standard and uses final expenditures. The row for Allowed Reduction will be blank and blacked out if there is no decrease in child count."/>
    </ext>
  </extLst>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78000000}" name="TotalBudgetedExcYear5" displayName="TotalBudgetedExcYear5" ref="A66:B68" totalsRowShown="0" headerRowDxfId="1789" headerRowBorderDxfId="1788" tableBorderDxfId="1787" totalsRowBorderDxfId="1786">
  <autoFilter ref="A66:B68" xr:uid="{00000000-0009-0000-0100-0000D7000000}">
    <filterColumn colId="0" hiddenButton="1"/>
    <filterColumn colId="1" hiddenButton="1"/>
  </autoFilter>
  <tableColumns count="2">
    <tableColumn id="1" xr3:uid="{00000000-0010-0000-7800-000001000000}" name="Source" dataDxfId="1785" dataCellStyle="Normal 2"/>
    <tableColumn id="2" xr3:uid="{00000000-0010-0000-7800-000002000000}" name="Total" dataDxfId="1784"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5 Eligibility Standard" altTextSummary="This table displays the total projected exceptions entered for the eligibility standard for Year 5."/>
    </ext>
  </extLst>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79000000}" name="TotalExpendituresExcYear5" displayName="TotalExpendituresExcYear5" ref="H66:I68" totalsRowShown="0" headerRowDxfId="1783" headerRowBorderDxfId="1782" tableBorderDxfId="1781" totalsRowBorderDxfId="1780">
  <autoFilter ref="H66:I68" xr:uid="{00000000-0009-0000-0100-0000D8000000}">
    <filterColumn colId="0" hiddenButton="1"/>
    <filterColumn colId="1" hiddenButton="1"/>
  </autoFilter>
  <tableColumns count="2">
    <tableColumn id="1" xr3:uid="{00000000-0010-0000-7900-000001000000}" name="Source" dataDxfId="1779" dataCellStyle="Normal 2"/>
    <tableColumn id="2" xr3:uid="{00000000-0010-0000-7900-000002000000}" name="Total" dataDxfId="1778"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5 Compliance Standard" altTextSummary="This table displays the total exceptions entered for the compliance standard for Year 5."/>
    </ext>
  </extLst>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7A000000}" name="EligibilityYear5" displayName="EligibilityYear5" ref="A5:E10" totalsRowShown="0" headerRowDxfId="1777" headerRowBorderDxfId="1776" tableBorderDxfId="1775" totalsRowBorderDxfId="1774">
  <autoFilter ref="A5:E10" xr:uid="{00000000-0009-0000-0100-0000D9000000}">
    <filterColumn colId="0" hiddenButton="1"/>
    <filterColumn colId="1" hiddenButton="1"/>
    <filterColumn colId="2" hiddenButton="1"/>
    <filterColumn colId="3" hiddenButton="1"/>
    <filterColumn colId="4" hiddenButton="1"/>
  </autoFilter>
  <tableColumns count="5">
    <tableColumn id="1" xr3:uid="{00000000-0010-0000-7A00-000001000000}" name="MOE Information" dataDxfId="1773"/>
    <tableColumn id="2" xr3:uid="{00000000-0010-0000-7A00-000002000000}" name="Total Local Funds"/>
    <tableColumn id="3" xr3:uid="{00000000-0010-0000-7A00-000003000000}" name="Total State and Local Funds"/>
    <tableColumn id="4" xr3:uid="{00000000-0010-0000-7A00-000004000000}" name="Local Funds Per Capita"/>
    <tableColumn id="5" xr3:uid="{00000000-0010-0000-7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5 Eligibility Standard" altTextSummary="This table displays MOE amounts and results for the eligibility standard for Year 5."/>
    </ext>
  </extLst>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7B000000}" name="ComplianceYear5" displayName="ComplianceYear5" ref="A13:E18" totalsRowShown="0" headerRowDxfId="1772" headerRowBorderDxfId="1771" tableBorderDxfId="1770" totalsRowBorderDxfId="1769">
  <autoFilter ref="A13:E18" xr:uid="{00000000-0009-0000-0100-0000DA000000}">
    <filterColumn colId="0" hiddenButton="1"/>
    <filterColumn colId="1" hiddenButton="1"/>
    <filterColumn colId="2" hiddenButton="1"/>
    <filterColumn colId="3" hiddenButton="1"/>
    <filterColumn colId="4" hiddenButton="1"/>
  </autoFilter>
  <tableColumns count="5">
    <tableColumn id="1" xr3:uid="{00000000-0010-0000-7B00-000001000000}" name="MOE Information" dataDxfId="1768"/>
    <tableColumn id="2" xr3:uid="{00000000-0010-0000-7B00-000002000000}" name="Total Local Funds" dataDxfId="1767"/>
    <tableColumn id="3" xr3:uid="{00000000-0010-0000-7B00-000003000000}" name="Total State and Local Funds" dataDxfId="1766"/>
    <tableColumn id="4" xr3:uid="{00000000-0010-0000-7B00-000004000000}" name="Local Funds Per Capita" dataDxfId="1765"/>
    <tableColumn id="5" xr3:uid="{00000000-0010-0000-7B00-000005000000}" name="State and Local Funds Per Capita" dataDxfId="1764"/>
  </tableColumns>
  <tableStyleInfo name="TableStyleLight18" showFirstColumn="0" showLastColumn="0" showRowStripes="0" showColumnStripes="0"/>
  <extLst>
    <ext xmlns:x14="http://schemas.microsoft.com/office/spreadsheetml/2009/9/main" uri="{504A1905-F514-4f6f-8877-14C23A59335A}">
      <x14:table altText="Year 5 Compliance Standard" altTextSummary="This table displays MOE amounts and results for the compliance standard for Year 5."/>
    </ext>
  </extLst>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7C000000}" name="RepaymentYear5" displayName="RepaymentYear5" ref="A21:B27" totalsRowShown="0" headerRowBorderDxfId="1763" tableBorderDxfId="1762" totalsRowBorderDxfId="1761">
  <autoFilter ref="A21:B27" xr:uid="{00000000-0009-0000-0100-0000DB000000}">
    <filterColumn colId="0" hiddenButton="1"/>
    <filterColumn colId="1" hiddenButton="1"/>
  </autoFilter>
  <tableColumns count="2">
    <tableColumn id="1" xr3:uid="{00000000-0010-0000-7C00-000001000000}" name="Repayment data" dataDxfId="1760"/>
    <tableColumn id="2" xr3:uid="{00000000-0010-0000-7C00-000002000000}" name="Data for Year 5"/>
  </tableColumns>
  <tableStyleInfo name="TableStyleLight18" showFirstColumn="0" showLastColumn="0" showRowStripes="0" showColumnStripes="0"/>
  <extLst>
    <ext xmlns:x14="http://schemas.microsoft.com/office/spreadsheetml/2009/9/main" uri="{504A1905-F514-4f6f-8877-14C23A59335A}">
      <x14:table altText="Year 5 Repayment" altTextSummary="This table calculates the repayment amount for Year 5 if the LEA fails MOE by all four methods for the compliance standard. Users must enter data for IDEA allocations."/>
    </ext>
  </extLst>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00000000-000C-0000-FFFF-FFFF7D000000}" name="ExcAdjSummaryYear5" displayName="ExcAdjSummaryYear5" ref="A33:E40" totalsRowShown="0" headerRowDxfId="1759" headerRowBorderDxfId="1758" tableBorderDxfId="1757" totalsRowBorderDxfId="1756">
  <autoFilter ref="A33:E40" xr:uid="{00000000-0009-0000-0100-000055010000}">
    <filterColumn colId="0" hiddenButton="1"/>
    <filterColumn colId="1" hiddenButton="1"/>
    <filterColumn colId="2" hiddenButton="1"/>
    <filterColumn colId="3" hiddenButton="1"/>
    <filterColumn colId="4" hiddenButton="1"/>
  </autoFilter>
  <tableColumns count="5">
    <tableColumn id="1" xr3:uid="{00000000-0010-0000-7D00-000001000000}" name="Exception or Adjustment" dataDxfId="1755"/>
    <tableColumn id="2" xr3:uid="{00000000-0010-0000-7D00-000002000000}" name="Projected Local Funds" dataDxfId="1754"/>
    <tableColumn id="3" xr3:uid="{00000000-0010-0000-7D00-000003000000}" name="Projected State and Local Funds" dataDxfId="1753"/>
    <tableColumn id="4" xr3:uid="{00000000-0010-0000-7D00-000004000000}" name="Local Funds" dataDxfId="1752"/>
    <tableColumn id="5" xr3:uid="{00000000-0010-0000-7D00-000005000000}" name="State and Local Funds" dataDxfId="1751"/>
  </tableColumns>
  <tableStyleInfo name="TableStyleLight18" showFirstColumn="0" showLastColumn="0" showRowStripes="0" showColumnStripes="0"/>
  <extLst>
    <ext xmlns:x14="http://schemas.microsoft.com/office/spreadsheetml/2009/9/main" uri="{504A1905-F514-4f6f-8877-14C23A59335A}">
      <x14:table altText="Exceptions and Adjustment Summary for Year 5" altTextSummary="This table presents a summary of all exceptions taken for Year 5. Detailed data on the exceptions are entered on the Exc &amp; Adj tab for Year 5."/>
    </ext>
  </extLst>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7E000000}" name="BudgetYear6" displayName="BudgetYear6" ref="A4:F31" totalsRowShown="0" headerRowDxfId="1750" tableBorderDxfId="1749">
  <tableColumns count="6">
    <tableColumn id="1" xr3:uid="{00000000-0010-0000-7E00-000001000000}" name="Object Description" dataDxfId="1748"/>
    <tableColumn id="2" xr3:uid="{00000000-0010-0000-7E00-000002000000}" name="Code 1" dataDxfId="1747"/>
    <tableColumn id="7" xr3:uid="{00000000-0010-0000-7E00-000007000000}" name="Code 2" dataDxfId="1746"/>
    <tableColumn id="3" xr3:uid="{00000000-0010-0000-7E00-000003000000}" name="Local" dataDxfId="1745" dataCellStyle="Currency"/>
    <tableColumn id="4" xr3:uid="{00000000-0010-0000-7E00-000004000000}" name="State" dataDxfId="1744" dataCellStyle="Currency"/>
    <tableColumn id="5" xr3:uid="{00000000-0010-0000-7E00-000005000000}" name="State and Local" dataDxfId="1743"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6" altTextSummary="In this table, users will enter their budget amounts for Year 6. The column headers for the first three columns are unlocked and can be edited. If the LEA cannot separately budget for state and local funds, leave the Local column blank."/>
    </ext>
  </extLst>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7F000000}" name="ExpendituresYear6" displayName="ExpendituresYear6" ref="H4:M31" totalsRowShown="0" headerRowDxfId="1742" tableBorderDxfId="1741">
  <tableColumns count="6">
    <tableColumn id="1" xr3:uid="{00000000-0010-0000-7F00-000001000000}" name="Object Description" dataDxfId="1740"/>
    <tableColumn id="2" xr3:uid="{00000000-0010-0000-7F00-000002000000}" name="Code" dataDxfId="1739"/>
    <tableColumn id="6" xr3:uid="{00000000-0010-0000-7F00-000006000000}" name="Code 2" dataDxfId="1738"/>
    <tableColumn id="3" xr3:uid="{00000000-0010-0000-7F00-000003000000}" name="Local" dataDxfId="1737" dataCellStyle="Currency"/>
    <tableColumn id="4" xr3:uid="{00000000-0010-0000-7F00-000004000000}" name="State" dataDxfId="1736" dataCellStyle="Currency"/>
    <tableColumn id="5" xr3:uid="{00000000-0010-0000-7F00-000005000000}" name="State and Local" dataDxfId="1735"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6" altTextSummary="In this table, users will enter the LEA's final expenditures for Year 6. The column headers for the first three columns are unlocked and can be edited. If the LEA cannot separately budget for state and local funds, leave the Local column blank."/>
    </ext>
  </extLst>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80000000}" name="ExcADepartingDataYear6Budget" displayName="ExcADepartingDataYear6Budget" ref="A7:F13" totalsRowShown="0" headerRowDxfId="1734" dataDxfId="1732" headerRowBorderDxfId="1733" tableBorderDxfId="1731">
  <tableColumns count="6">
    <tableColumn id="1" xr3:uid="{00000000-0010-0000-8000-000001000000}" name="Position Title" dataDxfId="1730"/>
    <tableColumn id="2" xr3:uid="{00000000-0010-0000-8000-000002000000}" name="Employee Name" dataDxfId="1729"/>
    <tableColumn id="3" xr3:uid="{00000000-0010-0000-8000-000003000000}" name="Reason for Leaving" dataDxfId="1728"/>
    <tableColumn id="4" xr3:uid="{00000000-0010-0000-8000-000004000000}" name="Salary" dataDxfId="1727" dataCellStyle="Currency"/>
    <tableColumn id="5" xr3:uid="{00000000-0010-0000-8000-000005000000}" name="Benefits" dataDxfId="1726" dataCellStyle="Currency"/>
    <tableColumn id="8" xr3:uid="{00000000-0010-0000-8000-000008000000}" name="Total Budget" dataDxfId="172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6 Eligiblity Standard" altTextSummary="Users can enter data in this table for any departing personnel projected for Year 6. This table is for the eligiblity standard and is based on budget amounts."/>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4000000}" name="ExcCDataYear4Budget" displayName="ExcCDataYear4Budget" ref="A37:C43" totalsRowShown="0" headerRowDxfId="2535" dataDxfId="2534" tableBorderDxfId="2533">
  <tableColumns count="3">
    <tableColumn id="1" xr3:uid="{00000000-0010-0000-5400-000001000000}" name="Student Identifier" dataDxfId="2532"/>
    <tableColumn id="2" xr3:uid="{00000000-0010-0000-5400-000002000000}" name="Reason" dataDxfId="2531"/>
    <tableColumn id="3" xr3:uid="{00000000-0010-0000-5400-000003000000}" name="Budgeted Cost" dataDxfId="2530"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4 Eligiblity Standard" altTextSummary="Users can enter data in this table for the projected termination of the obligation to provide special education to a particular student that is an exceptionally costly program projected for Year 4. This table is for the eligiblity standard and is based on budget amounts."/>
    </ext>
  </extLst>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81000000}" name="ExcAReplaceDataYear6Budget" displayName="ExcAReplaceDataYear6Budget" ref="A15:F21" totalsRowShown="0" headerRowDxfId="1724" dataDxfId="1722" headerRowBorderDxfId="1723" tableBorderDxfId="1721">
  <tableColumns count="6">
    <tableColumn id="1" xr3:uid="{00000000-0010-0000-8100-000001000000}" name="Position Title" dataDxfId="1720"/>
    <tableColumn id="2" xr3:uid="{00000000-0010-0000-8100-000002000000}" name="Employee Name" dataDxfId="1719"/>
    <tableColumn id="3" xr3:uid="{00000000-0010-0000-8100-000003000000}" name="This column intentionally left blank" dataDxfId="1718"/>
    <tableColumn id="4" xr3:uid="{00000000-0010-0000-8100-000004000000}" name="Salary" dataDxfId="1717" dataCellStyle="Currency"/>
    <tableColumn id="5" xr3:uid="{00000000-0010-0000-8100-000005000000}" name="Benefits" dataDxfId="1716" dataCellStyle="Currency"/>
    <tableColumn id="8" xr3:uid="{00000000-0010-0000-8100-000008000000}" name="Total Budget" dataDxfId="171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6 Eligibility Standard" altTextSummary="Users can enter data in this table for any replacement personnel projected for Year 6. This table is for the eligiblity standard and is based on budget amounts."/>
    </ext>
  </extLst>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82000000}" name="ExcDDataYear6Budget" displayName="ExcDDataYear6Budget" ref="A47:B53" totalsRowShown="0" headerRowDxfId="1714" dataDxfId="1712" headerRowBorderDxfId="1713" tableBorderDxfId="1711">
  <tableColumns count="2">
    <tableColumn id="1" xr3:uid="{00000000-0010-0000-8200-000001000000}" name="Description" dataDxfId="1710"/>
    <tableColumn id="2" xr3:uid="{00000000-0010-0000-8200-000002000000}" name="Budgeted Cost in Final Year" dataDxfId="170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6 Eligiblity Standard" altTextSummary="Users can enter data in this table for the projected termination of costly expenditures for long-term purchases for Year 6. This table is for the eligiblity standard and is based on budget amounts."/>
    </ext>
  </extLst>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83000000}" name="AdjDataYear6Budget" displayName="AdjDataYear6Budget" ref="A71:B72" totalsRowShown="0" headerRowDxfId="1708" dataDxfId="1706" headerRowBorderDxfId="1707" tableBorderDxfId="1705" totalsRowBorderDxfId="1704">
  <tableColumns count="2">
    <tableColumn id="1" xr3:uid="{00000000-0010-0000-8300-000001000000}" name="Column1" dataDxfId="1703"/>
    <tableColumn id="2" xr3:uid="{00000000-0010-0000-8300-000002000000}" name="Projected Adjustment" dataDxfId="1702"/>
  </tableColumns>
  <tableStyleInfo name="TableStyleMedium9" showFirstColumn="0" showLastColumn="0" showRowStripes="0" showColumnStripes="0"/>
  <extLst>
    <ext xmlns:x14="http://schemas.microsoft.com/office/spreadsheetml/2009/9/main" uri="{504A1905-F514-4f6f-8877-14C23A59335A}">
      <x14:table altText="MOE Adjustment Data Entry for Year 6 Eligiblity Standard" altTextSummary="Users can enter data in this table for the projected Adjustment to MOE for Year 6. This table is for the eligiblity standard and is based on budget amounts. Use IDC's MOE Reduction Decision Tree and Calculator to determine the adjustment amount."/>
    </ext>
  </extLst>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4000000}" name="ExcCDataYear6Budget" displayName="ExcCDataYear6Budget" ref="A37:C43" totalsRowShown="0" headerRowDxfId="1701" dataDxfId="1700" tableBorderDxfId="1699">
  <tableColumns count="3">
    <tableColumn id="1" xr3:uid="{00000000-0010-0000-8400-000001000000}" name="Student Identifier" dataDxfId="1698"/>
    <tableColumn id="2" xr3:uid="{00000000-0010-0000-8400-000002000000}" name="Reason" dataDxfId="1697"/>
    <tableColumn id="3" xr3:uid="{00000000-0010-0000-8400-000003000000}" name="Budgeted Cost" dataDxfId="169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6 Eligiblity Standard" altTextSummary="Users can enter data in this table for the projected termination of the obligation to provide special education to a particular student that is an exceptionally costly program projected for Year 6. This table is for the eligiblity standard and is based on budget amounts."/>
    </ext>
  </extLst>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85000000}" name="ExcEDataYear6Budget" displayName="ExcEDataYear6Budget" ref="A57:B63" totalsRowShown="0" headerRowDxfId="1695" tableBorderDxfId="1694">
  <tableColumns count="2">
    <tableColumn id="1" xr3:uid="{00000000-0010-0000-8500-000001000000}" name="Student Identifier" dataDxfId="1693"/>
    <tableColumn id="2" xr3:uid="{00000000-0010-0000-8500-000002000000}" name="Budgeted Cost Assumed by SEA" dataDxfId="169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6 Eligiblity Standard" altTextSummary="Users can enter data for the projected assumption of cost by the high cost fund operated by the SEA for Year 6. This table is for the eligibility standard and uses budget data. The table will not calculate a total if tab 3b indicates that the SEA does not have a high cost fund in Year 6."/>
    </ext>
  </extLst>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6000000}" name="ExcBChildCountDataYear6Budget" displayName="ExcBChildCountDataYear6Budget" ref="A25:B29" totalsRowShown="0" headerRowDxfId="1691" dataDxfId="1690">
  <tableColumns count="2">
    <tableColumn id="1" xr3:uid="{00000000-0010-0000-8600-000001000000}" name="Column1" dataDxfId="1689"/>
    <tableColumn id="2" xr3:uid="{00000000-0010-0000-8600-000002000000}" name="Column2" dataDxfId="168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6 Eligibility Standard" altTextSummary="This table automatically calculates the change in enrollment for Year 6 to determine whether the LEA can apply exception (b). This table is for the eligibility standard."/>
    </ext>
  </extLst>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87000000}" name="ExcBFundsDataYear6Budget" displayName="ExcBFundsDataYear6Budget" ref="A30:C32" totalsRowShown="0" headerRowDxfId="1687" dataDxfId="1685" headerRowBorderDxfId="1686" tableBorderDxfId="1684" totalsRowBorderDxfId="1683">
  <tableColumns count="3">
    <tableColumn id="1" xr3:uid="{00000000-0010-0000-8700-000001000000}" name="Column1" dataDxfId="1682"/>
    <tableColumn id="2" xr3:uid="{00000000-0010-0000-8700-000002000000}" name="Total Local Funds" dataDxfId="1681">
      <calculatedColumnFormula>'2. Getting Started'!C17</calculatedColumnFormula>
    </tableColumn>
    <tableColumn id="3" xr3:uid="{00000000-0010-0000-8700-000003000000}" name="Total State and Local Funds" dataDxfId="1680">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6 Eligiblity Standard" altTextSummary="This table automatically calculates the projected reduction based on a decrease in enrollment for Year 6. This table is for the eligibility standard and uses budget data. The row for Projected Reduction will be blank if there is no decrease in child count."/>
    </ext>
  </extLst>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88000000}" name="ExcADepartingDataYear6Expenditures" displayName="ExcADepartingDataYear6Expenditures" ref="H7:M13" totalsRowShown="0" headerRowDxfId="1679" dataDxfId="1677" headerRowBorderDxfId="1678" tableBorderDxfId="1676">
  <tableColumns count="6">
    <tableColumn id="1" xr3:uid="{00000000-0010-0000-8800-000001000000}" name="Position Title" dataDxfId="1675"/>
    <tableColumn id="2" xr3:uid="{00000000-0010-0000-8800-000002000000}" name="Employee Name" dataDxfId="1674"/>
    <tableColumn id="3" xr3:uid="{00000000-0010-0000-8800-000003000000}" name="Reason for Leaving" dataDxfId="1673"/>
    <tableColumn id="4" xr3:uid="{00000000-0010-0000-8800-000004000000}" name="Salary" dataDxfId="1672" dataCellStyle="Currency"/>
    <tableColumn id="5" xr3:uid="{00000000-0010-0000-8800-000005000000}" name="Benefits" dataDxfId="1671" dataCellStyle="Currency"/>
    <tableColumn id="8" xr3:uid="{00000000-0010-0000-8800-000008000000}" name="Total Expenditures" dataDxfId="167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6 Compliance Standard" altTextSummary="Users can enter data in this table for any departing personnel for Year 6. This table is for the compliance standard and is based on final expenditures."/>
    </ext>
  </extLst>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89000000}" name="ExcAReplaceDataYear6Expenditures" displayName="ExcAReplaceDataYear6Expenditures" ref="H15:M21" totalsRowShown="0" headerRowDxfId="1669" dataDxfId="1667" headerRowBorderDxfId="1668" tableBorderDxfId="1666">
  <tableColumns count="6">
    <tableColumn id="1" xr3:uid="{00000000-0010-0000-8900-000001000000}" name="Position Title" dataDxfId="1665"/>
    <tableColumn id="2" xr3:uid="{00000000-0010-0000-8900-000002000000}" name="Employee Name" dataDxfId="1664"/>
    <tableColumn id="3" xr3:uid="{00000000-0010-0000-8900-000003000000}" name="This column intentionally left blank" dataDxfId="1663"/>
    <tableColumn id="4" xr3:uid="{00000000-0010-0000-8900-000004000000}" name="Salary" dataDxfId="1662" dataCellStyle="Currency"/>
    <tableColumn id="5" xr3:uid="{00000000-0010-0000-8900-000005000000}" name="Benefits" dataDxfId="1661" dataCellStyle="Currency"/>
    <tableColumn id="8" xr3:uid="{00000000-0010-0000-8900-000008000000}" name="Total Expenditures" dataDxfId="166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6 Compliance Standard" altTextSummary="Users can enter data in this table for any replacement personnel for Year 6. This table is for the compliance standard and is based on final expenditures."/>
    </ext>
  </extLst>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8A000000}" name="ExcDDataYear6Expenditures" displayName="ExcDDataYear6Expenditures" ref="H47:I53" totalsRowShown="0" headerRowDxfId="1659" dataDxfId="1657" headerRowBorderDxfId="1658" tableBorderDxfId="1656">
  <tableColumns count="2">
    <tableColumn id="1" xr3:uid="{00000000-0010-0000-8A00-000001000000}" name="Description" dataDxfId="1655"/>
    <tableColumn id="2" xr3:uid="{00000000-0010-0000-8A00-000002000000}" name="Cost in Final Year of Expenditure" dataDxfId="165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6 Compliance Standard" altTextSummary="Users can enter data in this table for the termination of costly expenditures for long-term purchases for Year 6. This table is for the compliance standard and is based on final expenditures."/>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5000000}" name="ExcEDataYear4Budget" displayName="ExcEDataYear4Budget" ref="A57:B63" totalsRowShown="0" headerRowDxfId="2529" tableBorderDxfId="2528">
  <tableColumns count="2">
    <tableColumn id="1" xr3:uid="{00000000-0010-0000-5500-000001000000}" name="Student Identifier" dataDxfId="2527"/>
    <tableColumn id="2" xr3:uid="{00000000-0010-0000-5500-000002000000}" name="Budgeted Cost Assumed by SEA" dataDxfId="2526"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4 Eligiblity Standard" altTextSummary="Users can enter data for the projected assumption of cost by the high cost fund operated by the SEA for Year 4. This table is for the eligibility standard and uses budget data. The table will not calculate a total if tab 3b indicates that the SEA does not have a high cost fund in Year 4."/>
    </ext>
  </extLst>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8B000000}" name="AdjDataYear6Expenditures" displayName="AdjDataYear6Expenditures" ref="H71:I72" totalsRowShown="0" headerRowDxfId="1653" dataDxfId="1651" headerRowBorderDxfId="1652" tableBorderDxfId="1650" totalsRowBorderDxfId="1649">
  <tableColumns count="2">
    <tableColumn id="1" xr3:uid="{00000000-0010-0000-8B00-000001000000}" name="Column1" dataDxfId="1648"/>
    <tableColumn id="2" xr3:uid="{00000000-0010-0000-8B00-000002000000}" name="Adjustment " dataDxfId="1647"/>
  </tableColumns>
  <tableStyleInfo name="TableStyleMedium9" showFirstColumn="0" showLastColumn="0" showRowStripes="0" showColumnStripes="0"/>
  <extLst>
    <ext xmlns:x14="http://schemas.microsoft.com/office/spreadsheetml/2009/9/main" uri="{504A1905-F514-4f6f-8877-14C23A59335A}">
      <x14:table altText="MOE Adjustment Data Entry for Year 6 Compliance Standard" altTextSummary="Users can enter data in this table for the Adjustment to MOE for Year 6. This table is for the compliance standard and is based on final expenditures. Use IDC's MOE Reduction Decision Tree and Calculator to determine the adjustment amount."/>
    </ext>
  </extLst>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8C000000}" name="ExcCDataYear6Expenditures" displayName="ExcCDataYear6Expenditures" ref="H37:J43" totalsRowShown="0" headerRowDxfId="1646" dataDxfId="1645" tableBorderDxfId="1644">
  <tableColumns count="3">
    <tableColumn id="1" xr3:uid="{00000000-0010-0000-8C00-000001000000}" name="Student Identifier" dataDxfId="1643"/>
    <tableColumn id="2" xr3:uid="{00000000-0010-0000-8C00-000002000000}" name="Reason" dataDxfId="1642"/>
    <tableColumn id="3" xr3:uid="{00000000-0010-0000-8C00-000003000000}" name="Expenditures" dataDxfId="164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6 Compliance Standard" altTextSummary="Users can enter data in this table for the termination of the obligation to provide special education to a particular student that is an exceptionally costly program projected for Year 6. This table is for the compliance standard and is based on final expenditures."/>
    </ext>
  </extLst>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8D000000}" name="ExcEDataYear6Expenditures" displayName="ExcEDataYear6Expenditures" ref="H57:I63" totalsRowShown="0" headerRowDxfId="1640" tableBorderDxfId="1639">
  <tableColumns count="2">
    <tableColumn id="1" xr3:uid="{00000000-0010-0000-8D00-000001000000}" name="Student Identifier" dataDxfId="1638"/>
    <tableColumn id="2" xr3:uid="{00000000-0010-0000-8D00-000002000000}" name="Cost Assumed by SEA" dataDxfId="163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6 Compliance Standard" altTextSummary="Users can enter data for the assumption of cost by the high cost fund operated by the SEA for Year 6. This table is for the compliance standard and uses final expenditures. The table will not calculate a total if tab 3b indicates that the SEA does not have a high cost fund in Year 6."/>
    </ext>
  </extLst>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8E000000}" name="ExcBChildCountDataYear6Expenditures" displayName="ExcBChildCountDataYear6Expenditures" ref="H25:I29" totalsRowShown="0" headerRowDxfId="1636" dataDxfId="1635">
  <tableColumns count="2">
    <tableColumn id="1" xr3:uid="{00000000-0010-0000-8E00-000001000000}" name="Column1" dataDxfId="1634"/>
    <tableColumn id="2" xr3:uid="{00000000-0010-0000-8E00-000002000000}" name="Column2" dataDxfId="163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6 Compliance Standard" altTextSummary="This table automatically calculates the change in enrollment for Year 6 to determine whether the LEA can apply exception (b). This table is for the compliance standard."/>
    </ext>
  </extLst>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F000000}" name="ExcBFundsDataYear6Expenditures" displayName="ExcBFundsDataYear6Expenditures" ref="H30:J32" totalsRowShown="0" headerRowDxfId="1632" dataDxfId="1630" headerRowBorderDxfId="1631" tableBorderDxfId="1629" totalsRowBorderDxfId="1628">
  <tableColumns count="3">
    <tableColumn id="1" xr3:uid="{00000000-0010-0000-8F00-000001000000}" name="Column1" dataDxfId="1627"/>
    <tableColumn id="2" xr3:uid="{00000000-0010-0000-8F00-000002000000}" name="Local Total" dataDxfId="1626"/>
    <tableColumn id="3" xr3:uid="{00000000-0010-0000-8F00-000003000000}" name="State and Local Total" dataDxfId="1625"/>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6 Compliance Standard" altTextSummary="This table automatically calculates the reduction based on a decrease in enrollment for Year 6. This table is for the compliance standard and uses final expenditures. The row for Allowed Reduction will be blank and blacked out if there is no decrease in child count."/>
    </ext>
  </extLst>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90000000}" name="TotalBudgetedExcYear6" displayName="TotalBudgetedExcYear6" ref="A66:B68" totalsRowShown="0" headerRowDxfId="1624" headerRowBorderDxfId="1623" tableBorderDxfId="1622" totalsRowBorderDxfId="1621">
  <autoFilter ref="A66:B68" xr:uid="{00000000-0009-0000-0100-0000DC000000}">
    <filterColumn colId="0" hiddenButton="1"/>
    <filterColumn colId="1" hiddenButton="1"/>
  </autoFilter>
  <tableColumns count="2">
    <tableColumn id="1" xr3:uid="{00000000-0010-0000-9000-000001000000}" name="Source" dataDxfId="1620" dataCellStyle="Normal 2"/>
    <tableColumn id="2" xr3:uid="{00000000-0010-0000-9000-000002000000}" name="Total" dataDxfId="1619"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6 Eligibility Standard" altTextSummary="This table displays the total projected exceptions entered for the eligibility standard for Year 6."/>
    </ext>
  </extLst>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91000000}" name="TotalExpendituresExcYear6" displayName="TotalExpendituresExcYear6" ref="H66:I68" totalsRowShown="0" headerRowDxfId="1618" headerRowBorderDxfId="1617" tableBorderDxfId="1616" totalsRowBorderDxfId="1615">
  <autoFilter ref="H66:I68" xr:uid="{00000000-0009-0000-0100-0000DD000000}">
    <filterColumn colId="0" hiddenButton="1"/>
    <filterColumn colId="1" hiddenButton="1"/>
  </autoFilter>
  <tableColumns count="2">
    <tableColumn id="1" xr3:uid="{00000000-0010-0000-9100-000001000000}" name="Source" dataDxfId="1614" dataCellStyle="Normal 2"/>
    <tableColumn id="2" xr3:uid="{00000000-0010-0000-9100-000002000000}" name="Total" dataDxfId="1613"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6 Compliance Standard" altTextSummary="This table displays the total exceptions entered for the compliance standard for Year 6."/>
    </ext>
  </extLst>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92000000}" name="EligibilityYear6" displayName="EligibilityYear6" ref="A5:E10" totalsRowShown="0" headerRowDxfId="1612" headerRowBorderDxfId="1611" tableBorderDxfId="1610" totalsRowBorderDxfId="1609">
  <autoFilter ref="A5:E10" xr:uid="{00000000-0009-0000-0100-0000DE000000}">
    <filterColumn colId="0" hiddenButton="1"/>
    <filterColumn colId="1" hiddenButton="1"/>
    <filterColumn colId="2" hiddenButton="1"/>
    <filterColumn colId="3" hiddenButton="1"/>
    <filterColumn colId="4" hiddenButton="1"/>
  </autoFilter>
  <tableColumns count="5">
    <tableColumn id="1" xr3:uid="{00000000-0010-0000-9200-000001000000}" name="MOE Information" dataDxfId="1608"/>
    <tableColumn id="2" xr3:uid="{00000000-0010-0000-9200-000002000000}" name="Total Local Funds"/>
    <tableColumn id="3" xr3:uid="{00000000-0010-0000-9200-000003000000}" name="Total State and Local Funds"/>
    <tableColumn id="4" xr3:uid="{00000000-0010-0000-9200-000004000000}" name="Local Funds Per Capita"/>
    <tableColumn id="5" xr3:uid="{00000000-0010-0000-9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6 Eligibility Standard" altTextSummary="This table displays MOE amounts and results for the eligibility standard for Year 6."/>
    </ext>
  </extLst>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93000000}" name="ComplianceYear6" displayName="ComplianceYear6" ref="A13:E18" totalsRowShown="0" headerRowDxfId="1607" headerRowBorderDxfId="1606" tableBorderDxfId="1605" totalsRowBorderDxfId="1604">
  <autoFilter ref="A13:E18" xr:uid="{00000000-0009-0000-0100-0000DF000000}">
    <filterColumn colId="0" hiddenButton="1"/>
    <filterColumn colId="1" hiddenButton="1"/>
    <filterColumn colId="2" hiddenButton="1"/>
    <filterColumn colId="3" hiddenButton="1"/>
    <filterColumn colId="4" hiddenButton="1"/>
  </autoFilter>
  <tableColumns count="5">
    <tableColumn id="1" xr3:uid="{00000000-0010-0000-9300-000001000000}" name="MOE Information" dataDxfId="1603"/>
    <tableColumn id="2" xr3:uid="{00000000-0010-0000-9300-000002000000}" name="Total Local Funds" dataDxfId="1602"/>
    <tableColumn id="3" xr3:uid="{00000000-0010-0000-9300-000003000000}" name="Total State and Local Funds" dataDxfId="1601"/>
    <tableColumn id="4" xr3:uid="{00000000-0010-0000-9300-000004000000}" name="Local Funds Per Capita" dataDxfId="1600"/>
    <tableColumn id="5" xr3:uid="{00000000-0010-0000-9300-000005000000}" name="State and Local Funds Per Capita" dataDxfId="1599"/>
  </tableColumns>
  <tableStyleInfo name="TableStyleLight18" showFirstColumn="0" showLastColumn="0" showRowStripes="0" showColumnStripes="0"/>
  <extLst>
    <ext xmlns:x14="http://schemas.microsoft.com/office/spreadsheetml/2009/9/main" uri="{504A1905-F514-4f6f-8877-14C23A59335A}">
      <x14:table altText="Year 6 Compliance Standard" altTextSummary="This table displays MOE amounts and results for the compliance standard for Year 6."/>
    </ext>
  </extLst>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94000000}" name="RepaymentYear6" displayName="RepaymentYear6" ref="A21:B27" totalsRowShown="0" headerRowBorderDxfId="1598" tableBorderDxfId="1597" totalsRowBorderDxfId="1596">
  <autoFilter ref="A21:B27" xr:uid="{00000000-0009-0000-0100-0000E0000000}">
    <filterColumn colId="0" hiddenButton="1"/>
    <filterColumn colId="1" hiddenButton="1"/>
  </autoFilter>
  <tableColumns count="2">
    <tableColumn id="1" xr3:uid="{00000000-0010-0000-9400-000001000000}" name="Repayment data" dataDxfId="1595"/>
    <tableColumn id="2" xr3:uid="{00000000-0010-0000-9400-000002000000}" name="Data for Year 6"/>
  </tableColumns>
  <tableStyleInfo name="TableStyleLight18" showFirstColumn="0" showLastColumn="0" showRowStripes="0" showColumnStripes="0"/>
  <extLst>
    <ext xmlns:x14="http://schemas.microsoft.com/office/spreadsheetml/2009/9/main" uri="{504A1905-F514-4f6f-8877-14C23A59335A}">
      <x14:table altText="Year 6 Repayment Information" altTextSummary="This table calculates the repayment amount for Year 6 if the LEA fails MOE by all four methods for the compliance standard. Users must enter data for IDEA allocations."/>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6000000}" name="ExcBChildCountDataYear4Budget" displayName="ExcBChildCountDataYear4Budget" ref="A25:B29" totalsRowShown="0" headerRowDxfId="2525" dataDxfId="2524">
  <tableColumns count="2">
    <tableColumn id="1" xr3:uid="{00000000-0010-0000-5600-000001000000}" name="Column1" dataDxfId="2523"/>
    <tableColumn id="2" xr3:uid="{00000000-0010-0000-5600-000002000000}" name="Column2" dataDxfId="2522"/>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4 Eligibility Standard" altTextSummary="This table automatically calculates the change in enrollment for Year 4 to determine whether the LEA can apply exception (b). This table is for the eligibility standard."/>
    </ext>
  </extLst>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00000000-000C-0000-FFFF-FFFF95000000}" name="ExcAdjSummaryYear6" displayName="ExcAdjSummaryYear6" ref="A33:E40" totalsRowShown="0" headerRowDxfId="1594" headerRowBorderDxfId="1593" tableBorderDxfId="1592" totalsRowBorderDxfId="1591">
  <autoFilter ref="A33:E40" xr:uid="{00000000-0009-0000-0100-000056010000}">
    <filterColumn colId="0" hiddenButton="1"/>
    <filterColumn colId="1" hiddenButton="1"/>
    <filterColumn colId="2" hiddenButton="1"/>
    <filterColumn colId="3" hiddenButton="1"/>
    <filterColumn colId="4" hiddenButton="1"/>
  </autoFilter>
  <tableColumns count="5">
    <tableColumn id="1" xr3:uid="{00000000-0010-0000-9500-000001000000}" name="Exception or Adjustment" dataDxfId="1590"/>
    <tableColumn id="2" xr3:uid="{00000000-0010-0000-9500-000002000000}" name="Projected Local Funds" dataDxfId="1589"/>
    <tableColumn id="3" xr3:uid="{00000000-0010-0000-9500-000003000000}" name="Projected State and Local Funds" dataDxfId="1588"/>
    <tableColumn id="4" xr3:uid="{00000000-0010-0000-9500-000004000000}" name="Local Funds" dataDxfId="1587"/>
    <tableColumn id="5" xr3:uid="{00000000-0010-0000-9500-000005000000}" name="State and Local Funds" dataDxfId="1586"/>
  </tableColumns>
  <tableStyleInfo name="TableStyleLight18" showFirstColumn="0" showLastColumn="0" showRowStripes="0" showColumnStripes="0"/>
  <extLst>
    <ext xmlns:x14="http://schemas.microsoft.com/office/spreadsheetml/2009/9/main" uri="{504A1905-F514-4f6f-8877-14C23A59335A}">
      <x14:table altText="Year 6 Exceptions and Adjustment Summary" altTextSummary="This table presents a summary of all exceptions taken for Year 6. Detailed data on the exceptions are entered on the Exc &amp; Adj tab for Year 6."/>
    </ext>
  </extLst>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96000000}" name="BudgetYear7" displayName="BudgetYear7" ref="A4:F31" totalsRowShown="0" headerRowDxfId="1585" tableBorderDxfId="1584">
  <tableColumns count="6">
    <tableColumn id="1" xr3:uid="{00000000-0010-0000-9600-000001000000}" name="Object Description" dataDxfId="1583"/>
    <tableColumn id="2" xr3:uid="{00000000-0010-0000-9600-000002000000}" name="Code 1" dataDxfId="1582"/>
    <tableColumn id="7" xr3:uid="{00000000-0010-0000-9600-000007000000}" name="Code 2" dataDxfId="1581"/>
    <tableColumn id="3" xr3:uid="{00000000-0010-0000-9600-000003000000}" name="Local" dataDxfId="1580" dataCellStyle="Currency"/>
    <tableColumn id="4" xr3:uid="{00000000-0010-0000-9600-000004000000}" name="State" dataDxfId="1579" dataCellStyle="Currency"/>
    <tableColumn id="5" xr3:uid="{00000000-0010-0000-9600-000005000000}" name="State and Local" dataDxfId="1578"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7" altTextSummary="In this table, users will enter their budget amounts for Year 7. The column headers for the first three columns are unlocked and can be edited. If the LEA cannot separately budget for state and local funds, leave the Local column blank."/>
    </ext>
  </extLst>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97000000}" name="ExpendituresYear7" displayName="ExpendituresYear7" ref="H4:M31" totalsRowShown="0" headerRowDxfId="1577" tableBorderDxfId="1576">
  <tableColumns count="6">
    <tableColumn id="1" xr3:uid="{00000000-0010-0000-9700-000001000000}" name="Object Description" dataDxfId="1575"/>
    <tableColumn id="2" xr3:uid="{00000000-0010-0000-9700-000002000000}" name="Code" dataDxfId="1574"/>
    <tableColumn id="6" xr3:uid="{00000000-0010-0000-9700-000006000000}" name="Code 2" dataDxfId="1573"/>
    <tableColumn id="3" xr3:uid="{00000000-0010-0000-9700-000003000000}" name="Local" dataDxfId="1572" dataCellStyle="Currency"/>
    <tableColumn id="4" xr3:uid="{00000000-0010-0000-9700-000004000000}" name="State" dataDxfId="1571" dataCellStyle="Currency"/>
    <tableColumn id="5" xr3:uid="{00000000-0010-0000-9700-000005000000}" name="State and Local" dataDxfId="1570"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7" altTextSummary="In this table, users will enter the LEA's final expenditures for Year 7. The column headers for the first three columns are unlocked and can be edited. If the LEA cannot separately budget for state and local funds, leave the Local column blank."/>
    </ext>
  </extLst>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98000000}" name="ExcADepartingDataYear7Budget" displayName="ExcADepartingDataYear7Budget" ref="A7:F13" totalsRowShown="0" headerRowDxfId="1569" dataDxfId="1567" headerRowBorderDxfId="1568" tableBorderDxfId="1566">
  <tableColumns count="6">
    <tableColumn id="1" xr3:uid="{00000000-0010-0000-9800-000001000000}" name="Position Title" dataDxfId="1565"/>
    <tableColumn id="2" xr3:uid="{00000000-0010-0000-9800-000002000000}" name="Employee Name" dataDxfId="1564"/>
    <tableColumn id="3" xr3:uid="{00000000-0010-0000-9800-000003000000}" name="Reason for Leaving" dataDxfId="1563"/>
    <tableColumn id="4" xr3:uid="{00000000-0010-0000-9800-000004000000}" name="Salary" dataDxfId="1562" dataCellStyle="Currency"/>
    <tableColumn id="5" xr3:uid="{00000000-0010-0000-9800-000005000000}" name="Benefits" dataDxfId="1561" dataCellStyle="Currency"/>
    <tableColumn id="8" xr3:uid="{00000000-0010-0000-9800-000008000000}" name="Total Budget" dataDxfId="156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7 Eligiblity Standard" altTextSummary="Users can enter data in this table for any departing personnel projected for Year 7. This table is for the eligiblity standard and is based on budget amounts."/>
    </ext>
  </extLst>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99000000}" name="ExcAReplaceDataYear7Budget" displayName="ExcAReplaceDataYear7Budget" ref="A15:F21" totalsRowShown="0" headerRowDxfId="1559" dataDxfId="1557" headerRowBorderDxfId="1558" tableBorderDxfId="1556">
  <tableColumns count="6">
    <tableColumn id="1" xr3:uid="{00000000-0010-0000-9900-000001000000}" name="Position Title" dataDxfId="1555"/>
    <tableColumn id="2" xr3:uid="{00000000-0010-0000-9900-000002000000}" name="Employee Name" dataDxfId="1554"/>
    <tableColumn id="3" xr3:uid="{00000000-0010-0000-9900-000003000000}" name="This column intentionally left blank" dataDxfId="1553"/>
    <tableColumn id="4" xr3:uid="{00000000-0010-0000-9900-000004000000}" name="Salary" dataDxfId="1552" dataCellStyle="Currency"/>
    <tableColumn id="5" xr3:uid="{00000000-0010-0000-9900-000005000000}" name="Benefits" dataDxfId="1551" dataCellStyle="Currency"/>
    <tableColumn id="8" xr3:uid="{00000000-0010-0000-9900-000008000000}" name="Total Budget" dataDxfId="155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7 Eligibility Standard" altTextSummary="Users can enter data in this table for any replacement personnel projected for Year 7. This table is for the eligiblity standard and is based on budget amounts."/>
    </ext>
  </extLst>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9A000000}" name="ExcDDataYear7Budget" displayName="ExcDDataYear7Budget" ref="A47:B53" totalsRowShown="0" headerRowDxfId="1549" dataDxfId="1547" headerRowBorderDxfId="1548" tableBorderDxfId="1546">
  <tableColumns count="2">
    <tableColumn id="1" xr3:uid="{00000000-0010-0000-9A00-000001000000}" name="Description" dataDxfId="1545"/>
    <tableColumn id="2" xr3:uid="{00000000-0010-0000-9A00-000002000000}" name="Budgeted Cost in Final Year" dataDxfId="154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7 Eligiblity Standard" altTextSummary="Users can enter data in this table for the projected termination of costly expenditures for long-term purchases for Year 7. This table is for the eligiblity standard and is based on budget amounts."/>
    </ext>
  </extLst>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9B000000}" name="AdjDataYear7Budget" displayName="AdjDataYear7Budget" ref="A71:B72" totalsRowShown="0" headerRowDxfId="1543" dataDxfId="1541" headerRowBorderDxfId="1542" tableBorderDxfId="1540" totalsRowBorderDxfId="1539">
  <tableColumns count="2">
    <tableColumn id="1" xr3:uid="{00000000-0010-0000-9B00-000001000000}" name="Column1" dataDxfId="1538"/>
    <tableColumn id="2" xr3:uid="{00000000-0010-0000-9B00-000002000000}" name="Projected Adjustment" dataDxfId="1537"/>
  </tableColumns>
  <tableStyleInfo name="TableStyleMedium9" showFirstColumn="0" showLastColumn="0" showRowStripes="0" showColumnStripes="0"/>
  <extLst>
    <ext xmlns:x14="http://schemas.microsoft.com/office/spreadsheetml/2009/9/main" uri="{504A1905-F514-4f6f-8877-14C23A59335A}">
      <x14:table altText="MOE Adjustment Data Entry for Year 7 Eligiblity Standard" altTextSummary="Users can enter data in this table for the projected Adjustment to MOE for Year 7. This table is for the eligiblity standard and is based on budget amounts. Use IDC's MOE Reduction Decision Tree and Calculator to determine the adjustment amount."/>
    </ext>
  </extLst>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9C000000}" name="ExcCDataYear7Budget" displayName="ExcCDataYear7Budget" ref="A37:C43" totalsRowShown="0" headerRowDxfId="1536" dataDxfId="1535" tableBorderDxfId="1534">
  <tableColumns count="3">
    <tableColumn id="1" xr3:uid="{00000000-0010-0000-9C00-000001000000}" name="Student Identifier" dataDxfId="1533"/>
    <tableColumn id="2" xr3:uid="{00000000-0010-0000-9C00-000002000000}" name="Reason" dataDxfId="1532"/>
    <tableColumn id="3" xr3:uid="{00000000-0010-0000-9C00-000003000000}" name="Budgeted Cost" dataDxfId="153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7 Eligiblity Standard" altTextSummary="Users can enter data in this table for the projected termination of the obligation to provide special education to a particular student that is an exceptionally costly program projected for Yera 7. This table is for the eligiblity standard and is based on budget amounts."/>
    </ext>
  </extLst>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9D000000}" name="ExcEDataYear7Budget" displayName="ExcEDataYear7Budget" ref="A57:B63" totalsRowShown="0" headerRowDxfId="1530" tableBorderDxfId="1529">
  <tableColumns count="2">
    <tableColumn id="1" xr3:uid="{00000000-0010-0000-9D00-000001000000}" name="Student Identifier" dataDxfId="1528"/>
    <tableColumn id="2" xr3:uid="{00000000-0010-0000-9D00-000002000000}" name="Budgeted Cost Assumed by SEA" dataDxfId="152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7 Eligiblity Standard" altTextSummary="Users can enter data for the projected assumption of cost by the high cost fund operated by the SEA for Year 7. This table is for the eligibility standard and uses budget data. The table will not calculate a total if tab 3b indicates that the SEA does not have a high cost fund in Year 7."/>
    </ext>
  </extLst>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9E000000}" name="ExcBChildCountDataYear7Budget" displayName="ExcBChildCountDataYear7Budget" ref="A25:B29" totalsRowShown="0" headerRowDxfId="1526" dataDxfId="1525">
  <tableColumns count="2">
    <tableColumn id="1" xr3:uid="{00000000-0010-0000-9E00-000001000000}" name="Column1" dataDxfId="1524"/>
    <tableColumn id="2" xr3:uid="{00000000-0010-0000-9E00-000002000000}" name="Column2" dataDxfId="152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7 Eligibility Standard" altTextSummary="This table automatically calculates the change in enrollment for Year 7 to determine whether the LEA can apply exception (b). This table is for the eligibility standar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7000000}" name="ExcBFundsDataYear4Budget" displayName="ExcBFundsDataYear4Budget" ref="A30:C32" totalsRowShown="0" headerRowDxfId="2521" dataDxfId="2519" headerRowBorderDxfId="2520" tableBorderDxfId="2518" totalsRowBorderDxfId="2517">
  <tableColumns count="3">
    <tableColumn id="1" xr3:uid="{00000000-0010-0000-5700-000001000000}" name="Column1" dataDxfId="2516"/>
    <tableColumn id="2" xr3:uid="{00000000-0010-0000-5700-000002000000}" name="Total Local Funds" dataDxfId="2515">
      <calculatedColumnFormula>'2. Getting Started'!C17</calculatedColumnFormula>
    </tableColumn>
    <tableColumn id="3" xr3:uid="{00000000-0010-0000-5700-000003000000}" name="Total State and Local Funds" dataDxfId="2514">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4 Eligiblity Standard" altTextSummary="This table automatically calculates the projected reduction based on a decrease in enrollment for Year 4. This table is for the eligibility standard and uses budget data. The row for Projected Reduction will be blank if there is no decrease in child count."/>
    </ext>
  </extLst>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9F000000}" name="ExcBFundsDataYear7Budget" displayName="ExcBFundsDataYear7Budget" ref="A30:C32" totalsRowShown="0" headerRowDxfId="1522" dataDxfId="1520" headerRowBorderDxfId="1521" tableBorderDxfId="1519" totalsRowBorderDxfId="1518">
  <tableColumns count="3">
    <tableColumn id="1" xr3:uid="{00000000-0010-0000-9F00-000001000000}" name="Column1" dataDxfId="1517"/>
    <tableColumn id="2" xr3:uid="{00000000-0010-0000-9F00-000002000000}" name="Total Local Funds" dataDxfId="1516">
      <calculatedColumnFormula>'2. Getting Started'!C17</calculatedColumnFormula>
    </tableColumn>
    <tableColumn id="3" xr3:uid="{00000000-0010-0000-9F00-000003000000}" name="Total State and Local Funds" dataDxfId="1515">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7 Eligiblity Standard" altTextSummary="This table automatically calculates the projected reduction based on a decrease in enrollment for Year 7. This table is for the eligibility standard and uses budget data. The row for Projected Reduction will be blank if there is no decrease in child count."/>
    </ext>
  </extLst>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A0000000}" name="ExcADepartingDataYear7Expenditures" displayName="ExcADepartingDataYear7Expenditures" ref="H7:M13" totalsRowShown="0" headerRowDxfId="1514" dataDxfId="1512" headerRowBorderDxfId="1513" tableBorderDxfId="1511">
  <tableColumns count="6">
    <tableColumn id="1" xr3:uid="{00000000-0010-0000-A000-000001000000}" name="Position Title" dataDxfId="1510"/>
    <tableColumn id="2" xr3:uid="{00000000-0010-0000-A000-000002000000}" name="Employee Name" dataDxfId="1509"/>
    <tableColumn id="3" xr3:uid="{00000000-0010-0000-A000-000003000000}" name="Reason for Leaving" dataDxfId="1508"/>
    <tableColumn id="4" xr3:uid="{00000000-0010-0000-A000-000004000000}" name="Salary" dataDxfId="1507" dataCellStyle="Currency"/>
    <tableColumn id="5" xr3:uid="{00000000-0010-0000-A000-000005000000}" name="Benefits" dataDxfId="1506" dataCellStyle="Currency"/>
    <tableColumn id="8" xr3:uid="{00000000-0010-0000-A000-000008000000}" name="Total Expenditures" dataDxfId="150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7 Compliance Standard" altTextSummary="Users can enter data in this table for any departing personnel for Year 7. This table is for the compliance standard and is based on final expenditures."/>
    </ext>
  </extLst>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A1000000}" name="ExcAReplaceDataYear7Expenditures" displayName="ExcAReplaceDataYear7Expenditures" ref="H15:M21" totalsRowShown="0" headerRowDxfId="1504" dataDxfId="1502" headerRowBorderDxfId="1503" tableBorderDxfId="1501">
  <tableColumns count="6">
    <tableColumn id="1" xr3:uid="{00000000-0010-0000-A100-000001000000}" name="Position Title" dataDxfId="1500"/>
    <tableColumn id="2" xr3:uid="{00000000-0010-0000-A100-000002000000}" name="Employee Name" dataDxfId="1499"/>
    <tableColumn id="3" xr3:uid="{00000000-0010-0000-A100-000003000000}" name="This column intentionally left blank" dataDxfId="1498"/>
    <tableColumn id="4" xr3:uid="{00000000-0010-0000-A100-000004000000}" name="Salary" dataDxfId="1497" dataCellStyle="Currency"/>
    <tableColumn id="5" xr3:uid="{00000000-0010-0000-A100-000005000000}" name="Benefits" dataDxfId="1496" dataCellStyle="Currency"/>
    <tableColumn id="8" xr3:uid="{00000000-0010-0000-A100-000008000000}" name="Total Expenditures" dataDxfId="149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7 Compliance Standard" altTextSummary="Users can enter data in this table for any replacement personnel for Year 7. This table is for the compliance standard and is based on final expenditures."/>
    </ext>
  </extLst>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A2000000}" name="ExcDDataYear7Expenditures" displayName="ExcDDataYear7Expenditures" ref="H47:I53" totalsRowShown="0" headerRowDxfId="1494" dataDxfId="1492" headerRowBorderDxfId="1493" tableBorderDxfId="1491">
  <tableColumns count="2">
    <tableColumn id="1" xr3:uid="{00000000-0010-0000-A200-000001000000}" name="Description" dataDxfId="1490"/>
    <tableColumn id="2" xr3:uid="{00000000-0010-0000-A200-000002000000}" name="Cost in Final Year of Expenditure" dataDxfId="148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7 Compliance Standard" altTextSummary="Users can enter data in this table for the termination of costly expenditures for long-term purchases for Year 7. This table is for the compliance standard and is based on final expenditures."/>
    </ext>
  </extLst>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A3000000}" name="AdjDataYear7Expenditures" displayName="AdjDataYear7Expenditures" ref="H71:I72" totalsRowShown="0" headerRowDxfId="1488" dataDxfId="1486" headerRowBorderDxfId="1487" tableBorderDxfId="1485" totalsRowBorderDxfId="1484">
  <tableColumns count="2">
    <tableColumn id="1" xr3:uid="{00000000-0010-0000-A300-000001000000}" name="Column1" dataDxfId="1483"/>
    <tableColumn id="2" xr3:uid="{00000000-0010-0000-A300-000002000000}" name="Adjustment " dataDxfId="1482"/>
  </tableColumns>
  <tableStyleInfo name="TableStyleMedium9" showFirstColumn="0" showLastColumn="0" showRowStripes="0" showColumnStripes="0"/>
  <extLst>
    <ext xmlns:x14="http://schemas.microsoft.com/office/spreadsheetml/2009/9/main" uri="{504A1905-F514-4f6f-8877-14C23A59335A}">
      <x14:table altText="MOE Adjustment Data Entry for Year 7 Compliance Standard" altTextSummary="Users can enter data in this table for the Adjustment to MOE for Year 7. This table is for the compliance standard and is based on final expenditures. Use IDC's MOE Reduction Decision Tree and Calculator to determine the adjustment amount."/>
    </ext>
  </extLst>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A4000000}" name="ExcCDataYear7Expenditures" displayName="ExcCDataYear7Expenditures" ref="H37:J43" totalsRowShown="0" headerRowDxfId="1481" dataDxfId="1480" tableBorderDxfId="1479">
  <tableColumns count="3">
    <tableColumn id="1" xr3:uid="{00000000-0010-0000-A400-000001000000}" name="Student Identifier" dataDxfId="1478"/>
    <tableColumn id="2" xr3:uid="{00000000-0010-0000-A400-000002000000}" name="Reason" dataDxfId="1477"/>
    <tableColumn id="3" xr3:uid="{00000000-0010-0000-A400-000003000000}" name="Expenditures" dataDxfId="147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7 Compliance Standard" altTextSummary="Users can enter data in this table for the termination of the obligation to provide special education to a particular student that is an exceptionally costly program projected for Year 7. This table is for the compliance standard and is based on final expenditures."/>
    </ext>
  </extLst>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A5000000}" name="ExcEDataYear7Expenditures" displayName="ExcEDataYear7Expenditures" ref="H57:I63" totalsRowShown="0" headerRowDxfId="1475" tableBorderDxfId="1474">
  <tableColumns count="2">
    <tableColumn id="1" xr3:uid="{00000000-0010-0000-A500-000001000000}" name="Student Identifier" dataDxfId="1473"/>
    <tableColumn id="2" xr3:uid="{00000000-0010-0000-A500-000002000000}" name="Cost Assumed by SEA" dataDxfId="147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7 Compliance Standard" altTextSummary="Users can enter data for the assumption of cost by the high cost fund operated by the SEA for Year 7. This table is for the compliance standard and uses final expenditures. The table will not calculate a total if tab 3b indicates that the SEA does not have a high cost fund in Year 7."/>
    </ext>
  </extLst>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A6000000}" name="ExcBChildCountDataYear7Expenditures" displayName="ExcBChildCountDataYear7Expenditures" ref="H25:I29" totalsRowShown="0" headerRowDxfId="1471" dataDxfId="1470">
  <tableColumns count="2">
    <tableColumn id="1" xr3:uid="{00000000-0010-0000-A600-000001000000}" name="Column1" dataDxfId="1469"/>
    <tableColumn id="2" xr3:uid="{00000000-0010-0000-A600-000002000000}" name="Column2" dataDxfId="146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7 Compliance Standard" altTextSummary="This table automatically calculates the change in enrollment for Year 7 to determine whether the LEA can apply exception (b). This table is for the compliance standard."/>
    </ext>
  </extLst>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A7000000}" name="ExcBFundsDataYear7Expenditures" displayName="ExcBFundsDataYear7Expenditures" ref="H30:J32" totalsRowShown="0" headerRowDxfId="1467" dataDxfId="1465" headerRowBorderDxfId="1466" tableBorderDxfId="1464" totalsRowBorderDxfId="1463">
  <tableColumns count="3">
    <tableColumn id="1" xr3:uid="{00000000-0010-0000-A700-000001000000}" name="Column1" dataDxfId="1462"/>
    <tableColumn id="2" xr3:uid="{00000000-0010-0000-A700-000002000000}" name="Local Total" dataDxfId="1461"/>
    <tableColumn id="3" xr3:uid="{00000000-0010-0000-A700-000003000000}" name="State and Local Total" dataDxfId="1460"/>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7 Compliance Standard" altTextSummary="This table automatically calculates the reduction based on a decrease in enrollment for Year 7. This table is for the compliance standard and uses final expenditures. The row for Allowed Reduction will be blank and blacked out if there is no decrease in child count."/>
    </ext>
  </extLst>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A8000000}" name="TotalBudgetedExcYear7" displayName="TotalBudgetedExcYear7" ref="A66:B68" totalsRowShown="0" headerRowDxfId="1459" headerRowBorderDxfId="1458" tableBorderDxfId="1457" totalsRowBorderDxfId="1456">
  <autoFilter ref="A66:B68" xr:uid="{00000000-0009-0000-0100-0000E1000000}">
    <filterColumn colId="0" hiddenButton="1"/>
    <filterColumn colId="1" hiddenButton="1"/>
  </autoFilter>
  <tableColumns count="2">
    <tableColumn id="1" xr3:uid="{00000000-0010-0000-A800-000001000000}" name="Source" dataDxfId="1455" dataCellStyle="Normal 2"/>
    <tableColumn id="2" xr3:uid="{00000000-0010-0000-A800-000002000000}" name="Total" dataDxfId="1454"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7 Eligibility Standard" altTextSummary="This table displays the total projected exceptions entered for the eligibility standard for Year 7."/>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8000000}" name="ExcADepartingDataYear4Expenditures314967" displayName="ExcADepartingDataYear4Expenditures314967" ref="H7:M13" totalsRowShown="0" headerRowDxfId="2513" dataDxfId="2511" headerRowBorderDxfId="2512" tableBorderDxfId="2510">
  <tableColumns count="6">
    <tableColumn id="1" xr3:uid="{00000000-0010-0000-5800-000001000000}" name="Position Title" dataDxfId="2509"/>
    <tableColumn id="2" xr3:uid="{00000000-0010-0000-5800-000002000000}" name="Employee Name" dataDxfId="2508"/>
    <tableColumn id="3" xr3:uid="{00000000-0010-0000-5800-000003000000}" name="Reason for Leaving" dataDxfId="2507"/>
    <tableColumn id="4" xr3:uid="{00000000-0010-0000-5800-000004000000}" name="Salary" dataDxfId="2506" dataCellStyle="Currency"/>
    <tableColumn id="5" xr3:uid="{00000000-0010-0000-5800-000005000000}" name="Benefits" dataDxfId="2505" dataCellStyle="Currency"/>
    <tableColumn id="8" xr3:uid="{00000000-0010-0000-5800-000008000000}" name="Total Expenditures" dataDxfId="2504"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4 Compliance Standard" altTextSummary="Users can enter data in this table for any departing personnel for Year 4. This table is for the compliance standard and is based on final expenditures."/>
    </ext>
  </extLst>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A9000000}" name="TotalExpendituresExcYear7" displayName="TotalExpendituresExcYear7" ref="H66:I68" totalsRowShown="0" headerRowDxfId="1453" headerRowBorderDxfId="1452" tableBorderDxfId="1451" totalsRowBorderDxfId="1450">
  <autoFilter ref="H66:I68" xr:uid="{00000000-0009-0000-0100-0000E2000000}">
    <filterColumn colId="0" hiddenButton="1"/>
    <filterColumn colId="1" hiddenButton="1"/>
  </autoFilter>
  <tableColumns count="2">
    <tableColumn id="1" xr3:uid="{00000000-0010-0000-A900-000001000000}" name="Source" dataDxfId="1449" dataCellStyle="Normal 2"/>
    <tableColumn id="2" xr3:uid="{00000000-0010-0000-A900-000002000000}" name="Total" dataDxfId="1448"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7 Compliance Standard" altTextSummary="This table displays the total exceptions entered for the compliance standard for Year 7."/>
    </ext>
  </extLst>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AA000000}" name="EligibilityYear7" displayName="EligibilityYear7" ref="A5:E10" totalsRowShown="0" headerRowDxfId="1447" headerRowBorderDxfId="1446" tableBorderDxfId="1445" totalsRowBorderDxfId="1444">
  <autoFilter ref="A5:E10" xr:uid="{00000000-0009-0000-0100-0000E3000000}">
    <filterColumn colId="0" hiddenButton="1"/>
    <filterColumn colId="1" hiddenButton="1"/>
    <filterColumn colId="2" hiddenButton="1"/>
    <filterColumn colId="3" hiddenButton="1"/>
    <filterColumn colId="4" hiddenButton="1"/>
  </autoFilter>
  <tableColumns count="5">
    <tableColumn id="1" xr3:uid="{00000000-0010-0000-AA00-000001000000}" name="MOE Information" dataDxfId="1443"/>
    <tableColumn id="2" xr3:uid="{00000000-0010-0000-AA00-000002000000}" name="Total Local Funds"/>
    <tableColumn id="3" xr3:uid="{00000000-0010-0000-AA00-000003000000}" name="Total State and Local Funds"/>
    <tableColumn id="4" xr3:uid="{00000000-0010-0000-AA00-000004000000}" name="Local Funds Per Capita"/>
    <tableColumn id="5" xr3:uid="{00000000-0010-0000-A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7 Eligibility Standard" altTextSummary="This table displays MOE amounts and results for the eligibility standard for Year 7."/>
    </ext>
  </extLst>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AB000000}" name="ComplianceYear7" displayName="ComplianceYear7" ref="A13:E18" totalsRowShown="0" headerRowDxfId="1442" headerRowBorderDxfId="1441" tableBorderDxfId="1440" totalsRowBorderDxfId="1439">
  <autoFilter ref="A13:E18" xr:uid="{00000000-0009-0000-0100-0000E4000000}">
    <filterColumn colId="0" hiddenButton="1"/>
    <filterColumn colId="1" hiddenButton="1"/>
    <filterColumn colId="2" hiddenButton="1"/>
    <filterColumn colId="3" hiddenButton="1"/>
    <filterColumn colId="4" hiddenButton="1"/>
  </autoFilter>
  <tableColumns count="5">
    <tableColumn id="1" xr3:uid="{00000000-0010-0000-AB00-000001000000}" name="MOE Information" dataDxfId="1438"/>
    <tableColumn id="2" xr3:uid="{00000000-0010-0000-AB00-000002000000}" name="Total Local Funds" dataDxfId="1437"/>
    <tableColumn id="3" xr3:uid="{00000000-0010-0000-AB00-000003000000}" name="Total State and Local Funds" dataDxfId="1436"/>
    <tableColumn id="4" xr3:uid="{00000000-0010-0000-AB00-000004000000}" name="Local Funds Per Capita" dataDxfId="1435"/>
    <tableColumn id="5" xr3:uid="{00000000-0010-0000-AB00-000005000000}" name="State and Local Funds Per Capita" dataDxfId="1434"/>
  </tableColumns>
  <tableStyleInfo name="TableStyleLight18" showFirstColumn="0" showLastColumn="0" showRowStripes="0" showColumnStripes="0"/>
  <extLst>
    <ext xmlns:x14="http://schemas.microsoft.com/office/spreadsheetml/2009/9/main" uri="{504A1905-F514-4f6f-8877-14C23A59335A}">
      <x14:table altText="Year 7 Compliance Standard" altTextSummary="This table displays MOE amounts and results for the compliance standard for Year 7."/>
    </ext>
  </extLst>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AC000000}" name="RepaymentYear7" displayName="RepaymentYear7" ref="A21:B27" totalsRowShown="0" headerRowBorderDxfId="1433" tableBorderDxfId="1432" totalsRowBorderDxfId="1431">
  <autoFilter ref="A21:B27" xr:uid="{00000000-0009-0000-0100-0000E6000000}">
    <filterColumn colId="0" hiddenButton="1"/>
    <filterColumn colId="1" hiddenButton="1"/>
  </autoFilter>
  <tableColumns count="2">
    <tableColumn id="1" xr3:uid="{00000000-0010-0000-AC00-000001000000}" name="Repayment data" dataDxfId="1430"/>
    <tableColumn id="2" xr3:uid="{00000000-0010-0000-AC00-000002000000}" name="Data for Year 7"/>
  </tableColumns>
  <tableStyleInfo name="TableStyleLight18" showFirstColumn="0" showLastColumn="0" showRowStripes="0" showColumnStripes="0"/>
  <extLst>
    <ext xmlns:x14="http://schemas.microsoft.com/office/spreadsheetml/2009/9/main" uri="{504A1905-F514-4f6f-8877-14C23A59335A}">
      <x14:table altText="Year 7 Repayment Information" altTextSummary="This table calculates the repayment amount for Year 7 if the LEA fails MOE by all four methods for the compliance standard. Users must enter data for IDEA allocations."/>
    </ext>
  </extLst>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00000000-000C-0000-FFFF-FFFFAD000000}" name="ExcAdjSummaryYear7" displayName="ExcAdjSummaryYear7" ref="A33:E40" totalsRowShown="0" headerRowDxfId="1429" headerRowBorderDxfId="1428" tableBorderDxfId="1427" totalsRowBorderDxfId="1426">
  <autoFilter ref="A33:E40" xr:uid="{00000000-0009-0000-0100-000057010000}">
    <filterColumn colId="0" hiddenButton="1"/>
    <filterColumn colId="1" hiddenButton="1"/>
    <filterColumn colId="2" hiddenButton="1"/>
    <filterColumn colId="3" hiddenButton="1"/>
    <filterColumn colId="4" hiddenButton="1"/>
  </autoFilter>
  <tableColumns count="5">
    <tableColumn id="1" xr3:uid="{00000000-0010-0000-AD00-000001000000}" name="Exception or Adjustment" dataDxfId="1425"/>
    <tableColumn id="2" xr3:uid="{00000000-0010-0000-AD00-000002000000}" name="Projected Local Funds" dataDxfId="1424"/>
    <tableColumn id="3" xr3:uid="{00000000-0010-0000-AD00-000003000000}" name="Projected State and Local Funds" dataDxfId="1423"/>
    <tableColumn id="4" xr3:uid="{00000000-0010-0000-AD00-000004000000}" name="Local Funds" dataDxfId="1422"/>
    <tableColumn id="5" xr3:uid="{00000000-0010-0000-AD00-000005000000}" name="State and Local Funds" dataDxfId="1421"/>
  </tableColumns>
  <tableStyleInfo name="TableStyleLight18" showFirstColumn="0" showLastColumn="0" showRowStripes="0" showColumnStripes="0"/>
  <extLst>
    <ext xmlns:x14="http://schemas.microsoft.com/office/spreadsheetml/2009/9/main" uri="{504A1905-F514-4f6f-8877-14C23A59335A}">
      <x14:table altText="Year 7 Exceptions &amp; Adjustment Summary" altTextSummary="This table presents a summary of all exceptions taken for Year 7. Detailed data on the exceptions are entered on the Exc &amp; Adj tab for Year 7."/>
    </ext>
  </extLst>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AE000000}" name="BudgetYear8" displayName="BudgetYear8" ref="A4:F31" totalsRowShown="0" headerRowDxfId="1420" tableBorderDxfId="1419">
  <tableColumns count="6">
    <tableColumn id="1" xr3:uid="{00000000-0010-0000-AE00-000001000000}" name="Object Description" dataDxfId="1418"/>
    <tableColumn id="2" xr3:uid="{00000000-0010-0000-AE00-000002000000}" name="Code 1" dataDxfId="1417"/>
    <tableColumn id="7" xr3:uid="{00000000-0010-0000-AE00-000007000000}" name="Code 2" dataDxfId="1416"/>
    <tableColumn id="3" xr3:uid="{00000000-0010-0000-AE00-000003000000}" name="Local" dataDxfId="1415" dataCellStyle="Currency"/>
    <tableColumn id="4" xr3:uid="{00000000-0010-0000-AE00-000004000000}" name="State" dataDxfId="1414" dataCellStyle="Currency"/>
    <tableColumn id="5" xr3:uid="{00000000-0010-0000-AE00-000005000000}" name="State and Local" dataDxfId="1413"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8" altTextSummary="In this table, users will enter their budget amounts for Year 8. The column headers for the first three columns are unlocked and can be edited. If the LEA cannot separately budget for state and local funds, leave the Local column blank."/>
    </ext>
  </extLst>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AF000000}" name="ExpendituresYear8" displayName="ExpendituresYear8" ref="H4:M31" totalsRowShown="0" headerRowDxfId="1412" tableBorderDxfId="1411">
  <tableColumns count="6">
    <tableColumn id="1" xr3:uid="{00000000-0010-0000-AF00-000001000000}" name="Object Description" dataDxfId="1410"/>
    <tableColumn id="2" xr3:uid="{00000000-0010-0000-AF00-000002000000}" name="Code" dataDxfId="1409"/>
    <tableColumn id="6" xr3:uid="{00000000-0010-0000-AF00-000006000000}" name="Code 2" dataDxfId="1408"/>
    <tableColumn id="3" xr3:uid="{00000000-0010-0000-AF00-000003000000}" name="Local" dataDxfId="1407" dataCellStyle="Currency"/>
    <tableColumn id="4" xr3:uid="{00000000-0010-0000-AF00-000004000000}" name="State" dataDxfId="1406" dataCellStyle="Currency"/>
    <tableColumn id="5" xr3:uid="{00000000-0010-0000-AF00-000005000000}" name="State and Local" dataDxfId="1405"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8" altTextSummary="In this table, users will enter the LEA's final expenditures for Year 8. The column headers for the first three columns are unlocked and can be edited. If the LEA cannot separately budget for state and local funds, leave the Local column blank."/>
    </ext>
  </extLst>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B0000000}" name="ExcADepartingDataYear8Budget" displayName="ExcADepartingDataYear8Budget" ref="A7:F13" totalsRowShown="0" headerRowDxfId="1404" dataDxfId="1402" headerRowBorderDxfId="1403" tableBorderDxfId="1401">
  <tableColumns count="6">
    <tableColumn id="1" xr3:uid="{00000000-0010-0000-B000-000001000000}" name="Position Title" dataDxfId="1400"/>
    <tableColumn id="2" xr3:uid="{00000000-0010-0000-B000-000002000000}" name="Employee Name" dataDxfId="1399"/>
    <tableColumn id="3" xr3:uid="{00000000-0010-0000-B000-000003000000}" name="Reason for Leaving" dataDxfId="1398"/>
    <tableColumn id="4" xr3:uid="{00000000-0010-0000-B000-000004000000}" name="Salary" dataDxfId="1397" dataCellStyle="Currency"/>
    <tableColumn id="5" xr3:uid="{00000000-0010-0000-B000-000005000000}" name="Benefits" dataDxfId="1396" dataCellStyle="Currency"/>
    <tableColumn id="8" xr3:uid="{00000000-0010-0000-B000-000008000000}" name="Total Budget" dataDxfId="139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8 Eligiblity Standard" altTextSummary="Users can enter data in this table for any departing personnel projected for Year 8. This table is for the eligiblity standard and is based on budget amounts."/>
    </ext>
  </extLst>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B1000000}" name="ExcAReplaceDataYear8Budget" displayName="ExcAReplaceDataYear8Budget" ref="A15:F21" totalsRowShown="0" headerRowDxfId="1394" dataDxfId="1392" headerRowBorderDxfId="1393" tableBorderDxfId="1391">
  <tableColumns count="6">
    <tableColumn id="1" xr3:uid="{00000000-0010-0000-B100-000001000000}" name="Position Title" dataDxfId="1390"/>
    <tableColumn id="2" xr3:uid="{00000000-0010-0000-B100-000002000000}" name="Employee Name" dataDxfId="1389"/>
    <tableColumn id="3" xr3:uid="{00000000-0010-0000-B100-000003000000}" name="This column intentionally left blank" dataDxfId="1388"/>
    <tableColumn id="4" xr3:uid="{00000000-0010-0000-B100-000004000000}" name="Salary" dataDxfId="1387" dataCellStyle="Currency"/>
    <tableColumn id="5" xr3:uid="{00000000-0010-0000-B100-000005000000}" name="Benefits" dataDxfId="1386" dataCellStyle="Currency"/>
    <tableColumn id="8" xr3:uid="{00000000-0010-0000-B100-000008000000}" name="Total Budget" dataDxfId="138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8 Eligibility Standard" altTextSummary="Users can enter data in this table for any replacement personnel projected for Year 8. This table is for the eligiblity standard and is based on budget amounts."/>
    </ext>
  </extLst>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B2000000}" name="ExcDDataYear8Budget" displayName="ExcDDataYear8Budget" ref="A47:B53" totalsRowShown="0" headerRowDxfId="1384" dataDxfId="1382" headerRowBorderDxfId="1383" tableBorderDxfId="1381">
  <tableColumns count="2">
    <tableColumn id="1" xr3:uid="{00000000-0010-0000-B200-000001000000}" name="Description" dataDxfId="1380"/>
    <tableColumn id="2" xr3:uid="{00000000-0010-0000-B200-000002000000}" name="Budgeted Cost in Final Year" dataDxfId="137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8 Eligiblity Standard" altTextSummary="Users can enter data in this table for the projected termination of costly expenditures for long-term purchases for Year 8. This table is for the eligiblity standard and is based on budget amounts."/>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9000000}" name="ExcAReplaceDataYear4Expenditures" displayName="ExcAReplaceDataYear4Expenditures" ref="H15:M21" totalsRowShown="0" headerRowDxfId="2503" dataDxfId="2501" headerRowBorderDxfId="2502" tableBorderDxfId="2500">
  <tableColumns count="6">
    <tableColumn id="1" xr3:uid="{00000000-0010-0000-5900-000001000000}" name="Position Title" dataDxfId="2499"/>
    <tableColumn id="2" xr3:uid="{00000000-0010-0000-5900-000002000000}" name="Employee Name" dataDxfId="2498"/>
    <tableColumn id="3" xr3:uid="{00000000-0010-0000-5900-000003000000}" name="This column intentionally left blank" dataDxfId="2497"/>
    <tableColumn id="4" xr3:uid="{00000000-0010-0000-5900-000004000000}" name="Salary" dataDxfId="2496" dataCellStyle="Currency"/>
    <tableColumn id="5" xr3:uid="{00000000-0010-0000-5900-000005000000}" name="Benefits" dataDxfId="2495" dataCellStyle="Currency"/>
    <tableColumn id="8" xr3:uid="{00000000-0010-0000-5900-000008000000}" name="Total Expenditures" dataDxfId="2494"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4 Compliance Standard" altTextSummary="Users can enter data in this table for any replacement personnel for Year 4. This table is for the compliance standard and is based on final expenditures."/>
    </ext>
  </extLst>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B3000000}" name="AdjDataYear8Budget" displayName="AdjDataYear8Budget" ref="A71:B72" totalsRowShown="0" headerRowDxfId="1378" dataDxfId="1376" headerRowBorderDxfId="1377" tableBorderDxfId="1375" totalsRowBorderDxfId="1374">
  <tableColumns count="2">
    <tableColumn id="1" xr3:uid="{00000000-0010-0000-B300-000001000000}" name="Column1" dataDxfId="1373"/>
    <tableColumn id="2" xr3:uid="{00000000-0010-0000-B300-000002000000}" name="Projected Adjustment" dataDxfId="1372"/>
  </tableColumns>
  <tableStyleInfo name="TableStyleMedium9" showFirstColumn="0" showLastColumn="0" showRowStripes="0" showColumnStripes="0"/>
  <extLst>
    <ext xmlns:x14="http://schemas.microsoft.com/office/spreadsheetml/2009/9/main" uri="{504A1905-F514-4f6f-8877-14C23A59335A}">
      <x14:table altText="MOE Adjustment Data Entry for Year 8 Eligiblity Standard" altTextSummary="Users can enter data in this table for the projected Adjustment to MOE for Year 8. This table is for the eligiblity standard and is based on budget amounts. Use IDC's MOE Reduction Decision Tree and Calculator to determine the adjustment amount."/>
    </ext>
  </extLst>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B4000000}" name="ExcCDataYear8Budget" displayName="ExcCDataYear8Budget" ref="A37:C43" totalsRowShown="0" headerRowDxfId="1371" dataDxfId="1370" tableBorderDxfId="1369">
  <tableColumns count="3">
    <tableColumn id="1" xr3:uid="{00000000-0010-0000-B400-000001000000}" name="Student Identifier" dataDxfId="1368"/>
    <tableColumn id="2" xr3:uid="{00000000-0010-0000-B400-000002000000}" name="Reason" dataDxfId="1367"/>
    <tableColumn id="3" xr3:uid="{00000000-0010-0000-B400-000003000000}" name="Budgeted Cost" dataDxfId="136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8 Eligiblity Standard" altTextSummary="Users can enter data in this table for the projected termination of the obligation to provide special education to a particular student that is an exceptionally costly program projected for Year 8. This table is for the eligiblity standard and is based on budget amounts."/>
    </ext>
  </extLst>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B5000000}" name="ExcEDataYear8Budget" displayName="ExcEDataYear8Budget" ref="A57:B63" totalsRowShown="0" headerRowDxfId="1365" tableBorderDxfId="1364">
  <tableColumns count="2">
    <tableColumn id="1" xr3:uid="{00000000-0010-0000-B500-000001000000}" name="Student Identifier" dataDxfId="1363"/>
    <tableColumn id="2" xr3:uid="{00000000-0010-0000-B500-000002000000}" name="Budgeted Cost Assumed by SEA" dataDxfId="136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8 Eligiblity Standard" altTextSummary="Users can enter data for the projected assumption of cost by the high cost fund operated by the SEA for Year 8. This table is for the eligibility standard and uses budget data. The table will not calculate a total if tab 3b indicates that the SEA does not have a high cost fund in Year 8."/>
    </ext>
  </extLst>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B6000000}" name="ExcBChildCountDataYear8Budget" displayName="ExcBChildCountDataYear8Budget" ref="A25:B29" totalsRowShown="0" headerRowDxfId="1361" dataDxfId="1360">
  <tableColumns count="2">
    <tableColumn id="1" xr3:uid="{00000000-0010-0000-B600-000001000000}" name="Column1" dataDxfId="1359"/>
    <tableColumn id="2" xr3:uid="{00000000-0010-0000-B600-000002000000}" name="Column2" dataDxfId="135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8 Eligibility Standard" altTextSummary="This table automatically calculates the change in enrollment for Year 8 to determine whether the LEA can apply exception (b). This table is for the eligibility standard."/>
    </ext>
  </extLst>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B7000000}" name="ExcBFundsDataYear8Budget" displayName="ExcBFundsDataYear8Budget" ref="A30:C32" totalsRowShown="0" headerRowDxfId="1357" dataDxfId="1355" headerRowBorderDxfId="1356" tableBorderDxfId="1354" totalsRowBorderDxfId="1353">
  <tableColumns count="3">
    <tableColumn id="1" xr3:uid="{00000000-0010-0000-B700-000001000000}" name="Column1" dataDxfId="1352"/>
    <tableColumn id="2" xr3:uid="{00000000-0010-0000-B700-000002000000}" name="Total Local Funds" dataDxfId="1351">
      <calculatedColumnFormula>'2. Getting Started'!C17</calculatedColumnFormula>
    </tableColumn>
    <tableColumn id="3" xr3:uid="{00000000-0010-0000-B700-000003000000}" name="Total State and Local Funds" dataDxfId="1350">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8 Eligiblity Standard" altTextSummary="This table automatically calculates the projected reduction based on a decrease in enrollment for Year 8. This table is for the eligibility standard and uses budget data. The row for Projected Reduction will be blank if there is no decrease in child count."/>
    </ext>
  </extLst>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B8000000}" name="ExcADepartingDataYear8Expenditures" displayName="ExcADepartingDataYear8Expenditures" ref="H7:M13" totalsRowShown="0" headerRowDxfId="1349" dataDxfId="1347" headerRowBorderDxfId="1348" tableBorderDxfId="1346">
  <tableColumns count="6">
    <tableColumn id="1" xr3:uid="{00000000-0010-0000-B800-000001000000}" name="Position Title" dataDxfId="1345"/>
    <tableColumn id="2" xr3:uid="{00000000-0010-0000-B800-000002000000}" name="Employee Name" dataDxfId="1344"/>
    <tableColumn id="3" xr3:uid="{00000000-0010-0000-B800-000003000000}" name="Reason for Leaving" dataDxfId="1343"/>
    <tableColumn id="4" xr3:uid="{00000000-0010-0000-B800-000004000000}" name="Salary" dataDxfId="1342" dataCellStyle="Currency"/>
    <tableColumn id="5" xr3:uid="{00000000-0010-0000-B800-000005000000}" name="Benefits" dataDxfId="1341" dataCellStyle="Currency"/>
    <tableColumn id="8" xr3:uid="{00000000-0010-0000-B800-000008000000}" name="Total Expenditures" dataDxfId="134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8 Compliance Standard" altTextSummary="Users can enter data in this table for any departing personnel for Year 8. This table is for the compliance standard and is based on final expenditures."/>
    </ext>
  </extLst>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B9000000}" name="ExcAReplaceDataYear8Expenditures" displayName="ExcAReplaceDataYear8Expenditures" ref="H15:M21" totalsRowShown="0" headerRowDxfId="1339" dataDxfId="1337" headerRowBorderDxfId="1338" tableBorderDxfId="1336">
  <tableColumns count="6">
    <tableColumn id="1" xr3:uid="{00000000-0010-0000-B900-000001000000}" name="Position Title" dataDxfId="1335"/>
    <tableColumn id="2" xr3:uid="{00000000-0010-0000-B900-000002000000}" name="Employee Name" dataDxfId="1334"/>
    <tableColumn id="3" xr3:uid="{00000000-0010-0000-B900-000003000000}" name="This column intentionally left blank" dataDxfId="1333"/>
    <tableColumn id="4" xr3:uid="{00000000-0010-0000-B900-000004000000}" name="Salary" dataDxfId="1332" dataCellStyle="Currency"/>
    <tableColumn id="5" xr3:uid="{00000000-0010-0000-B900-000005000000}" name="Benefits" dataDxfId="1331" dataCellStyle="Currency"/>
    <tableColumn id="8" xr3:uid="{00000000-0010-0000-B900-000008000000}" name="Total Expenditures" dataDxfId="133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8 Compliance Standard" altTextSummary="Users can enter data in this table for any replacement personnel for Year 8. This table is for the compliance standard and is based on final expenditures."/>
    </ext>
  </extLst>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BA000000}" name="ExcDDataYear8Expenditures" displayName="ExcDDataYear8Expenditures" ref="H47:I53" totalsRowShown="0" headerRowDxfId="1329" dataDxfId="1327" headerRowBorderDxfId="1328" tableBorderDxfId="1326">
  <tableColumns count="2">
    <tableColumn id="1" xr3:uid="{00000000-0010-0000-BA00-000001000000}" name="Description" dataDxfId="1325"/>
    <tableColumn id="2" xr3:uid="{00000000-0010-0000-BA00-000002000000}" name="Cost in Final Year of Expenditure" dataDxfId="132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8 Compliance Standard" altTextSummary="Users can enter data in this table for the termination of costly expenditures for long-term purchases for Year 8. This table is for the compliance standard and is based on final expenditures."/>
    </ext>
  </extLst>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BB000000}" name="AdjDataYear8Expenditures" displayName="AdjDataYear8Expenditures" ref="H71:I72" totalsRowShown="0" headerRowDxfId="1323" dataDxfId="1321" headerRowBorderDxfId="1322" tableBorderDxfId="1320" totalsRowBorderDxfId="1319">
  <tableColumns count="2">
    <tableColumn id="1" xr3:uid="{00000000-0010-0000-BB00-000001000000}" name="Column1" dataDxfId="1318"/>
    <tableColumn id="2" xr3:uid="{00000000-0010-0000-BB00-000002000000}" name="Adjustment " dataDxfId="1317"/>
  </tableColumns>
  <tableStyleInfo name="TableStyleMedium9" showFirstColumn="0" showLastColumn="0" showRowStripes="0" showColumnStripes="0"/>
  <extLst>
    <ext xmlns:x14="http://schemas.microsoft.com/office/spreadsheetml/2009/9/main" uri="{504A1905-F514-4f6f-8877-14C23A59335A}">
      <x14:table altText="MOE Adjustment Data Entry for Year 8 Compliance Standard" altTextSummary="Users can enter data in this table for the Adjustment to MOE for Year 8. This table is for the compliance standard and is based on final expenditures. Use IDC's MOE Reduction Decision Tree and Calculator to determine the adjustment amount."/>
    </ext>
  </extLst>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BC000000}" name="ExcCDataYear8Expenditures" displayName="ExcCDataYear8Expenditures" ref="H37:J43" totalsRowShown="0" headerRowDxfId="1316" dataDxfId="1315" tableBorderDxfId="1314">
  <tableColumns count="3">
    <tableColumn id="1" xr3:uid="{00000000-0010-0000-BC00-000001000000}" name="Student Identifier" dataDxfId="1313"/>
    <tableColumn id="2" xr3:uid="{00000000-0010-0000-BC00-000002000000}" name="Reason" dataDxfId="1312"/>
    <tableColumn id="3" xr3:uid="{00000000-0010-0000-BC00-000003000000}" name="Expenditures" dataDxfId="131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8 Compliance Standard" altTextSummary="Users can enter data in this table for the termination of the obligation to provide special education to a particular student that is an exceptionally costly program projected for Year 8. This table is for the compliance standard and is based on final expenditures."/>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A000000}" name="ExcDDataYear4Expenditures" displayName="ExcDDataYear4Expenditures" ref="H47:I53" totalsRowShown="0" headerRowDxfId="2493" dataDxfId="2491" headerRowBorderDxfId="2492" tableBorderDxfId="2490">
  <tableColumns count="2">
    <tableColumn id="1" xr3:uid="{00000000-0010-0000-5A00-000001000000}" name="Description" dataDxfId="2489"/>
    <tableColumn id="2" xr3:uid="{00000000-0010-0000-5A00-000002000000}" name="Cost in Final Year of Expenditure" dataDxfId="2488"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4 Compliance Standard" altTextSummary="Users can enter data in this table for the termination of costly expenditures for long-term purchases for Year 4. This table is for the compliance standard and is based on final expenditures."/>
    </ext>
  </extLst>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BD000000}" name="ExcEDataYear8Expenditures" displayName="ExcEDataYear8Expenditures" ref="H57:I63" totalsRowShown="0" headerRowDxfId="1310" tableBorderDxfId="1309">
  <tableColumns count="2">
    <tableColumn id="1" xr3:uid="{00000000-0010-0000-BD00-000001000000}" name="Student Identifier" dataDxfId="1308"/>
    <tableColumn id="2" xr3:uid="{00000000-0010-0000-BD00-000002000000}" name="Cost Assumed by SEA" dataDxfId="130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8 Compliance Standard" altTextSummary="Users can enter data for the assumption of cost by the high cost fund operated by the SEA for Year 8. This table is for the compliance standard and uses final expenditures. The table will not calculate a total if tab 3b indicates that the SEA does not have a high cost fund in Year 8."/>
    </ext>
  </extLst>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BE000000}" name="ExcBChildCountDataYear8Expenditures" displayName="ExcBChildCountDataYear8Expenditures" ref="H25:I29" totalsRowShown="0" headerRowDxfId="1306" dataDxfId="1305">
  <tableColumns count="2">
    <tableColumn id="1" xr3:uid="{00000000-0010-0000-BE00-000001000000}" name="Column1" dataDxfId="1304"/>
    <tableColumn id="2" xr3:uid="{00000000-0010-0000-BE00-000002000000}" name="Column2" dataDxfId="130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8 Compliance Standard" altTextSummary="This table automatically calculates the change in enrollment for Year 8 to determine whether the LEA can apply exception (b). This table is for the compliance standard."/>
    </ext>
  </extLst>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BF000000}" name="ExcBFundsDataYear8Expenditures" displayName="ExcBFundsDataYear8Expenditures" ref="H30:J32" totalsRowShown="0" headerRowDxfId="1302" dataDxfId="1300" headerRowBorderDxfId="1301" tableBorderDxfId="1299" totalsRowBorderDxfId="1298">
  <tableColumns count="3">
    <tableColumn id="1" xr3:uid="{00000000-0010-0000-BF00-000001000000}" name="Column1" dataDxfId="1297"/>
    <tableColumn id="2" xr3:uid="{00000000-0010-0000-BF00-000002000000}" name="Local Total" dataDxfId="1296"/>
    <tableColumn id="3" xr3:uid="{00000000-0010-0000-BF00-000003000000}" name="State and Local Total" dataDxfId="1295"/>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8 Compliance Standard" altTextSummary="This table automatically calculates the reduction based on a decrease in enrollment for Year 8. This table is for the compliance standard and uses final expenditures. The row for Allowed Reduction will be blank and blacked out if there is no decrease in child count."/>
    </ext>
  </extLst>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C0000000}" name="TotalBudgetedExcYear8" displayName="TotalBudgetedExcYear8" ref="A66:B68" totalsRowShown="0" headerRowDxfId="1294" headerRowBorderDxfId="1293" tableBorderDxfId="1292" totalsRowBorderDxfId="1291">
  <autoFilter ref="A66:B68" xr:uid="{00000000-0009-0000-0100-0000E7000000}">
    <filterColumn colId="0" hiddenButton="1"/>
    <filterColumn colId="1" hiddenButton="1"/>
  </autoFilter>
  <tableColumns count="2">
    <tableColumn id="1" xr3:uid="{00000000-0010-0000-C000-000001000000}" name="Source" dataDxfId="1290" dataCellStyle="Normal 2"/>
    <tableColumn id="2" xr3:uid="{00000000-0010-0000-C000-000002000000}" name="Total" dataDxfId="1289"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8 Eligibility Standard" altTextSummary="This table displays the total projected exceptions entered for the eligibility standard for Year 8."/>
    </ext>
  </extLst>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C1000000}" name="TotalExpendituresExcYear8" displayName="TotalExpendituresExcYear8" ref="H66:I68" totalsRowShown="0" headerRowDxfId="1288" headerRowBorderDxfId="1287" tableBorderDxfId="1286" totalsRowBorderDxfId="1285">
  <autoFilter ref="H66:I68" xr:uid="{00000000-0009-0000-0100-0000E8000000}">
    <filterColumn colId="0" hiddenButton="1"/>
    <filterColumn colId="1" hiddenButton="1"/>
  </autoFilter>
  <tableColumns count="2">
    <tableColumn id="1" xr3:uid="{00000000-0010-0000-C100-000001000000}" name="Source" dataDxfId="1284" dataCellStyle="Normal 2"/>
    <tableColumn id="2" xr3:uid="{00000000-0010-0000-C100-000002000000}" name="Total" dataDxfId="1283"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8 Compliance Standard" altTextSummary="This table displays the total exceptions entered for the compliance standard for Year 8."/>
    </ext>
  </extLst>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C2000000}" name="EligibilityYear8" displayName="EligibilityYear8" ref="A5:E10" totalsRowShown="0" headerRowDxfId="1282" headerRowBorderDxfId="1281" tableBorderDxfId="1280" totalsRowBorderDxfId="1279">
  <autoFilter ref="A5:E10" xr:uid="{00000000-0009-0000-0100-0000E9000000}">
    <filterColumn colId="0" hiddenButton="1"/>
    <filterColumn colId="1" hiddenButton="1"/>
    <filterColumn colId="2" hiddenButton="1"/>
    <filterColumn colId="3" hiddenButton="1"/>
    <filterColumn colId="4" hiddenButton="1"/>
  </autoFilter>
  <tableColumns count="5">
    <tableColumn id="1" xr3:uid="{00000000-0010-0000-C200-000001000000}" name="MOE Information" dataDxfId="1278"/>
    <tableColumn id="2" xr3:uid="{00000000-0010-0000-C200-000002000000}" name="Total Local Funds"/>
    <tableColumn id="3" xr3:uid="{00000000-0010-0000-C200-000003000000}" name="Total State and Local Funds"/>
    <tableColumn id="4" xr3:uid="{00000000-0010-0000-C200-000004000000}" name="Local Funds Per Capita"/>
    <tableColumn id="5" xr3:uid="{00000000-0010-0000-C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8 Eligibility Standard" altTextSummary="This table displays MOE amounts and results for the eligibility standard for Year 8."/>
    </ext>
  </extLst>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C3000000}" name="ComplianceYear8" displayName="ComplianceYear8" ref="A13:E18" totalsRowShown="0" headerRowDxfId="1277" headerRowBorderDxfId="1276" tableBorderDxfId="1275" totalsRowBorderDxfId="1274">
  <autoFilter ref="A13:E18" xr:uid="{00000000-0009-0000-0100-0000EA000000}">
    <filterColumn colId="0" hiddenButton="1"/>
    <filterColumn colId="1" hiddenButton="1"/>
    <filterColumn colId="2" hiddenButton="1"/>
    <filterColumn colId="3" hiddenButton="1"/>
    <filterColumn colId="4" hiddenButton="1"/>
  </autoFilter>
  <tableColumns count="5">
    <tableColumn id="1" xr3:uid="{00000000-0010-0000-C300-000001000000}" name="MOE Information" dataDxfId="1273"/>
    <tableColumn id="2" xr3:uid="{00000000-0010-0000-C300-000002000000}" name="Total Local Funds" dataDxfId="1272"/>
    <tableColumn id="3" xr3:uid="{00000000-0010-0000-C300-000003000000}" name="Total State and Local Funds" dataDxfId="1271"/>
    <tableColumn id="4" xr3:uid="{00000000-0010-0000-C300-000004000000}" name="Local Funds Per Capita" dataDxfId="1270"/>
    <tableColumn id="5" xr3:uid="{00000000-0010-0000-C300-000005000000}" name="State and Local Funds Per Capita" dataDxfId="1269"/>
  </tableColumns>
  <tableStyleInfo name="TableStyleLight18" showFirstColumn="0" showLastColumn="0" showRowStripes="0" showColumnStripes="0"/>
  <extLst>
    <ext xmlns:x14="http://schemas.microsoft.com/office/spreadsheetml/2009/9/main" uri="{504A1905-F514-4f6f-8877-14C23A59335A}">
      <x14:table altText="Year 8 Compliance Standard" altTextSummary="This table displays MOE amounts and results for the compliance standard for Year 8."/>
    </ext>
  </extLst>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C4000000}" name="RepaymentYear8" displayName="RepaymentYear8" ref="A21:B27" totalsRowShown="0" headerRowBorderDxfId="1268" tableBorderDxfId="1267" totalsRowBorderDxfId="1266">
  <autoFilter ref="A21:B27" xr:uid="{00000000-0009-0000-0100-0000EB000000}">
    <filterColumn colId="0" hiddenButton="1"/>
    <filterColumn colId="1" hiddenButton="1"/>
  </autoFilter>
  <tableColumns count="2">
    <tableColumn id="1" xr3:uid="{00000000-0010-0000-C400-000001000000}" name="Repayment data" dataDxfId="1265"/>
    <tableColumn id="2" xr3:uid="{00000000-0010-0000-C400-000002000000}" name="Data for Year 8"/>
  </tableColumns>
  <tableStyleInfo name="TableStyleLight18" showFirstColumn="0" showLastColumn="0" showRowStripes="0" showColumnStripes="0"/>
  <extLst>
    <ext xmlns:x14="http://schemas.microsoft.com/office/spreadsheetml/2009/9/main" uri="{504A1905-F514-4f6f-8877-14C23A59335A}">
      <x14:table altText="Year 8 Repayment Information" altTextSummary="This table calculates the repayment amount for Year 8 if the LEA fails MOE by all four methods for the compliance standard. Users must enter data for IDEA allocations."/>
    </ext>
  </extLst>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0000000-000C-0000-FFFF-FFFFC5000000}" name="ExcAdjSummaryYear8" displayName="ExcAdjSummaryYear8" ref="A33:E40" totalsRowShown="0" headerRowDxfId="1264" headerRowBorderDxfId="1263" tableBorderDxfId="1262" totalsRowBorderDxfId="1261">
  <autoFilter ref="A33:E40" xr:uid="{00000000-0009-0000-0100-000058010000}">
    <filterColumn colId="0" hiddenButton="1"/>
    <filterColumn colId="1" hiddenButton="1"/>
    <filterColumn colId="2" hiddenButton="1"/>
    <filterColumn colId="3" hiddenButton="1"/>
    <filterColumn colId="4" hiddenButton="1"/>
  </autoFilter>
  <tableColumns count="5">
    <tableColumn id="1" xr3:uid="{00000000-0010-0000-C500-000001000000}" name="Exception or Adjustment" dataDxfId="1260"/>
    <tableColumn id="2" xr3:uid="{00000000-0010-0000-C500-000002000000}" name="Projected Local Funds" dataDxfId="1259"/>
    <tableColumn id="3" xr3:uid="{00000000-0010-0000-C500-000003000000}" name="Projected State and Local Funds" dataDxfId="1258"/>
    <tableColumn id="4" xr3:uid="{00000000-0010-0000-C500-000004000000}" name="Local Funds" dataDxfId="1257"/>
    <tableColumn id="5" xr3:uid="{00000000-0010-0000-C500-000005000000}" name="State and Local Funds" dataDxfId="1256"/>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8" altTextSummary="This table presents a summary of all exceptions taken for Year 8. Detailed data on the exceptions are entered on the Exc &amp; Adj tab for Year 8."/>
    </ext>
  </extLst>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C6000000}" name="BudgetYear9" displayName="BudgetYear9" ref="A4:F31" totalsRowShown="0" headerRowDxfId="1255" tableBorderDxfId="1254">
  <tableColumns count="6">
    <tableColumn id="1" xr3:uid="{00000000-0010-0000-C600-000001000000}" name="Object Description" dataDxfId="1253"/>
    <tableColumn id="2" xr3:uid="{00000000-0010-0000-C600-000002000000}" name="Code 1" dataDxfId="1252"/>
    <tableColumn id="7" xr3:uid="{00000000-0010-0000-C600-000007000000}" name="Code 2" dataDxfId="1251"/>
    <tableColumn id="3" xr3:uid="{00000000-0010-0000-C600-000003000000}" name="Local" dataDxfId="1250" dataCellStyle="Currency"/>
    <tableColumn id="4" xr3:uid="{00000000-0010-0000-C600-000004000000}" name="State" dataDxfId="1249" dataCellStyle="Currency"/>
    <tableColumn id="5" xr3:uid="{00000000-0010-0000-C600-000005000000}" name="State and Local" dataDxfId="1248"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9" altTextSummary="In this table, users will enter their budget amounts for Year 9. The column headers for the first three columns are unlocked and can be edited. If the LEA cannot separately budget for state and local funds, leave the Local column blank."/>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1000000}" name="LastYearMet" displayName="LastYearMet" ref="A9:D13" totalsRowShown="0" headerRowBorderDxfId="2625" tableBorderDxfId="2624" totalsRowBorderDxfId="2623">
  <autoFilter ref="A9:D13" xr:uid="{00000000-0009-0000-0100-0000C2000000}">
    <filterColumn colId="0" hiddenButton="1"/>
    <filterColumn colId="1" hiddenButton="1"/>
    <filterColumn colId="2" hiddenButton="1"/>
    <filterColumn colId="3" hiddenButton="1"/>
  </autoFilter>
  <tableColumns count="4">
    <tableColumn id="1" xr3:uid="{00000000-0010-0000-0100-000001000000}" name="Method" dataDxfId="2622"/>
    <tableColumn id="2" xr3:uid="{00000000-0010-0000-0100-000002000000}" name="Last year met (four-digit year)" dataDxfId="2621">
      <calculatedColumnFormula array="1">IFERROR(vloolup(B3,#REF!,6,0),0)</calculatedColumnFormula>
    </tableColumn>
    <tableColumn id="3" xr3:uid="{00000000-0010-0000-0100-000003000000}" name="Expenditures last year met" dataDxfId="2620" dataCellStyle="Currency"/>
    <tableColumn id="4" xr3:uid="{00000000-0010-0000-0100-000004000000}" name="Child count last year met" dataDxfId="2619" dataCellStyle="Comma">
      <calculatedColumnFormula>IFERROR(VLOOKUP(B3,'42. SEA or LEA Worksheet'!A4:O319,14,0),0)</calculatedColumnFormula>
    </tableColumn>
  </tableColumns>
  <tableStyleInfo name="TableStyleLight18" showFirstColumn="0" showLastColumn="0" showRowStripes="0" showColumnStripes="0"/>
  <extLst>
    <ext xmlns:x14="http://schemas.microsoft.com/office/spreadsheetml/2009/9/main" uri="{504A1905-F514-4f6f-8877-14C23A59335A}">
      <x14:table altText="Last Year Met" altTextSummary="Enter information in this table for the last year the comparison standard was met for each of the four methods. Required information is the last year met, the expenditures for that year, and the child count for that year._x000d__x000a_"/>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B000000}" name="AdjDataYear4Expenditures" displayName="AdjDataYear4Expenditures" ref="H71:I72" totalsRowShown="0" headerRowDxfId="2487" dataDxfId="2485" headerRowBorderDxfId="2486" tableBorderDxfId="2484" totalsRowBorderDxfId="2483">
  <tableColumns count="2">
    <tableColumn id="1" xr3:uid="{00000000-0010-0000-5B00-000001000000}" name="Column1" dataDxfId="2482"/>
    <tableColumn id="2" xr3:uid="{00000000-0010-0000-5B00-000002000000}" name="Adjustment " dataDxfId="2481"/>
  </tableColumns>
  <tableStyleInfo name="TableStyleMedium9" showFirstColumn="0" showLastColumn="0" showRowStripes="0" showColumnStripes="0"/>
  <extLst>
    <ext xmlns:x14="http://schemas.microsoft.com/office/spreadsheetml/2009/9/main" uri="{504A1905-F514-4f6f-8877-14C23A59335A}">
      <x14:table altText="MOE Adjustment Data Entry for Year 4 Compliance Standard" altTextSummary="Users can enter data in this table for the Adjustment to MOE for Year 4. This table is for the compliance standard and is based on final expenditures. Use IDC's MOE Reduction Decision Tree and Calculator to determine the adjustment amount."/>
    </ext>
  </extLst>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C7000000}" name="ExpendituresYear9" displayName="ExpendituresYear9" ref="H4:M31" totalsRowShown="0" headerRowDxfId="1247" tableBorderDxfId="1246">
  <tableColumns count="6">
    <tableColumn id="1" xr3:uid="{00000000-0010-0000-C700-000001000000}" name="Object Description" dataDxfId="1245"/>
    <tableColumn id="2" xr3:uid="{00000000-0010-0000-C700-000002000000}" name="Code" dataDxfId="1244"/>
    <tableColumn id="6" xr3:uid="{00000000-0010-0000-C700-000006000000}" name="Code 2" dataDxfId="1243"/>
    <tableColumn id="3" xr3:uid="{00000000-0010-0000-C700-000003000000}" name="Local" dataDxfId="1242" dataCellStyle="Currency"/>
    <tableColumn id="4" xr3:uid="{00000000-0010-0000-C700-000004000000}" name="State" dataDxfId="1241" dataCellStyle="Currency"/>
    <tableColumn id="5" xr3:uid="{00000000-0010-0000-C700-000005000000}" name="State and Local" dataDxfId="1240"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9" altTextSummary="In this table, users will enter the LEA's final expenditures for Year 9. The column headers for the first three columns are unlocked and can be edited. If the LEA cannot separately budget for state and local funds, leave the Local column blank."/>
    </ext>
  </extLst>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C8000000}" name="ExcADepartingDataYear9Budget" displayName="ExcADepartingDataYear9Budget" ref="A7:F13" totalsRowShown="0" headerRowDxfId="1239" dataDxfId="1237" headerRowBorderDxfId="1238" tableBorderDxfId="1236">
  <tableColumns count="6">
    <tableColumn id="1" xr3:uid="{00000000-0010-0000-C800-000001000000}" name="Position Title" dataDxfId="1235"/>
    <tableColumn id="2" xr3:uid="{00000000-0010-0000-C800-000002000000}" name="Employee Name" dataDxfId="1234"/>
    <tableColumn id="3" xr3:uid="{00000000-0010-0000-C800-000003000000}" name="Reason for Leaving" dataDxfId="1233"/>
    <tableColumn id="4" xr3:uid="{00000000-0010-0000-C800-000004000000}" name="Salary" dataDxfId="1232" dataCellStyle="Currency"/>
    <tableColumn id="5" xr3:uid="{00000000-0010-0000-C800-000005000000}" name="Benefits" dataDxfId="1231" dataCellStyle="Currency"/>
    <tableColumn id="8" xr3:uid="{00000000-0010-0000-C800-000008000000}" name="Total Budget" dataDxfId="123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9 Eligiblity Standard" altTextSummary="Users can enter data in this table for any departing personnel projected for Year 9. This table is for the eligiblity standard and is based on budget amounts."/>
    </ext>
  </extLst>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C9000000}" name="ExcAReplaceDataYear9Budget" displayName="ExcAReplaceDataYear9Budget" ref="A15:F21" totalsRowShown="0" headerRowDxfId="1229" dataDxfId="1227" headerRowBorderDxfId="1228" tableBorderDxfId="1226">
  <tableColumns count="6">
    <tableColumn id="1" xr3:uid="{00000000-0010-0000-C900-000001000000}" name="Position Title" dataDxfId="1225"/>
    <tableColumn id="2" xr3:uid="{00000000-0010-0000-C900-000002000000}" name="Employee Name" dataDxfId="1224"/>
    <tableColumn id="3" xr3:uid="{00000000-0010-0000-C900-000003000000}" name="This column intentionally left blank" dataDxfId="1223"/>
    <tableColumn id="4" xr3:uid="{00000000-0010-0000-C900-000004000000}" name="Salary" dataDxfId="1222" dataCellStyle="Currency"/>
    <tableColumn id="5" xr3:uid="{00000000-0010-0000-C900-000005000000}" name="Benefits" dataDxfId="1221" dataCellStyle="Currency"/>
    <tableColumn id="8" xr3:uid="{00000000-0010-0000-C900-000008000000}" name="Total Budget" dataDxfId="122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9 Eligibility Standard" altTextSummary="Users can enter data in this table for any replacement personnel projected for Year 9. This table is for the eligiblity standard and is based on budget amounts."/>
    </ext>
  </extLst>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CA000000}" name="ExcDDataYear9Budget" displayName="ExcDDataYear9Budget" ref="A47:B53" totalsRowShown="0" headerRowDxfId="1219" dataDxfId="1217" headerRowBorderDxfId="1218" tableBorderDxfId="1216">
  <tableColumns count="2">
    <tableColumn id="1" xr3:uid="{00000000-0010-0000-CA00-000001000000}" name="Description" dataDxfId="1215"/>
    <tableColumn id="2" xr3:uid="{00000000-0010-0000-CA00-000002000000}" name="Budgeted Cost in Final Year" dataDxfId="121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9 Eligiblity Standard" altTextSummary="Users can enter data in this table for the projected termination of costly expenditures for long-term purchases for Year 9. This table is for the eligiblity standard and is based on budget amounts."/>
    </ext>
  </extLst>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CB000000}" name="AdjDataYear9Budget" displayName="AdjDataYear9Budget" ref="A71:B72" totalsRowShown="0" headerRowDxfId="1213" dataDxfId="1211" headerRowBorderDxfId="1212" tableBorderDxfId="1210" totalsRowBorderDxfId="1209">
  <tableColumns count="2">
    <tableColumn id="1" xr3:uid="{00000000-0010-0000-CB00-000001000000}" name="Column1" dataDxfId="1208"/>
    <tableColumn id="2" xr3:uid="{00000000-0010-0000-CB00-000002000000}" name="Projected Adjustment" dataDxfId="1207"/>
  </tableColumns>
  <tableStyleInfo name="TableStyleMedium9" showFirstColumn="0" showLastColumn="0" showRowStripes="0" showColumnStripes="0"/>
  <extLst>
    <ext xmlns:x14="http://schemas.microsoft.com/office/spreadsheetml/2009/9/main" uri="{504A1905-F514-4f6f-8877-14C23A59335A}">
      <x14:table altText="MOE Adjustment Data Entry for Year 9 Eligiblity Standard" altTextSummary="Users can enter data in this table for the projected Adjustment to MOE for Year 9. This table is for the eligiblity standard and is based on budget amounts. Use IDC's MOE Reduction Decision Tree and Calculator to determine the adjustment amount."/>
    </ext>
  </extLst>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CC000000}" name="ExcCDataYear9Budget" displayName="ExcCDataYear9Budget" ref="A37:C43" totalsRowShown="0" headerRowDxfId="1206" dataDxfId="1205" tableBorderDxfId="1204">
  <tableColumns count="3">
    <tableColumn id="1" xr3:uid="{00000000-0010-0000-CC00-000001000000}" name="Student Identifier" dataDxfId="1203"/>
    <tableColumn id="2" xr3:uid="{00000000-0010-0000-CC00-000002000000}" name="Reason" dataDxfId="1202"/>
    <tableColumn id="3" xr3:uid="{00000000-0010-0000-CC00-000003000000}" name="Budgeted Cost" dataDxfId="120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9 Eligiblity Standard" altTextSummary="Users can enter data in this table for the projected termination of the obligation to provide special education to a particular student that is an exceptionally costly program projected for Year 9. This table is for the eligiblity standard and is based on budget amounts."/>
    </ext>
  </extLst>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CD000000}" name="ExcEDataYear9Budget" displayName="ExcEDataYear9Budget" ref="A57:B63" totalsRowShown="0" headerRowDxfId="1200" tableBorderDxfId="1199">
  <tableColumns count="2">
    <tableColumn id="1" xr3:uid="{00000000-0010-0000-CD00-000001000000}" name="Student Identifier" dataDxfId="1198"/>
    <tableColumn id="2" xr3:uid="{00000000-0010-0000-CD00-000002000000}" name="Budgeted Cost Assumed by SEA" dataDxfId="119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9 Eligiblity Standard" altTextSummary="Users can enter data for the projected assumption of cost by the high cost fund operated by the SEA for Year 9. This table is for the eligibility standard and uses budget data. The table will not calculate a total if tab 3b indicates that the SEA does not have a high cost fund in Year 9."/>
    </ext>
  </extLst>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CE000000}" name="ExcBChildCountDataYear9Budget" displayName="ExcBChildCountDataYear9Budget" ref="A25:B29" totalsRowShown="0" headerRowDxfId="1196" dataDxfId="1195">
  <tableColumns count="2">
    <tableColumn id="1" xr3:uid="{00000000-0010-0000-CE00-000001000000}" name="Column1" dataDxfId="1194"/>
    <tableColumn id="2" xr3:uid="{00000000-0010-0000-CE00-000002000000}" name="Column2" dataDxfId="119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9 Eligibility Standard" altTextSummary="This table automatically calculates the change in enrollment for Year 9 to determine whether the LEA can apply exception (b). This table is for the eligibility standard."/>
    </ext>
  </extLst>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CF000000}" name="ExcBFundsDataYear9Budget" displayName="ExcBFundsDataYear9Budget" ref="A30:C32" totalsRowShown="0" headerRowDxfId="1192" dataDxfId="1190" headerRowBorderDxfId="1191" tableBorderDxfId="1189" totalsRowBorderDxfId="1188">
  <tableColumns count="3">
    <tableColumn id="1" xr3:uid="{00000000-0010-0000-CF00-000001000000}" name="Column1" dataDxfId="1187"/>
    <tableColumn id="2" xr3:uid="{00000000-0010-0000-CF00-000002000000}" name="Total Local Funds" dataDxfId="1186">
      <calculatedColumnFormula>'2. Getting Started'!C17</calculatedColumnFormula>
    </tableColumn>
    <tableColumn id="3" xr3:uid="{00000000-0010-0000-CF00-000003000000}" name="Total State and Local Funds" dataDxfId="1185">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9 Eligiblity Standard" altTextSummary="This table automatically calculates the projected reduction based on a decrease in enrollment for Year 9. This table is for the eligibility standard and uses budget data. The row for Projected Reduction will be blank if there is no decrease in child count."/>
    </ext>
  </extLst>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D0000000}" name="ExcADepartingDataYear9Expenditures" displayName="ExcADepartingDataYear9Expenditures" ref="H7:M13" totalsRowShown="0" headerRowDxfId="1184" dataDxfId="1182" headerRowBorderDxfId="1183" tableBorderDxfId="1181">
  <tableColumns count="6">
    <tableColumn id="1" xr3:uid="{00000000-0010-0000-D000-000001000000}" name="Position Title" dataDxfId="1180"/>
    <tableColumn id="2" xr3:uid="{00000000-0010-0000-D000-000002000000}" name="Employee Name" dataDxfId="1179"/>
    <tableColumn id="3" xr3:uid="{00000000-0010-0000-D000-000003000000}" name="Reason for Leaving" dataDxfId="1178"/>
    <tableColumn id="4" xr3:uid="{00000000-0010-0000-D000-000004000000}" name="Salary" dataDxfId="1177" dataCellStyle="Currency"/>
    <tableColumn id="5" xr3:uid="{00000000-0010-0000-D000-000005000000}" name="Benefits" dataDxfId="1176" dataCellStyle="Currency"/>
    <tableColumn id="8" xr3:uid="{00000000-0010-0000-D000-000008000000}" name="Total Expenditures" dataDxfId="117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9 Compliance Standard" altTextSummary="Users can enter data in this table for any departing personnel for Year 9. This table is for the compliance standard and is based on final expenditures."/>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C000000}" name="ExcCDataYear4Expenditures" displayName="ExcCDataYear4Expenditures" ref="H37:J43" totalsRowShown="0" headerRowDxfId="2480" dataDxfId="2479" tableBorderDxfId="2478">
  <tableColumns count="3">
    <tableColumn id="1" xr3:uid="{00000000-0010-0000-5C00-000001000000}" name="Student Identifier" dataDxfId="2477"/>
    <tableColumn id="2" xr3:uid="{00000000-0010-0000-5C00-000002000000}" name="Reason" dataDxfId="2476"/>
    <tableColumn id="3" xr3:uid="{00000000-0010-0000-5C00-000003000000}" name="Expenditures" dataDxfId="2475"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4 Compliance Standard" altTextSummary="Users can enter data in this table for the termination of the obligation to provide special education to a particular student that is an exceptionally costly program projected for Year 4. This table is for the compliance standard and is based on final expenditures."/>
    </ext>
  </extLst>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D1000000}" name="ExcAReplaceDataYear9Expenditures" displayName="ExcAReplaceDataYear9Expenditures" ref="H15:M21" totalsRowShown="0" headerRowDxfId="1174" dataDxfId="1172" headerRowBorderDxfId="1173" tableBorderDxfId="1171">
  <tableColumns count="6">
    <tableColumn id="1" xr3:uid="{00000000-0010-0000-D100-000001000000}" name="Position Title" dataDxfId="1170"/>
    <tableColumn id="2" xr3:uid="{00000000-0010-0000-D100-000002000000}" name="Employee Name" dataDxfId="1169"/>
    <tableColumn id="3" xr3:uid="{00000000-0010-0000-D100-000003000000}" name="This column intentionally left blank" dataDxfId="1168"/>
    <tableColumn id="4" xr3:uid="{00000000-0010-0000-D100-000004000000}" name="Salary" dataDxfId="1167" dataCellStyle="Currency"/>
    <tableColumn id="5" xr3:uid="{00000000-0010-0000-D100-000005000000}" name="Benefits" dataDxfId="1166" dataCellStyle="Currency"/>
    <tableColumn id="8" xr3:uid="{00000000-0010-0000-D100-000008000000}" name="Total Expenditures" dataDxfId="116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9 Compliance Standard" altTextSummary="Users can enter data in this table for any replacement personnel for Year 9. This table is for the compliance standard and is based on final expenditures."/>
    </ext>
  </extLst>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D2000000}" name="ExcDDataYear9Expenditures" displayName="ExcDDataYear9Expenditures" ref="H47:I53" totalsRowShown="0" headerRowDxfId="1164" dataDxfId="1162" headerRowBorderDxfId="1163" tableBorderDxfId="1161">
  <tableColumns count="2">
    <tableColumn id="1" xr3:uid="{00000000-0010-0000-D200-000001000000}" name="Description" dataDxfId="1160"/>
    <tableColumn id="2" xr3:uid="{00000000-0010-0000-D200-000002000000}" name="Cost in Final Year of Expenditure" dataDxfId="115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9 Compliance Standard" altTextSummary="Users can enter data in this table for the termination of costly expenditures for long-term purchases for Year 9. This table is for the compliance standard and is based on final expenditures."/>
    </ext>
  </extLst>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D3000000}" name="AdjDataYear9Expenditures" displayName="AdjDataYear9Expenditures" ref="H71:I72" totalsRowShown="0" headerRowDxfId="1158" dataDxfId="1156" headerRowBorderDxfId="1157" tableBorderDxfId="1155" totalsRowBorderDxfId="1154">
  <tableColumns count="2">
    <tableColumn id="1" xr3:uid="{00000000-0010-0000-D300-000001000000}" name="Column1" dataDxfId="1153"/>
    <tableColumn id="2" xr3:uid="{00000000-0010-0000-D300-000002000000}" name="Adjustment " dataDxfId="1152"/>
  </tableColumns>
  <tableStyleInfo name="TableStyleMedium9" showFirstColumn="0" showLastColumn="0" showRowStripes="0" showColumnStripes="0"/>
  <extLst>
    <ext xmlns:x14="http://schemas.microsoft.com/office/spreadsheetml/2009/9/main" uri="{504A1905-F514-4f6f-8877-14C23A59335A}">
      <x14:table altText="MOE Adjustment Data Entry for Year 9 Compliance Standard" altTextSummary="Users can enter data in this table for the Adjustment to MOE for Year 9. This table is for the compliance standard and is based on final expenditures. Use IDC's MOE Reduction Decision Tree and Calculator to determine the adjustment amount."/>
    </ext>
  </extLst>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D4000000}" name="ExcCDataYear9Expenditures" displayName="ExcCDataYear9Expenditures" ref="H37:J43" totalsRowShown="0" headerRowDxfId="1151" dataDxfId="1150" tableBorderDxfId="1149">
  <tableColumns count="3">
    <tableColumn id="1" xr3:uid="{00000000-0010-0000-D400-000001000000}" name="Student Identifier" dataDxfId="1148"/>
    <tableColumn id="2" xr3:uid="{00000000-0010-0000-D400-000002000000}" name="Reason" dataDxfId="1147"/>
    <tableColumn id="3" xr3:uid="{00000000-0010-0000-D400-000003000000}" name="Expenditures" dataDxfId="114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9 Compliance Standard" altTextSummary="Users can enter data in this table for the termination of the obligation to provide special education to a particular student that is an exceptionally costly program projected for Year 9. This table is for the compliance standard and is based on final expenditures."/>
    </ext>
  </extLst>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D5000000}" name="ExcEDataYear9Expenditures" displayName="ExcEDataYear9Expenditures" ref="H57:I63" totalsRowShown="0" headerRowDxfId="1145" tableBorderDxfId="1144">
  <tableColumns count="2">
    <tableColumn id="1" xr3:uid="{00000000-0010-0000-D500-000001000000}" name="Student Identifier" dataDxfId="1143"/>
    <tableColumn id="2" xr3:uid="{00000000-0010-0000-D500-000002000000}" name="Cost Assumed by SEA" dataDxfId="114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9 Compliance Standard" altTextSummary="Users can enter data for the assumption of cost by the high cost fund operated by the SEA for Year 9. This table is for the compliance standard and uses final expenditures. The table will not calculate a total if tab 3b indicates that the SEA does not have a high cost fund in Year 9."/>
    </ext>
  </extLst>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D6000000}" name="ExcBChildCountDataYear9Expenditures" displayName="ExcBChildCountDataYear9Expenditures" ref="H25:I29" totalsRowShown="0" headerRowDxfId="1141" dataDxfId="1140">
  <tableColumns count="2">
    <tableColumn id="1" xr3:uid="{00000000-0010-0000-D600-000001000000}" name="Column1" dataDxfId="1139"/>
    <tableColumn id="2" xr3:uid="{00000000-0010-0000-D600-000002000000}" name="Column2" dataDxfId="113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9 Compliance Standard" altTextSummary="This table automatically calculates the change in enrollment for Year 9 to determine whether the LEA can apply exception (b). This table is for the compliance standard."/>
    </ext>
  </extLst>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D7000000}" name="ExcBFundsDataYear9Expenditures" displayName="ExcBFundsDataYear9Expenditures" ref="H30:J32" totalsRowShown="0" headerRowDxfId="1137" dataDxfId="1135" headerRowBorderDxfId="1136" tableBorderDxfId="1134" totalsRowBorderDxfId="1133">
  <tableColumns count="3">
    <tableColumn id="1" xr3:uid="{00000000-0010-0000-D700-000001000000}" name="Column1" dataDxfId="1132"/>
    <tableColumn id="2" xr3:uid="{00000000-0010-0000-D700-000002000000}" name="Local Total" dataDxfId="1131"/>
    <tableColumn id="3" xr3:uid="{00000000-0010-0000-D700-000003000000}" name="State and Local Total" dataDxfId="1130"/>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9 Compliance Standard" altTextSummary="This table automatically calculates the reduction based on a decrease in enrollment for Year 9. This table is for the compliance standard and uses final expenditures. The row for Allowed Reduction will be blank and blacked out if there is no decrease in child count."/>
    </ext>
  </extLst>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D8000000}" name="TotalBudgetedExcYear9" displayName="TotalBudgetedExcYear9" ref="A66:B68" totalsRowShown="0" headerRowDxfId="1129" headerRowBorderDxfId="1128" tableBorderDxfId="1127" totalsRowBorderDxfId="1126">
  <autoFilter ref="A66:B68" xr:uid="{00000000-0009-0000-0100-0000E5000000}">
    <filterColumn colId="0" hiddenButton="1"/>
    <filterColumn colId="1" hiddenButton="1"/>
  </autoFilter>
  <tableColumns count="2">
    <tableColumn id="1" xr3:uid="{00000000-0010-0000-D800-000001000000}" name="Source" dataDxfId="1125" dataCellStyle="Normal 2"/>
    <tableColumn id="2" xr3:uid="{00000000-0010-0000-D800-000002000000}" name="Total" dataDxfId="1124"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9 Eligibility Standard" altTextSummary="This table displays the total projected exceptions entered for the eligibility standard for Year 9."/>
    </ext>
  </extLst>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D9000000}" name="TotalExpendituresExcYear9" displayName="TotalExpendituresExcYear9" ref="H66:I68" totalsRowShown="0" headerRowDxfId="1123" headerRowBorderDxfId="1122" tableBorderDxfId="1121" totalsRowBorderDxfId="1120">
  <autoFilter ref="H66:I68" xr:uid="{00000000-0009-0000-0100-0000EC000000}">
    <filterColumn colId="0" hiddenButton="1"/>
    <filterColumn colId="1" hiddenButton="1"/>
  </autoFilter>
  <tableColumns count="2">
    <tableColumn id="1" xr3:uid="{00000000-0010-0000-D900-000001000000}" name="Source" dataDxfId="1119" dataCellStyle="Normal 2"/>
    <tableColumn id="2" xr3:uid="{00000000-0010-0000-D900-000002000000}" name="Total" dataDxfId="1118"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9 Compliance Standard" altTextSummary="This table displays the total exceptions entered for the compliance standard for Year 9."/>
    </ext>
  </extLst>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DA000000}" name="RepaymentYear9" displayName="RepaymentYear9" ref="A21:B27" totalsRowShown="0" headerRowBorderDxfId="1117" tableBorderDxfId="1116" totalsRowBorderDxfId="1115">
  <autoFilter ref="A21:B27" xr:uid="{00000000-0009-0000-0100-0000ED000000}">
    <filterColumn colId="0" hiddenButton="1"/>
    <filterColumn colId="1" hiddenButton="1"/>
  </autoFilter>
  <tableColumns count="2">
    <tableColumn id="1" xr3:uid="{00000000-0010-0000-DA00-000001000000}" name="Repayment data" dataDxfId="1114"/>
    <tableColumn id="2" xr3:uid="{00000000-0010-0000-DA00-000002000000}" name="Data for Year 9"/>
  </tableColumns>
  <tableStyleInfo name="TableStyleLight18" showFirstColumn="0" showLastColumn="0" showRowStripes="0" showColumnStripes="0"/>
  <extLst>
    <ext xmlns:x14="http://schemas.microsoft.com/office/spreadsheetml/2009/9/main" uri="{504A1905-F514-4f6f-8877-14C23A59335A}">
      <x14:table altText="Year 9 Repayment Information" altTextSummary="This table calculates the repayment amount for Year 9 if the LEA fails MOE by all four methods for the compliance standard. Users must enter data for IDEA allocations."/>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D000000}" name="ExcEDataYear4Expenditures" displayName="ExcEDataYear4Expenditures" ref="H57:I63" totalsRowShown="0" headerRowDxfId="2474" tableBorderDxfId="2473">
  <tableColumns count="2">
    <tableColumn id="1" xr3:uid="{00000000-0010-0000-5D00-000001000000}" name="Student Identifier" dataDxfId="2472"/>
    <tableColumn id="2" xr3:uid="{00000000-0010-0000-5D00-000002000000}" name="Cost Assumed by SEA" dataDxfId="2471"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4 Compliance Standard" altTextSummary="Users can enter data for the assumption of cost by the high cost fund operated by the SEA for Year 4. This table is for the compliance standard and uses final expenditures. The table will not calculate a total if tab 3b indicates that the SEA does not have a high cost fund in Year 4."/>
    </ext>
  </extLst>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DB000000}" name="ComplianceYear9" displayName="ComplianceYear9" ref="A13:E18" totalsRowShown="0" headerRowDxfId="1113" headerRowBorderDxfId="1112" tableBorderDxfId="1111" totalsRowBorderDxfId="1110">
  <autoFilter ref="A13:E18" xr:uid="{00000000-0009-0000-0100-0000EE000000}">
    <filterColumn colId="0" hiddenButton="1"/>
    <filterColumn colId="1" hiddenButton="1"/>
    <filterColumn colId="2" hiddenButton="1"/>
    <filterColumn colId="3" hiddenButton="1"/>
    <filterColumn colId="4" hiddenButton="1"/>
  </autoFilter>
  <tableColumns count="5">
    <tableColumn id="1" xr3:uid="{00000000-0010-0000-DB00-000001000000}" name="MOE Information" dataDxfId="1109"/>
    <tableColumn id="2" xr3:uid="{00000000-0010-0000-DB00-000002000000}" name="Total Local Funds" dataDxfId="1108"/>
    <tableColumn id="3" xr3:uid="{00000000-0010-0000-DB00-000003000000}" name="Total State and Local Funds" dataDxfId="1107"/>
    <tableColumn id="4" xr3:uid="{00000000-0010-0000-DB00-000004000000}" name="Local Funds Per Capita" dataDxfId="1106"/>
    <tableColumn id="5" xr3:uid="{00000000-0010-0000-DB00-000005000000}" name="State and Local Funds Per Capita" dataDxfId="1105"/>
  </tableColumns>
  <tableStyleInfo name="TableStyleLight18" showFirstColumn="0" showLastColumn="0" showRowStripes="0" showColumnStripes="0"/>
  <extLst>
    <ext xmlns:x14="http://schemas.microsoft.com/office/spreadsheetml/2009/9/main" uri="{504A1905-F514-4f6f-8877-14C23A59335A}">
      <x14:table altText="Year 9 Compliance Standard" altTextSummary="This table displays MOE amounts and results for the compliance standard for Year 9."/>
    </ext>
  </extLst>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DC000000}" name="EligibilityYear9" displayName="EligibilityYear9" ref="A5:E10" totalsRowShown="0" headerRowDxfId="1104" headerRowBorderDxfId="1103" tableBorderDxfId="1102" totalsRowBorderDxfId="1101">
  <autoFilter ref="A5:E10" xr:uid="{00000000-0009-0000-0100-0000EF000000}">
    <filterColumn colId="0" hiddenButton="1"/>
    <filterColumn colId="1" hiddenButton="1"/>
    <filterColumn colId="2" hiddenButton="1"/>
    <filterColumn colId="3" hiddenButton="1"/>
    <filterColumn colId="4" hiddenButton="1"/>
  </autoFilter>
  <tableColumns count="5">
    <tableColumn id="1" xr3:uid="{00000000-0010-0000-DC00-000001000000}" name="MOE Information" dataDxfId="1100"/>
    <tableColumn id="2" xr3:uid="{00000000-0010-0000-DC00-000002000000}" name="Total Local Funds"/>
    <tableColumn id="3" xr3:uid="{00000000-0010-0000-DC00-000003000000}" name="Total State and Local Funds"/>
    <tableColumn id="4" xr3:uid="{00000000-0010-0000-DC00-000004000000}" name="Local Funds Per Capita"/>
    <tableColumn id="5" xr3:uid="{00000000-0010-0000-DC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9 Eligibility Standard" altTextSummary="This table displays MOE amounts and results for the eligibility standard for Year 9."/>
    </ext>
  </extLst>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00000000-000C-0000-FFFF-FFFFDD000000}" name="ExcAdjSummaryYear9" displayName="ExcAdjSummaryYear9" ref="A33:E40" totalsRowShown="0" headerRowDxfId="1099" headerRowBorderDxfId="1098" tableBorderDxfId="1097" totalsRowBorderDxfId="1096">
  <autoFilter ref="A33:E40" xr:uid="{00000000-0009-0000-0100-000059010000}">
    <filterColumn colId="0" hiddenButton="1"/>
    <filterColumn colId="1" hiddenButton="1"/>
    <filterColumn colId="2" hiddenButton="1"/>
    <filterColumn colId="3" hiddenButton="1"/>
    <filterColumn colId="4" hiddenButton="1"/>
  </autoFilter>
  <tableColumns count="5">
    <tableColumn id="1" xr3:uid="{00000000-0010-0000-DD00-000001000000}" name="Exception or Adjustment" dataDxfId="1095"/>
    <tableColumn id="2" xr3:uid="{00000000-0010-0000-DD00-000002000000}" name="Projected Local Funds" dataDxfId="1094"/>
    <tableColumn id="3" xr3:uid="{00000000-0010-0000-DD00-000003000000}" name="Projected State and Local Funds" dataDxfId="1093"/>
    <tableColumn id="4" xr3:uid="{00000000-0010-0000-DD00-000004000000}" name="Local Funds" dataDxfId="1092"/>
    <tableColumn id="5" xr3:uid="{00000000-0010-0000-DD00-000005000000}" name="State and Local Funds" dataDxfId="1091"/>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9" altTextSummary="This table presents a summary of all exceptions taken for Year 9. Detailed data on the exceptions are entered on the Exc &amp; Adj tab for Year 9."/>
    </ext>
  </extLst>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DE000000}" name="BudgetYear10" displayName="BudgetYear10" ref="A4:F31" totalsRowShown="0" headerRowDxfId="1090" tableBorderDxfId="1089">
  <tableColumns count="6">
    <tableColumn id="1" xr3:uid="{00000000-0010-0000-DE00-000001000000}" name="Object Description" dataDxfId="1088"/>
    <tableColumn id="2" xr3:uid="{00000000-0010-0000-DE00-000002000000}" name="Code 1" dataDxfId="1087"/>
    <tableColumn id="7" xr3:uid="{00000000-0010-0000-DE00-000007000000}" name="Code 2" dataDxfId="1086"/>
    <tableColumn id="3" xr3:uid="{00000000-0010-0000-DE00-000003000000}" name="Local" dataDxfId="1085" dataCellStyle="Currency"/>
    <tableColumn id="4" xr3:uid="{00000000-0010-0000-DE00-000004000000}" name="State" dataDxfId="1084" dataCellStyle="Currency"/>
    <tableColumn id="5" xr3:uid="{00000000-0010-0000-DE00-000005000000}" name="State and Local" dataDxfId="1083"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0" altTextSummary="In this table, users will enter their budget amounts for Year 10. The column headers for the first three columns are unlocked and can be edited. If the LEA cannot separately budget for state and local funds, leave the Local column blank."/>
    </ext>
  </extLst>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DF000000}" name="ExpendituresYear10" displayName="ExpendituresYear10" ref="H4:M31" totalsRowShown="0" headerRowDxfId="1082" tableBorderDxfId="1081">
  <tableColumns count="6">
    <tableColumn id="1" xr3:uid="{00000000-0010-0000-DF00-000001000000}" name="Object Description" dataDxfId="1080"/>
    <tableColumn id="2" xr3:uid="{00000000-0010-0000-DF00-000002000000}" name="Code" dataDxfId="1079"/>
    <tableColumn id="6" xr3:uid="{00000000-0010-0000-DF00-000006000000}" name="Code 2" dataDxfId="1078"/>
    <tableColumn id="3" xr3:uid="{00000000-0010-0000-DF00-000003000000}" name="Local" dataDxfId="1077" dataCellStyle="Currency"/>
    <tableColumn id="4" xr3:uid="{00000000-0010-0000-DF00-000004000000}" name="State" dataDxfId="1076" dataCellStyle="Currency"/>
    <tableColumn id="5" xr3:uid="{00000000-0010-0000-DF00-000005000000}" name="State and Local" dataDxfId="1075"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10" altTextSummary="In this table, users will enter the LEA's final expenditures for Year 10. The column headers for the first three columns are unlocked and can be edited. If the LEA cannot separately budget for state and local funds, leave the Local column blank."/>
    </ext>
  </extLst>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E0000000}" name="ExcADepartingDataYear10Budget" displayName="ExcADepartingDataYear10Budget" ref="A7:F13" totalsRowShown="0" headerRowDxfId="1074" dataDxfId="1072" headerRowBorderDxfId="1073" tableBorderDxfId="1071">
  <tableColumns count="6">
    <tableColumn id="1" xr3:uid="{00000000-0010-0000-E000-000001000000}" name="Position Title" dataDxfId="1070"/>
    <tableColumn id="2" xr3:uid="{00000000-0010-0000-E000-000002000000}" name="Employee Name" dataDxfId="1069"/>
    <tableColumn id="3" xr3:uid="{00000000-0010-0000-E000-000003000000}" name="Reason for Leaving" dataDxfId="1068"/>
    <tableColumn id="4" xr3:uid="{00000000-0010-0000-E000-000004000000}" name="Salary" dataDxfId="1067" dataCellStyle="Currency"/>
    <tableColumn id="5" xr3:uid="{00000000-0010-0000-E000-000005000000}" name="Benefits" dataDxfId="1066" dataCellStyle="Currency"/>
    <tableColumn id="8" xr3:uid="{00000000-0010-0000-E000-000008000000}" name="Total Budget" dataDxfId="106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0 Eligiblity Standard" altTextSummary="Users can enter data in this table for any departing personnel projected for Year 10. This table is for the eligiblity standard and is based on budget amounts."/>
    </ext>
  </extLst>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E1000000}" name="ExcAReplaceDataYear10Budget" displayName="ExcAReplaceDataYear10Budget" ref="A15:F21" totalsRowShown="0" headerRowDxfId="1064" dataDxfId="1062" headerRowBorderDxfId="1063" tableBorderDxfId="1061">
  <tableColumns count="6">
    <tableColumn id="1" xr3:uid="{00000000-0010-0000-E100-000001000000}" name="Position Title" dataDxfId="1060"/>
    <tableColumn id="2" xr3:uid="{00000000-0010-0000-E100-000002000000}" name="Employee Name" dataDxfId="1059"/>
    <tableColumn id="3" xr3:uid="{00000000-0010-0000-E100-000003000000}" name="This column intentionally left blank" dataDxfId="1058"/>
    <tableColumn id="4" xr3:uid="{00000000-0010-0000-E100-000004000000}" name="Salary" dataDxfId="1057" dataCellStyle="Currency"/>
    <tableColumn id="5" xr3:uid="{00000000-0010-0000-E100-000005000000}" name="Benefits" dataDxfId="1056" dataCellStyle="Currency"/>
    <tableColumn id="8" xr3:uid="{00000000-0010-0000-E100-000008000000}" name="Total Budget" dataDxfId="105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0 Eligibility Standard" altTextSummary="Users can enter data in this table for any replacement personnel projected for Year 10. This table is for the eligiblity standard and is based on budget amounts."/>
    </ext>
  </extLst>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E2000000}" name="ExcDDataYear10Budget" displayName="ExcDDataYear10Budget" ref="A47:B53" totalsRowShown="0" headerRowDxfId="1054" dataDxfId="1052" headerRowBorderDxfId="1053" tableBorderDxfId="1051">
  <tableColumns count="2">
    <tableColumn id="1" xr3:uid="{00000000-0010-0000-E200-000001000000}" name="Description" dataDxfId="1050"/>
    <tableColumn id="2" xr3:uid="{00000000-0010-0000-E200-000002000000}" name="Budgeted Cost in Final Year" dataDxfId="104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0 Eligiblity Standard" altTextSummary="Users can enter data in this table for the projected termination of costly expenditures for long-term purchases for Year 10. This table is for the eligiblity standard and is based on budget amounts."/>
    </ext>
  </extLst>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E3000000}" name="AdjDataYear10Budget" displayName="AdjDataYear10Budget" ref="A71:B72" totalsRowShown="0" headerRowDxfId="1048" dataDxfId="1046" headerRowBorderDxfId="1047" tableBorderDxfId="1045" totalsRowBorderDxfId="1044">
  <tableColumns count="2">
    <tableColumn id="1" xr3:uid="{00000000-0010-0000-E300-000001000000}" name="Column1" dataDxfId="1043"/>
    <tableColumn id="2" xr3:uid="{00000000-0010-0000-E300-000002000000}" name="Projected Adjustment" dataDxfId="1042"/>
  </tableColumns>
  <tableStyleInfo name="TableStyleMedium9" showFirstColumn="0" showLastColumn="0" showRowStripes="0" showColumnStripes="0"/>
  <extLst>
    <ext xmlns:x14="http://schemas.microsoft.com/office/spreadsheetml/2009/9/main" uri="{504A1905-F514-4f6f-8877-14C23A59335A}">
      <x14:table altText="MOE Adjustment Data Entry for Year 10 Eligiblity Standard" altTextSummary="Users can enter data in this table for the projected Adjustment to MOE for Year 10. This table is for the eligiblity standard and is based on budget amounts. Use IDC's MOE Reduction Decision Tree and Calculator to determine the adjustment amount."/>
    </ext>
  </extLst>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E4000000}" name="ExcCDataYear10Budget" displayName="ExcCDataYear10Budget" ref="A37:C43" totalsRowShown="0" headerRowDxfId="1041" dataDxfId="1040" tableBorderDxfId="1039">
  <tableColumns count="3">
    <tableColumn id="1" xr3:uid="{00000000-0010-0000-E400-000001000000}" name="Student Identifier" dataDxfId="1038"/>
    <tableColumn id="2" xr3:uid="{00000000-0010-0000-E400-000002000000}" name="Reason" dataDxfId="1037"/>
    <tableColumn id="3" xr3:uid="{00000000-0010-0000-E400-000003000000}" name="Budgeted Cost" dataDxfId="103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0 Eligiblity Standard" altTextSummary="Users can enter data in this table for the projected termination of the obligation to provide special education to a particular student that is an exceptionally costly program projected for Year 10. This table is for the eligiblity standard and is based on budget amounts."/>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E000000}" name="ExcBChildCountDataYear4Expenditures" displayName="ExcBChildCountDataYear4Expenditures" ref="H25:I29" totalsRowShown="0" headerRowDxfId="2470" dataDxfId="2469">
  <tableColumns count="2">
    <tableColumn id="1" xr3:uid="{00000000-0010-0000-5E00-000001000000}" name="Column1" dataDxfId="2468"/>
    <tableColumn id="2" xr3:uid="{00000000-0010-0000-5E00-000002000000}" name="Column2" dataDxfId="2467"/>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4 Compliance Standard" altTextSummary="This table automatically calculates the change in enrollment for Year 4 to determine whether the LEA can apply exception (b). This table is for the compliance standard."/>
    </ext>
  </extLst>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E5000000}" name="ExcEDataYear10Budget" displayName="ExcEDataYear10Budget" ref="A57:B63" totalsRowShown="0" headerRowDxfId="1035" tableBorderDxfId="1034">
  <tableColumns count="2">
    <tableColumn id="1" xr3:uid="{00000000-0010-0000-E500-000001000000}" name="Student Identifier" dataDxfId="1033"/>
    <tableColumn id="2" xr3:uid="{00000000-0010-0000-E500-000002000000}" name="Budgeted Cost Assumed by SEA" dataDxfId="103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0 Eligiblity Standard" altTextSummary="Users can enter data for the projected assumption of cost by the high cost fund operated by the SEA for Year 10. This table is for the eligibility standard and uses budget data. The table will not calculate a total if tab 3b indicates that the SEA does not have a high cost fund in Year 10."/>
    </ext>
  </extLst>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E6000000}" name="ExcBChildCountDataYear10Budget" displayName="ExcBChildCountDataYear10Budget" ref="A25:B29" totalsRowShown="0" headerRowDxfId="1031" dataDxfId="1030">
  <tableColumns count="2">
    <tableColumn id="1" xr3:uid="{00000000-0010-0000-E600-000001000000}" name="Column1" dataDxfId="1029"/>
    <tableColumn id="2" xr3:uid="{00000000-0010-0000-E600-000002000000}" name="Column2" dataDxfId="102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0 Eligibility Standard" altTextSummary="This table automatically calculates the change in enrollment for Year 10 to determine whether the LEA can apply exception (b). This table is for the eligibility standard."/>
    </ext>
  </extLst>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E7000000}" name="ExcBFundsDataYear10Budget" displayName="ExcBFundsDataYear10Budget" ref="A30:C32" totalsRowShown="0" headerRowDxfId="1027" dataDxfId="1025" headerRowBorderDxfId="1026" tableBorderDxfId="1024" totalsRowBorderDxfId="1023">
  <tableColumns count="3">
    <tableColumn id="1" xr3:uid="{00000000-0010-0000-E700-000001000000}" name="Column1" dataDxfId="1022"/>
    <tableColumn id="2" xr3:uid="{00000000-0010-0000-E700-000002000000}" name="Total Local Funds" dataDxfId="1021">
      <calculatedColumnFormula>'2. Getting Started'!C17</calculatedColumnFormula>
    </tableColumn>
    <tableColumn id="3" xr3:uid="{00000000-0010-0000-E700-000003000000}" name="Total State and Local Funds" dataDxfId="1020">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0 Eligiblity Standard" altTextSummary="This table automatically calculates the projected reduction based on a decrease in enrollment for Year 10. This table is for the eligibility standard and uses budget data. The row for Projected Reduction will be blank if there is no decrease in child count."/>
    </ext>
  </extLst>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E8000000}" name="ExcADepartingDataYear10Expenditures" displayName="ExcADepartingDataYear10Expenditures" ref="H7:M13" totalsRowShown="0" headerRowDxfId="1019" dataDxfId="1017" headerRowBorderDxfId="1018" tableBorderDxfId="1016">
  <tableColumns count="6">
    <tableColumn id="1" xr3:uid="{00000000-0010-0000-E800-000001000000}" name="Position Title" dataDxfId="1015"/>
    <tableColumn id="2" xr3:uid="{00000000-0010-0000-E800-000002000000}" name="Employee Name" dataDxfId="1014"/>
    <tableColumn id="3" xr3:uid="{00000000-0010-0000-E800-000003000000}" name="Reason for Leaving" dataDxfId="1013"/>
    <tableColumn id="4" xr3:uid="{00000000-0010-0000-E800-000004000000}" name="Salary" dataDxfId="1012" dataCellStyle="Currency"/>
    <tableColumn id="5" xr3:uid="{00000000-0010-0000-E800-000005000000}" name="Benefits" dataDxfId="1011" dataCellStyle="Currency"/>
    <tableColumn id="8" xr3:uid="{00000000-0010-0000-E800-000008000000}" name="Total Expenditures" dataDxfId="101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0 Compliance Standard" altTextSummary="Users can enter data in this table for any departing personnel for Year 10. This table is for the compliance standard and is based on final expenditures."/>
    </ext>
  </extLst>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E9000000}" name="ExcAReplaceDataYear10Expenditures" displayName="ExcAReplaceDataYear10Expenditures" ref="H15:M21" totalsRowShown="0" headerRowDxfId="1009" dataDxfId="1007" headerRowBorderDxfId="1008" tableBorderDxfId="1006">
  <tableColumns count="6">
    <tableColumn id="1" xr3:uid="{00000000-0010-0000-E900-000001000000}" name="Position Title" dataDxfId="1005"/>
    <tableColumn id="2" xr3:uid="{00000000-0010-0000-E900-000002000000}" name="Employee Name" dataDxfId="1004"/>
    <tableColumn id="3" xr3:uid="{00000000-0010-0000-E900-000003000000}" name="This column intentionally left blank" dataDxfId="1003"/>
    <tableColumn id="4" xr3:uid="{00000000-0010-0000-E900-000004000000}" name="Salary" dataDxfId="1002" dataCellStyle="Currency"/>
    <tableColumn id="5" xr3:uid="{00000000-0010-0000-E900-000005000000}" name="Benefits" dataDxfId="1001" dataCellStyle="Currency"/>
    <tableColumn id="8" xr3:uid="{00000000-0010-0000-E900-000008000000}" name="Total Expenditures" dataDxfId="100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0 Compliance Standard" altTextSummary="Users can enter data in this table for any replacement personnel for Year 10. This table is for the compliance standard and is based on final expenditures."/>
    </ext>
  </extLst>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EA000000}" name="ExcDDataYear10Expenditures" displayName="ExcDDataYear10Expenditures" ref="H47:I53" totalsRowShown="0" headerRowDxfId="999" dataDxfId="997" headerRowBorderDxfId="998" tableBorderDxfId="996">
  <tableColumns count="2">
    <tableColumn id="1" xr3:uid="{00000000-0010-0000-EA00-000001000000}" name="Description" dataDxfId="995"/>
    <tableColumn id="2" xr3:uid="{00000000-0010-0000-EA00-000002000000}" name="Cost in Final Year of Expenditure" dataDxfId="99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0 Compliance Standard" altTextSummary="Users can enter data in this table for the termination of costly expenditures for long-term purchases for Year 10. This table is for the compliance standard and is based on final expenditures."/>
    </ext>
  </extLst>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EB000000}" name="AdjDataYear10Expenditures" displayName="AdjDataYear10Expenditures" ref="H71:I72" totalsRowShown="0" headerRowDxfId="993" dataDxfId="991" headerRowBorderDxfId="992" tableBorderDxfId="990" totalsRowBorderDxfId="989">
  <tableColumns count="2">
    <tableColumn id="1" xr3:uid="{00000000-0010-0000-EB00-000001000000}" name="Column1" dataDxfId="988"/>
    <tableColumn id="2" xr3:uid="{00000000-0010-0000-EB00-000002000000}" name="Adjustment " dataDxfId="987"/>
  </tableColumns>
  <tableStyleInfo name="TableStyleMedium9" showFirstColumn="0" showLastColumn="0" showRowStripes="0" showColumnStripes="0"/>
  <extLst>
    <ext xmlns:x14="http://schemas.microsoft.com/office/spreadsheetml/2009/9/main" uri="{504A1905-F514-4f6f-8877-14C23A59335A}">
      <x14:table altText="MOE Adjustment Data Entry for Year 10 Compliance Standard" altTextSummary="Users can enter data in this table for the Adjustment to MOE for Year 10. This table is for the compliance standard and is based on final expenditures. Use IDC's MOE Reduction Decision Tree and Calculator to determine the adjustment amount."/>
    </ext>
  </extLst>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EC000000}" name="ExcCDataYear10Expenditures" displayName="ExcCDataYear10Expenditures" ref="H37:J43" totalsRowShown="0" headerRowDxfId="986" dataDxfId="985" tableBorderDxfId="984">
  <tableColumns count="3">
    <tableColumn id="1" xr3:uid="{00000000-0010-0000-EC00-000001000000}" name="Student Identifier" dataDxfId="983"/>
    <tableColumn id="2" xr3:uid="{00000000-0010-0000-EC00-000002000000}" name="Reason" dataDxfId="982"/>
    <tableColumn id="3" xr3:uid="{00000000-0010-0000-EC00-000003000000}" name="Expenditures" dataDxfId="98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0 Compliance Standard" altTextSummary="Users can enter data in this table for the termination of the obligation to provide special education to a particular student that is an exceptionally costly program projected for Year 10. This table is for the compliance standard and is based on final expenditures."/>
    </ext>
  </extLst>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ED000000}" name="ExcEDataYear10Expenditures" displayName="ExcEDataYear10Expenditures" ref="H57:I63" totalsRowShown="0" headerRowDxfId="980" tableBorderDxfId="979">
  <tableColumns count="2">
    <tableColumn id="1" xr3:uid="{00000000-0010-0000-ED00-000001000000}" name="Student Identifier" dataDxfId="978"/>
    <tableColumn id="2" xr3:uid="{00000000-0010-0000-ED00-000002000000}" name="Cost Assumed by SEA" dataDxfId="97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0 Compliance Standard" altTextSummary="Users can enter data for the assumption of cost by the high cost fund operated by the SEA for Year 10. This table is for the compliance standard and uses final expenditures. The table will not calculate a total if tab 3b indicates that the SEA does not have a high cost fund in Year 10."/>
    </ext>
  </extLst>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EE000000}" name="ExcBChildCountDataYear10Expenditures" displayName="ExcBChildCountDataYear10Expenditures" ref="H25:I29" totalsRowShown="0" headerRowDxfId="976" dataDxfId="975">
  <tableColumns count="2">
    <tableColumn id="1" xr3:uid="{00000000-0010-0000-EE00-000001000000}" name="Column1" dataDxfId="974"/>
    <tableColumn id="2" xr3:uid="{00000000-0010-0000-EE00-000002000000}" name="Column2" dataDxfId="97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0 Compliance Standard" altTextSummary="This table automatically calculates the change in enrollment for Year 10 to determine whether the LEA can apply exception (b). This table is for the compliance standard."/>
    </ext>
  </extLst>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F000000}" name="ExcBFundsDataYear4Expenditures" displayName="ExcBFundsDataYear4Expenditures" ref="H30:J32" totalsRowShown="0" headerRowDxfId="2466" dataDxfId="2464" headerRowBorderDxfId="2465" tableBorderDxfId="2463" totalsRowBorderDxfId="2462">
  <tableColumns count="3">
    <tableColumn id="1" xr3:uid="{00000000-0010-0000-5F00-000001000000}" name="Column1" dataDxfId="2461"/>
    <tableColumn id="2" xr3:uid="{00000000-0010-0000-5F00-000002000000}" name="Local Total" dataDxfId="2460"/>
    <tableColumn id="3" xr3:uid="{00000000-0010-0000-5F00-000003000000}" name="State and Local Total" dataDxfId="2459"/>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4 Compliance Standard" altTextSummary="This table automatically calculates the reduction based on a decrease in enrollment for Year 4. This table is for the compliance standard and uses final expenditures. The row for Allowed Reduction will be blank and blacked out if there is no decrease in child count."/>
    </ext>
  </extLst>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EF000000}" name="ExcBFundsDataYear10Expenditures" displayName="ExcBFundsDataYear10Expenditures" ref="H30:J32" totalsRowShown="0" headerRowDxfId="972" dataDxfId="970" headerRowBorderDxfId="971" tableBorderDxfId="969" totalsRowBorderDxfId="968">
  <tableColumns count="3">
    <tableColumn id="1" xr3:uid="{00000000-0010-0000-EF00-000001000000}" name="Column1" dataDxfId="967"/>
    <tableColumn id="2" xr3:uid="{00000000-0010-0000-EF00-000002000000}" name="Local Total" dataDxfId="966"/>
    <tableColumn id="3" xr3:uid="{00000000-0010-0000-EF00-000003000000}" name="State and Local Total" dataDxfId="965"/>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0 Compliance Standard" altTextSummary="This table automatically calculates the reduction based on a decrease in enrollment for Year 10. This table is for the compliance standard and uses final expenditures. The row for Allowed Reduction will be blank and blacked out if there is no decrease in child count."/>
    </ext>
  </extLst>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F0000000}" name="TotalBudgetedExcYear10" displayName="TotalBudgetedExcYear10" ref="A66:B68" totalsRowShown="0" headerRowDxfId="964" headerRowBorderDxfId="963" tableBorderDxfId="962" totalsRowBorderDxfId="961">
  <autoFilter ref="A66:B68" xr:uid="{00000000-0009-0000-0100-0000F0000000}">
    <filterColumn colId="0" hiddenButton="1"/>
    <filterColumn colId="1" hiddenButton="1"/>
  </autoFilter>
  <tableColumns count="2">
    <tableColumn id="1" xr3:uid="{00000000-0010-0000-F000-000001000000}" name="Source" dataDxfId="960" dataCellStyle="Normal 2"/>
    <tableColumn id="2" xr3:uid="{00000000-0010-0000-F000-000002000000}" name="Total" dataDxfId="959"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the Year 10 Eligibility Standard" altTextSummary="This table displays the total projected exceptions entered for the eligibility standard for Year 10."/>
    </ext>
  </extLst>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F1000000}" name="TotalExpendituresExcYear10" displayName="TotalExpendituresExcYear10" ref="H66:I68" totalsRowShown="0" headerRowDxfId="958" headerRowBorderDxfId="957" tableBorderDxfId="956" totalsRowBorderDxfId="955">
  <autoFilter ref="H66:I68" xr:uid="{00000000-0009-0000-0100-0000F1000000}">
    <filterColumn colId="0" hiddenButton="1"/>
    <filterColumn colId="1" hiddenButton="1"/>
  </autoFilter>
  <tableColumns count="2">
    <tableColumn id="1" xr3:uid="{00000000-0010-0000-F100-000001000000}" name="Source" dataDxfId="954" dataCellStyle="Normal 2"/>
    <tableColumn id="2" xr3:uid="{00000000-0010-0000-F100-000002000000}" name="Total" dataDxfId="953"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10 Compliance Standard" altTextSummary="This table displays the total exceptions entered for the compliance standard for Year 10."/>
    </ext>
  </extLst>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F2000000}" name="RepaymentYear10" displayName="RepaymentYear10" ref="A21:B27" totalsRowShown="0" headerRowBorderDxfId="952" tableBorderDxfId="951" totalsRowBorderDxfId="950">
  <autoFilter ref="A21:B27" xr:uid="{00000000-0009-0000-0100-0000F2000000}">
    <filterColumn colId="0" hiddenButton="1"/>
    <filterColumn colId="1" hiddenButton="1"/>
  </autoFilter>
  <tableColumns count="2">
    <tableColumn id="1" xr3:uid="{00000000-0010-0000-F200-000001000000}" name="Repayment data" dataDxfId="949"/>
    <tableColumn id="2" xr3:uid="{00000000-0010-0000-F200-000002000000}" name="Data for Year 10"/>
  </tableColumns>
  <tableStyleInfo name="TableStyleLight18" showFirstColumn="0" showLastColumn="0" showRowStripes="0" showColumnStripes="0"/>
  <extLst>
    <ext xmlns:x14="http://schemas.microsoft.com/office/spreadsheetml/2009/9/main" uri="{504A1905-F514-4f6f-8877-14C23A59335A}">
      <x14:table altText="Year 10 Repayment information" altTextSummary="This table calculates the repayment amount for Year 10 if the LEA fails MOE by all four methods for the compliance standard. Users must enter data for IDEA allocations."/>
    </ext>
  </extLst>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3000000}" name="ComplianceYear10" displayName="ComplianceYear10" ref="A13:E18" totalsRowShown="0" headerRowDxfId="948" headerRowBorderDxfId="947" tableBorderDxfId="946" totalsRowBorderDxfId="945">
  <autoFilter ref="A13:E18" xr:uid="{00000000-0009-0000-0100-0000F3000000}">
    <filterColumn colId="0" hiddenButton="1"/>
    <filterColumn colId="1" hiddenButton="1"/>
    <filterColumn colId="2" hiddenButton="1"/>
    <filterColumn colId="3" hiddenButton="1"/>
    <filterColumn colId="4" hiddenButton="1"/>
  </autoFilter>
  <tableColumns count="5">
    <tableColumn id="1" xr3:uid="{00000000-0010-0000-F300-000001000000}" name="MOE Information" dataDxfId="944"/>
    <tableColumn id="2" xr3:uid="{00000000-0010-0000-F300-000002000000}" name="Total Local Funds" dataDxfId="943"/>
    <tableColumn id="3" xr3:uid="{00000000-0010-0000-F300-000003000000}" name="Total State and Local Funds" dataDxfId="942"/>
    <tableColumn id="4" xr3:uid="{00000000-0010-0000-F300-000004000000}" name="Local Funds Per Capita" dataDxfId="941"/>
    <tableColumn id="5" xr3:uid="{00000000-0010-0000-F300-000005000000}" name="State and Local Funds Per Capita" dataDxfId="940"/>
  </tableColumns>
  <tableStyleInfo name="TableStyleLight18" showFirstColumn="0" showLastColumn="0" showRowStripes="0" showColumnStripes="0"/>
  <extLst>
    <ext xmlns:x14="http://schemas.microsoft.com/office/spreadsheetml/2009/9/main" uri="{504A1905-F514-4f6f-8877-14C23A59335A}">
      <x14:table altText="Year 10 Compliance Standard" altTextSummary="This table displays MOE amounts and results for the compliance standard for Year 10."/>
    </ext>
  </extLst>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4000000}" name="EligibilityYear10" displayName="EligibilityYear10" ref="A5:E10" totalsRowShown="0" headerRowDxfId="939" headerRowBorderDxfId="938" tableBorderDxfId="937" totalsRowBorderDxfId="936">
  <autoFilter ref="A5:E10" xr:uid="{00000000-0009-0000-0100-0000F4000000}">
    <filterColumn colId="0" hiddenButton="1"/>
    <filterColumn colId="1" hiddenButton="1"/>
    <filterColumn colId="2" hiddenButton="1"/>
    <filterColumn colId="3" hiddenButton="1"/>
    <filterColumn colId="4" hiddenButton="1"/>
  </autoFilter>
  <tableColumns count="5">
    <tableColumn id="1" xr3:uid="{00000000-0010-0000-F400-000001000000}" name="MOE Information" dataDxfId="935"/>
    <tableColumn id="2" xr3:uid="{00000000-0010-0000-F400-000002000000}" name="Total Local Funds"/>
    <tableColumn id="3" xr3:uid="{00000000-0010-0000-F400-000003000000}" name="Total State and Local Funds"/>
    <tableColumn id="4" xr3:uid="{00000000-0010-0000-F400-000004000000}" name="Local Funds Per Capita"/>
    <tableColumn id="5" xr3:uid="{00000000-0010-0000-F4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10 Eligibility Standard" altTextSummary="This table displays MOE amounts and results for the eligibility standard for Year 10."/>
    </ext>
  </extLst>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0000000-000C-0000-FFFF-FFFFF5000000}" name="ExcAdjSummaryYear10" displayName="ExcAdjSummaryYear10" ref="A33:E40" totalsRowShown="0" headerRowDxfId="934" headerRowBorderDxfId="933" tableBorderDxfId="932" totalsRowBorderDxfId="931">
  <autoFilter ref="A33:E40" xr:uid="{00000000-0009-0000-0100-00005A010000}">
    <filterColumn colId="0" hiddenButton="1"/>
    <filterColumn colId="1" hiddenButton="1"/>
    <filterColumn colId="2" hiddenButton="1"/>
    <filterColumn colId="3" hiddenButton="1"/>
    <filterColumn colId="4" hiddenButton="1"/>
  </autoFilter>
  <tableColumns count="5">
    <tableColumn id="1" xr3:uid="{00000000-0010-0000-F500-000001000000}" name="Exception or Adjustment" dataDxfId="930"/>
    <tableColumn id="2" xr3:uid="{00000000-0010-0000-F500-000002000000}" name="Projected Local Funds" dataDxfId="929"/>
    <tableColumn id="3" xr3:uid="{00000000-0010-0000-F500-000003000000}" name="Projected State and Local Funds" dataDxfId="928"/>
    <tableColumn id="4" xr3:uid="{00000000-0010-0000-F500-000004000000}" name="Local Funds" dataDxfId="927"/>
    <tableColumn id="5" xr3:uid="{00000000-0010-0000-F500-000005000000}" name="State and Local Funds" dataDxfId="926"/>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10" altTextSummary="This table presents a summary of all exceptions taken for Year 10. Detailed data on the exceptions are entered on the Exc &amp; Adj tab for Year 10."/>
    </ext>
  </extLst>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F6000000}" name="BudgetYear11" displayName="BudgetYear11" ref="A4:F31" totalsRowShown="0" headerRowDxfId="925" tableBorderDxfId="924">
  <tableColumns count="6">
    <tableColumn id="1" xr3:uid="{00000000-0010-0000-F600-000001000000}" name="Object Description" dataDxfId="923"/>
    <tableColumn id="2" xr3:uid="{00000000-0010-0000-F600-000002000000}" name="Code 1" dataDxfId="922"/>
    <tableColumn id="7" xr3:uid="{00000000-0010-0000-F600-000007000000}" name="Code 2" dataDxfId="921"/>
    <tableColumn id="3" xr3:uid="{00000000-0010-0000-F600-000003000000}" name="Local" dataDxfId="920" dataCellStyle="Currency"/>
    <tableColumn id="4" xr3:uid="{00000000-0010-0000-F600-000004000000}" name="State" dataDxfId="919" dataCellStyle="Currency"/>
    <tableColumn id="5" xr3:uid="{00000000-0010-0000-F600-000005000000}" name="State and Local" dataDxfId="918"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1" altTextSummary="In this table, users will enter their budget amounts for Year 11. The column headers for the first three columns are unlocked and can be edited. If the LEA cannot separately budget for state and local funds, leave the Local column blank."/>
    </ext>
  </extLst>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F7000000}" name="ExcADepartingDataYear11Budget" displayName="ExcADepartingDataYear11Budget" ref="A7:F13" totalsRowShown="0" headerRowDxfId="917" dataDxfId="915" headerRowBorderDxfId="916" tableBorderDxfId="914">
  <tableColumns count="6">
    <tableColumn id="1" xr3:uid="{00000000-0010-0000-F700-000001000000}" name="Position Title" dataDxfId="913"/>
    <tableColumn id="2" xr3:uid="{00000000-0010-0000-F700-000002000000}" name="Employee Name" dataDxfId="912"/>
    <tableColumn id="3" xr3:uid="{00000000-0010-0000-F700-000003000000}" name="Reason for Leaving" dataDxfId="911"/>
    <tableColumn id="4" xr3:uid="{00000000-0010-0000-F700-000004000000}" name="Salary" dataDxfId="910" dataCellStyle="Currency"/>
    <tableColumn id="5" xr3:uid="{00000000-0010-0000-F700-000005000000}" name="Benefits" dataDxfId="909" dataCellStyle="Currency"/>
    <tableColumn id="8" xr3:uid="{00000000-0010-0000-F700-000008000000}" name="Total Budget" dataDxfId="908"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1 Eligiblity Standard" altTextSummary="Users can enter data in this table for any departing personnel projected for Year 11. This table is for the eligiblity standard and is based on budget amounts."/>
    </ext>
  </extLst>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F8000000}" name="ExcAReplaceDataYear11Budget" displayName="ExcAReplaceDataYear11Budget" ref="A15:F21" totalsRowShown="0" headerRowDxfId="907" dataDxfId="905" headerRowBorderDxfId="906" tableBorderDxfId="904">
  <tableColumns count="6">
    <tableColumn id="1" xr3:uid="{00000000-0010-0000-F800-000001000000}" name="Position Title" dataDxfId="903"/>
    <tableColumn id="2" xr3:uid="{00000000-0010-0000-F800-000002000000}" name="Employee Name" dataDxfId="902"/>
    <tableColumn id="3" xr3:uid="{00000000-0010-0000-F800-000003000000}" name="This column intentionally left blank" dataDxfId="901"/>
    <tableColumn id="4" xr3:uid="{00000000-0010-0000-F800-000004000000}" name="Salary" dataDxfId="900" dataCellStyle="Currency"/>
    <tableColumn id="5" xr3:uid="{00000000-0010-0000-F800-000005000000}" name="Benefits" dataDxfId="899" dataCellStyle="Currency"/>
    <tableColumn id="8" xr3:uid="{00000000-0010-0000-F800-000008000000}" name="Total Budget" dataDxfId="898"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1 Eligibility Standard" altTextSummary="Users can enter data in this table for any replacement personnel projected for Year 11. This table is for the eligiblity standard and is based on budget amounts."/>
    </ext>
  </extLst>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60000000}" name="TotalBudgetedExcYear4" displayName="TotalBudgetedExcYear4" ref="A66:B68" totalsRowShown="0" headerRowDxfId="2458" headerRowBorderDxfId="2457" tableBorderDxfId="2456" totalsRowBorderDxfId="2455">
  <autoFilter ref="A66:B68" xr:uid="{00000000-0009-0000-0100-0000D2000000}">
    <filterColumn colId="0" hiddenButton="1"/>
    <filterColumn colId="1" hiddenButton="1"/>
  </autoFilter>
  <tableColumns count="2">
    <tableColumn id="1" xr3:uid="{00000000-0010-0000-6000-000001000000}" name="Source" dataDxfId="2454" dataCellStyle="Normal 2"/>
    <tableColumn id="2" xr3:uid="{00000000-0010-0000-6000-000002000000}" name="Total" dataDxfId="2453" dataCellStyle="Currency 2">
      <calculatedColumnFormula>IF(B$28&gt;=0,(F$22+C$43+B$53+B$63),(F$22+C$43+B$53+B$63+C$32))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Exceptions for Year 4 Eligibility Standard" altTextSummary="This table displays the total projected exceptions entered for the eligibility standard for Year 4."/>
    </ext>
  </extLst>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F9000000}" name="ExcDDataYear11Budget" displayName="ExcDDataYear11Budget" ref="A47:B53" totalsRowShown="0" headerRowDxfId="897" dataDxfId="895" headerRowBorderDxfId="896" tableBorderDxfId="894">
  <tableColumns count="2">
    <tableColumn id="1" xr3:uid="{00000000-0010-0000-F900-000001000000}" name="Description" dataDxfId="893"/>
    <tableColumn id="2" xr3:uid="{00000000-0010-0000-F900-000002000000}" name="Budgeted Cost in Final Year" dataDxfId="892"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1 Eligiblity Standard" altTextSummary="Users can enter data in this table for the projected termination of costly expenditures for long-term purchases for Year 11. This table is for the eligiblity standard and is based on budget amounts."/>
    </ext>
  </extLst>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FA000000}" name="AdjDataYear11Budget" displayName="AdjDataYear11Budget" ref="A71:B72" totalsRowShown="0" headerRowDxfId="891" dataDxfId="889" headerRowBorderDxfId="890" tableBorderDxfId="888" totalsRowBorderDxfId="887">
  <tableColumns count="2">
    <tableColumn id="1" xr3:uid="{00000000-0010-0000-FA00-000001000000}" name="Column1" dataDxfId="886"/>
    <tableColumn id="2" xr3:uid="{00000000-0010-0000-FA00-000002000000}" name="Projected Adjustment" dataDxfId="885"/>
  </tableColumns>
  <tableStyleInfo name="TableStyleMedium9" showFirstColumn="0" showLastColumn="0" showRowStripes="0" showColumnStripes="0"/>
  <extLst>
    <ext xmlns:x14="http://schemas.microsoft.com/office/spreadsheetml/2009/9/main" uri="{504A1905-F514-4f6f-8877-14C23A59335A}">
      <x14:table altText="MOE Adjustment Data Entry for Year 11 Eligiblity Standard" altTextSummary="Users can enter data in this table for the projected Adjustment to MOE for Year 11. This table is for the eligiblity standard and is based on budget amounts. Use IDC's MOE Reduction Decision Tree and Calculator to determine the adjustment amount."/>
    </ext>
  </extLst>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FB000000}" name="ExcCDataYear11Budget" displayName="ExcCDataYear11Budget" ref="A37:C43" totalsRowShown="0" headerRowDxfId="884" dataDxfId="883" tableBorderDxfId="882">
  <tableColumns count="3">
    <tableColumn id="1" xr3:uid="{00000000-0010-0000-FB00-000001000000}" name="Student Identifier" dataDxfId="881"/>
    <tableColumn id="2" xr3:uid="{00000000-0010-0000-FB00-000002000000}" name="Reason" dataDxfId="880"/>
    <tableColumn id="3" xr3:uid="{00000000-0010-0000-FB00-000003000000}" name="Budgeted Cost" dataDxfId="879"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1 Eligiblity Standard" altTextSummary="Users can enter data in this table for the projected termination of the obligation to provide special education to a particular student that is an exceptionally costly program projected for Year 11. This table is for the eligiblity standard and is based on budget amounts."/>
    </ext>
  </extLst>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FC000000}" name="ExcEDataYear11Budget" displayName="ExcEDataYear11Budget" ref="A57:B63" totalsRowShown="0" headerRowDxfId="878" tableBorderDxfId="877">
  <tableColumns count="2">
    <tableColumn id="1" xr3:uid="{00000000-0010-0000-FC00-000001000000}" name="Student Identifier" dataDxfId="876"/>
    <tableColumn id="2" xr3:uid="{00000000-0010-0000-FC00-000002000000}" name="Budgeted Cost Assumed by SEA" dataDxfId="875"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1 Eligiblity Standard" altTextSummary="Users can enter data for the projected assumption of cost by the high cost fund operated by the SEA for Year 11. This table is for the eligibility standard and uses budget data. The table will not calculate a total if tab 3b indicates that the SEA does not have a high cost fund in Year 11."/>
    </ext>
  </extLst>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FD000000}" name="ExcBChildCountDataYear11Budget" displayName="ExcBChildCountDataYear11Budget" ref="A25:B29" totalsRowShown="0" headerRowDxfId="874" dataDxfId="873">
  <tableColumns count="2">
    <tableColumn id="1" xr3:uid="{00000000-0010-0000-FD00-000001000000}" name="Column1" dataDxfId="872"/>
    <tableColumn id="2" xr3:uid="{00000000-0010-0000-FD00-000002000000}" name="Column2" dataDxfId="871"/>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1 Eligibility Standard" altTextSummary="This table automatically calculates the change in enrollment for Year 11 to determine whether the LEA can apply exception (b). This table is for the eligibility standard."/>
    </ext>
  </extLst>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FE000000}" name="ExcBFundsDataYear11Budget" displayName="ExcBFundsDataYear11Budget" ref="A30:C32" totalsRowShown="0" headerRowDxfId="870" dataDxfId="868" headerRowBorderDxfId="869" tableBorderDxfId="867" totalsRowBorderDxfId="866">
  <tableColumns count="3">
    <tableColumn id="1" xr3:uid="{00000000-0010-0000-FE00-000001000000}" name="Column1" dataDxfId="865"/>
    <tableColumn id="2" xr3:uid="{00000000-0010-0000-FE00-000002000000}" name="Total Local Funds" dataDxfId="864">
      <calculatedColumnFormula>'2. Getting Started'!C17</calculatedColumnFormula>
    </tableColumn>
    <tableColumn id="3" xr3:uid="{00000000-0010-0000-FE00-000003000000}" name="Total State and Local Funds" dataDxfId="863">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1 Eligiblity Standard" altTextSummary="This table automatically calculates the projected reduction based on a decrease in enrollment for Year 11. This table is for the eligibility standard and uses budget data. The row for Projected Reduction will be blank if there is no decrease in child count."/>
    </ext>
  </extLst>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F000000}" name="TotalBudgetedExcYear11" displayName="TotalBudgetedExcYear11" ref="A66:B68" totalsRowShown="0" headerRowDxfId="862" headerRowBorderDxfId="861" tableBorderDxfId="860" totalsRowBorderDxfId="859">
  <autoFilter ref="A66:B68" xr:uid="{00000000-0009-0000-0100-0000F5000000}">
    <filterColumn colId="0" hiddenButton="1"/>
    <filterColumn colId="1" hiddenButton="1"/>
  </autoFilter>
  <tableColumns count="2">
    <tableColumn id="1" xr3:uid="{00000000-0010-0000-FF00-000001000000}" name="Source" dataDxfId="858" dataCellStyle="Normal 2"/>
    <tableColumn id="2" xr3:uid="{00000000-0010-0000-FF00-000002000000}" name="Total" dataDxfId="857"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11 Eligibility Standard" altTextSummary="This table displays the total projected exceptions entered for the eligibility standard for Year 11."/>
    </ext>
  </extLst>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00010000}" name="EligibilityYear11" displayName="EligibilityYear11" ref="A5:E10" totalsRowShown="0" headerRowDxfId="856" headerRowBorderDxfId="855" tableBorderDxfId="854" totalsRowBorderDxfId="853">
  <autoFilter ref="A5:E10" xr:uid="{00000000-0009-0000-0100-0000F6000000}">
    <filterColumn colId="0" hiddenButton="1"/>
    <filterColumn colId="1" hiddenButton="1"/>
    <filterColumn colId="2" hiddenButton="1"/>
    <filterColumn colId="3" hiddenButton="1"/>
    <filterColumn colId="4" hiddenButton="1"/>
  </autoFilter>
  <tableColumns count="5">
    <tableColumn id="1" xr3:uid="{00000000-0010-0000-0001-000001000000}" name="MOE Information" dataDxfId="852"/>
    <tableColumn id="2" xr3:uid="{00000000-0010-0000-0001-000002000000}" name="Total Local Funds"/>
    <tableColumn id="3" xr3:uid="{00000000-0010-0000-0001-000003000000}" name="Total State and Local Funds"/>
    <tableColumn id="4" xr3:uid="{00000000-0010-0000-0001-000004000000}" name="Local Funds Per Capita"/>
    <tableColumn id="5" xr3:uid="{00000000-0010-0000-0001-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11 Eligibility Standard" altTextSummary="This table displays MOE amounts and results for the eligibility standard for Year 11."/>
    </ext>
  </extLst>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01010000}" name="ComplianceYear11" displayName="ComplianceYear11" ref="A13:E18" totalsRowShown="0" headerRowDxfId="851" dataDxfId="849" headerRowBorderDxfId="850" tableBorderDxfId="848">
  <autoFilter ref="A13:E18" xr:uid="{00000000-0009-0000-0100-0000F7000000}">
    <filterColumn colId="0" hiddenButton="1"/>
    <filterColumn colId="1" hiddenButton="1"/>
    <filterColumn colId="2" hiddenButton="1"/>
    <filterColumn colId="3" hiddenButton="1"/>
    <filterColumn colId="4" hiddenButton="1"/>
  </autoFilter>
  <tableColumns count="5">
    <tableColumn id="1" xr3:uid="{00000000-0010-0000-0101-000001000000}" name="MOE Information" dataDxfId="847"/>
    <tableColumn id="2" xr3:uid="{00000000-0010-0000-0101-000002000000}" name="Total Local Funds" dataDxfId="846"/>
    <tableColumn id="3" xr3:uid="{00000000-0010-0000-0101-000003000000}" name="Total State and Local Funds" dataDxfId="845"/>
    <tableColumn id="4" xr3:uid="{00000000-0010-0000-0101-000004000000}" name="Local Funds Per Capita" dataDxfId="844"/>
    <tableColumn id="5" xr3:uid="{00000000-0010-0000-0101-000005000000}" name="State and Local Funds Per Capita" dataDxfId="843"/>
  </tableColumns>
  <tableStyleInfo name="TableStyleLight18" showFirstColumn="0" showLastColumn="0" showRowStripes="0" showColumnStripes="0"/>
  <extLst>
    <ext xmlns:x14="http://schemas.microsoft.com/office/spreadsheetml/2009/9/main" uri="{504A1905-F514-4f6f-8877-14C23A59335A}">
      <x14:table altTextSummary="Table is blank because the Compliance Standard is not calculated for Year 11."/>
    </ext>
  </extLst>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0000000-000C-0000-FFFF-FFFF02010000}" name="ExcAdjSummaryYear11" displayName="ExcAdjSummaryYear11" ref="A22:C29" totalsRowShown="0" headerRowBorderDxfId="842" tableBorderDxfId="841" totalsRowBorderDxfId="840">
  <autoFilter ref="A22:C29" xr:uid="{00000000-0009-0000-0100-00005B010000}">
    <filterColumn colId="0" hiddenButton="1"/>
    <filterColumn colId="1" hiddenButton="1"/>
    <filterColumn colId="2" hiddenButton="1"/>
  </autoFilter>
  <tableColumns count="3">
    <tableColumn id="1" xr3:uid="{00000000-0010-0000-0201-000001000000}" name="Exception or Adjustment" dataDxfId="839"/>
    <tableColumn id="2" xr3:uid="{00000000-0010-0000-0201-000002000000}" name="Projected Local Funds" dataDxfId="838"/>
    <tableColumn id="3" xr3:uid="{00000000-0010-0000-0201-000003000000}" name="Projected State and Local Funds" dataDxfId="837"/>
  </tableColumns>
  <tableStyleInfo name="TableStyleLight18" showFirstColumn="0" showLastColumn="0" showRowStripes="0" showColumnStripes="0"/>
  <extLst>
    <ext xmlns:x14="http://schemas.microsoft.com/office/spreadsheetml/2009/9/main" uri="{504A1905-F514-4f6f-8877-14C23A59335A}">
      <x14:table altText="Summary of Projected Exceptions and Adjustment for Year 11 Eligibility Standard" altTextSummary="This table presents a summary of all exceptions taken for Year 11. Detailed data on the exceptions are entered on the Exc &amp; Adj tab for Year 11."/>
    </ext>
  </extLst>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61000000}" name="TotalExpendituresExcYear4" displayName="TotalExpendituresExcYear4" ref="H66:I68" totalsRowShown="0" headerRowDxfId="2452" headerRowBorderDxfId="2451" tableBorderDxfId="2450" totalsRowBorderDxfId="2449">
  <autoFilter ref="H66:I68" xr:uid="{00000000-0009-0000-0100-0000D3000000}">
    <filterColumn colId="0" hiddenButton="1"/>
    <filterColumn colId="1" hiddenButton="1"/>
  </autoFilter>
  <tableColumns count="2">
    <tableColumn id="1" xr3:uid="{00000000-0010-0000-6100-000001000000}" name="Source" dataDxfId="2448" dataCellStyle="Normal 2"/>
    <tableColumn id="2" xr3:uid="{00000000-0010-0000-6100-000002000000}" name="Total" dataDxfId="2447"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4 Compliance Standard" altTextSummary="This table displays the total exceptions entered for the compliance standard for Year 4."/>
    </ext>
  </extLst>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03010000}" name="TotalLocalEligibilityPriorToYear1" displayName="TotalLocalEligibilityPriorToYear1" ref="A4:B6" headerRowCount="0" totalsRowShown="0" headerRowDxfId="836" headerRowBorderDxfId="835" tableBorderDxfId="834" totalsRowBorderDxfId="833">
  <tableColumns count="2">
    <tableColumn id="1" xr3:uid="{00000000-0010-0000-0301-000001000000}" name="Column1" headerRowDxfId="832"/>
    <tableColumn id="2" xr3:uid="{00000000-0010-0000-0301-000002000000}" name="Column2" headerRowDxfId="831"/>
  </tableColumns>
  <tableStyleInfo name="TableStyleLight18" showFirstColumn="0" showLastColumn="0" showRowStripes="0" showColumnStripes="0"/>
  <extLst>
    <ext xmlns:x14="http://schemas.microsoft.com/office/spreadsheetml/2009/9/main" uri="{504A1905-F514-4f6f-8877-14C23A59335A}">
      <x14:table altText="Prior to Year 1: Total Local Funds" altTextSummary="This table displays information for the period prior to Year 1 for the Total Local Funds method."/>
    </ext>
  </extLst>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04010000}" name="TotalLocalEligibilityYear2" displayName="TotalLocalEligibilityYear2" ref="A17:B22" headerRowCount="0" totalsRowShown="0" headerRowBorderDxfId="830" tableBorderDxfId="829" totalsRowBorderDxfId="828">
  <tableColumns count="2">
    <tableColumn id="1" xr3:uid="{00000000-0010-0000-0401-000001000000}" name="Column1" headerRowDxfId="827" dataDxfId="826"/>
    <tableColumn id="2" xr3:uid="{00000000-0010-0000-0401-000002000000}" name="Column2" headerRowDxfId="825" dataDxfId="824"/>
  </tableColumns>
  <tableStyleInfo name="TableStyleLight18" showFirstColumn="0" showLastColumn="0" showRowStripes="0" showColumnStripes="0"/>
  <extLst>
    <ext xmlns:x14="http://schemas.microsoft.com/office/spreadsheetml/2009/9/main" uri="{504A1905-F514-4f6f-8877-14C23A59335A}">
      <x14:table altText="Year 2 Eligibility: Total Local Funds" altTextSummary="This table displays information for Year 2 for the Eligibility Standard for the Total Local Funds method. The final row in the table displays the MOE result for Year 2."/>
    </ext>
  </extLst>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05010000}" name="TotalLocalEligibilityYear3" displayName="TotalLocalEligibilityYear3" ref="A25:B30" headerRowCount="0" totalsRowShown="0" headerRowBorderDxfId="823" tableBorderDxfId="822" totalsRowBorderDxfId="821">
  <tableColumns count="2">
    <tableColumn id="1" xr3:uid="{00000000-0010-0000-0501-000001000000}" name="Column1" headerRowDxfId="820" dataDxfId="819"/>
    <tableColumn id="2" xr3:uid="{00000000-0010-0000-0501-000002000000}" name="Column2" headerRowDxfId="818" dataDxfId="817"/>
  </tableColumns>
  <tableStyleInfo name="TableStyleLight18" showFirstColumn="0" showLastColumn="0" showRowStripes="0" showColumnStripes="0"/>
  <extLst>
    <ext xmlns:x14="http://schemas.microsoft.com/office/spreadsheetml/2009/9/main" uri="{504A1905-F514-4f6f-8877-14C23A59335A}">
      <x14:table altText="Year 3 Eligibility: Total Local Funds" altTextSummary="This table displays information for Year 3 for the Eligibility Standard for the Total Local Funds method. The final row in the table displays the MOE result for Year 3."/>
    </ext>
  </extLst>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6010000}" name="TotalLocalEligibilityYear4" displayName="TotalLocalEligibilityYear4" ref="A33:B38" headerRowCount="0" totalsRowShown="0" headerRowBorderDxfId="816" tableBorderDxfId="815" totalsRowBorderDxfId="814">
  <tableColumns count="2">
    <tableColumn id="1" xr3:uid="{00000000-0010-0000-0601-000001000000}" name="Column1" headerRowDxfId="813" dataDxfId="812"/>
    <tableColumn id="2" xr3:uid="{00000000-0010-0000-0601-000002000000}" name="Column2" headerRowDxfId="811" dataDxfId="810"/>
  </tableColumns>
  <tableStyleInfo name="TableStyleLight18" showFirstColumn="0" showLastColumn="0" showRowStripes="0" showColumnStripes="0"/>
  <extLst>
    <ext xmlns:x14="http://schemas.microsoft.com/office/spreadsheetml/2009/9/main" uri="{504A1905-F514-4f6f-8877-14C23A59335A}">
      <x14:table altText="Year 4 Eligibility: Total Local Funds" altTextSummary="This table displays information for Year 4 for the Eligibility Standard for the Total Local Funds method. The final row in the table displays the MOE result for Year 4."/>
    </ext>
  </extLst>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07010000}" name="TotalLocalEligibilityYear5" displayName="TotalLocalEligibilityYear5" ref="A41:B46" headerRowCount="0" totalsRowShown="0" headerRowBorderDxfId="809" tableBorderDxfId="808" totalsRowBorderDxfId="807">
  <tableColumns count="2">
    <tableColumn id="1" xr3:uid="{00000000-0010-0000-0701-000001000000}" name="Column1" headerRowDxfId="806" dataDxfId="805"/>
    <tableColumn id="2" xr3:uid="{00000000-0010-0000-0701-000002000000}" name="Column2" headerRowDxfId="804" dataDxfId="803"/>
  </tableColumns>
  <tableStyleInfo name="TableStyleLight18" showFirstColumn="0" showLastColumn="0" showRowStripes="0" showColumnStripes="0"/>
  <extLst>
    <ext xmlns:x14="http://schemas.microsoft.com/office/spreadsheetml/2009/9/main" uri="{504A1905-F514-4f6f-8877-14C23A59335A}">
      <x14:table altText="Year 5 Eligibility: Total Local Funds" altTextSummary="This table displays information for Year 5 for the Eligibility Standard for the Total Local Funds method. The final row in the table displays the MOE result for Year 5."/>
    </ext>
  </extLst>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08010000}" name="TotalLocalEligibilityYear6" displayName="TotalLocalEligibilityYear6" ref="A49:B54" headerRowCount="0" totalsRowShown="0" headerRowBorderDxfId="802" tableBorderDxfId="801" totalsRowBorderDxfId="800">
  <tableColumns count="2">
    <tableColumn id="1" xr3:uid="{00000000-0010-0000-0801-000001000000}" name="Column1" headerRowDxfId="799" dataDxfId="798"/>
    <tableColumn id="2" xr3:uid="{00000000-0010-0000-0801-000002000000}" name="Column2" headerRowDxfId="797" dataDxfId="796"/>
  </tableColumns>
  <tableStyleInfo name="TableStyleLight18" showFirstColumn="0" showLastColumn="0" showRowStripes="0" showColumnStripes="0"/>
  <extLst>
    <ext xmlns:x14="http://schemas.microsoft.com/office/spreadsheetml/2009/9/main" uri="{504A1905-F514-4f6f-8877-14C23A59335A}">
      <x14:table altText="Year 6 Eligibility: Total Local Funds" altTextSummary="This table displays information for Year 6 for the Eligibility Standard for the Total Local Funds method. The final row in the table displays the MOE result for Year 6."/>
    </ext>
  </extLst>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09010000}" name="TotalLocalEligibilityYear7" displayName="TotalLocalEligibilityYear7" ref="A57:B62" headerRowCount="0" totalsRowShown="0" headerRowBorderDxfId="795" tableBorderDxfId="794" totalsRowBorderDxfId="793">
  <tableColumns count="2">
    <tableColumn id="1" xr3:uid="{00000000-0010-0000-0901-000001000000}" name="Column1" headerRowDxfId="792" dataDxfId="791"/>
    <tableColumn id="2" xr3:uid="{00000000-0010-0000-0901-000002000000}" name="Column2" headerRowDxfId="790" dataDxfId="789"/>
  </tableColumns>
  <tableStyleInfo name="TableStyleLight18" showFirstColumn="0" showLastColumn="0" showRowStripes="0" showColumnStripes="0"/>
  <extLst>
    <ext xmlns:x14="http://schemas.microsoft.com/office/spreadsheetml/2009/9/main" uri="{504A1905-F514-4f6f-8877-14C23A59335A}">
      <x14:table altText="Year 7 Eligibility: Total Local Funds" altTextSummary="This table displays information for Year 7 for the Eligibility Standard for the Total Local Funds method. The final row in the table displays the MOE result for Year 7."/>
    </ext>
  </extLst>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0A010000}" name="TotalLocalEligibilityYear8" displayName="TotalLocalEligibilityYear8" ref="A65:B70" headerRowCount="0" totalsRowShown="0" headerRowBorderDxfId="788" tableBorderDxfId="787" totalsRowBorderDxfId="786">
  <tableColumns count="2">
    <tableColumn id="1" xr3:uid="{00000000-0010-0000-0A01-000001000000}" name="Column1" headerRowDxfId="785" dataDxfId="784"/>
    <tableColumn id="2" xr3:uid="{00000000-0010-0000-0A01-000002000000}" name="Column2" headerRowDxfId="783" dataDxfId="782"/>
  </tableColumns>
  <tableStyleInfo name="TableStyleLight18" showFirstColumn="0" showLastColumn="0" showRowStripes="0" showColumnStripes="0"/>
  <extLst>
    <ext xmlns:x14="http://schemas.microsoft.com/office/spreadsheetml/2009/9/main" uri="{504A1905-F514-4f6f-8877-14C23A59335A}">
      <x14:table altText="Year 8 Eligibility: Total Local Funds" altTextSummary="This table displays information for Year 8 for the Eligibility Standard for the Total Local Funds method. The final row in the table displays the MOE result for Year 8."/>
    </ext>
  </extLst>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0B010000}" name="TotalLocalEligibilityYear9" displayName="TotalLocalEligibilityYear9" ref="A73:B78" headerRowCount="0" totalsRowShown="0" headerRowBorderDxfId="781" tableBorderDxfId="780" totalsRowBorderDxfId="779">
  <tableColumns count="2">
    <tableColumn id="1" xr3:uid="{00000000-0010-0000-0B01-000001000000}" name="Column1" headerRowDxfId="778" dataDxfId="777"/>
    <tableColumn id="2" xr3:uid="{00000000-0010-0000-0B01-000002000000}" name="Column2" headerRowDxfId="776" dataDxfId="775"/>
  </tableColumns>
  <tableStyleInfo name="TableStyleLight18" showFirstColumn="0" showLastColumn="0" showRowStripes="0" showColumnStripes="0"/>
  <extLst>
    <ext xmlns:x14="http://schemas.microsoft.com/office/spreadsheetml/2009/9/main" uri="{504A1905-F514-4f6f-8877-14C23A59335A}">
      <x14:table altText="Year 9 Eligibility: Total Local Funds" altTextSummary="This table displays information for Year 9 for the Eligibility Standard for the Total Local Funds method. The final row in the table displays the MOE result for Year 9."/>
    </ext>
  </extLst>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0C010000}" name="TotalLocalEligibilityYear10" displayName="TotalLocalEligibilityYear10" ref="A81:B86" headerRowCount="0" totalsRowShown="0" headerRowBorderDxfId="774" tableBorderDxfId="773" totalsRowBorderDxfId="772">
  <tableColumns count="2">
    <tableColumn id="1" xr3:uid="{00000000-0010-0000-0C01-000001000000}" name="Column1" headerRowDxfId="771" dataDxfId="770"/>
    <tableColumn id="2" xr3:uid="{00000000-0010-0000-0C01-000002000000}" name="Column2" headerRowDxfId="769" dataDxfId="768"/>
  </tableColumns>
  <tableStyleInfo name="TableStyleLight18" showFirstColumn="0" showLastColumn="0" showRowStripes="0" showColumnStripes="0"/>
  <extLst>
    <ext xmlns:x14="http://schemas.microsoft.com/office/spreadsheetml/2009/9/main" uri="{504A1905-F514-4f6f-8877-14C23A59335A}">
      <x14:table altText="Year 10 Eligibility: Total Local Funds" altTextSummary="This table displays information for Year 10 for the Eligibility Standard for the Total Local Funds method. The final row in the table displays the MOE result for Year 10."/>
    </ext>
  </extLst>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62000000}" name="EligibilityYear4" displayName="EligibilityYear4" ref="A5:E10" totalsRowShown="0" headerRowDxfId="2446" headerRowBorderDxfId="2445" tableBorderDxfId="2444" totalsRowBorderDxfId="2443">
  <autoFilter ref="A5:E10" xr:uid="{00000000-0009-0000-0100-0000D4000000}">
    <filterColumn colId="0" hiddenButton="1"/>
    <filterColumn colId="1" hiddenButton="1"/>
    <filterColumn colId="2" hiddenButton="1"/>
    <filterColumn colId="3" hiddenButton="1"/>
    <filterColumn colId="4" hiddenButton="1"/>
  </autoFilter>
  <tableColumns count="5">
    <tableColumn id="1" xr3:uid="{00000000-0010-0000-6200-000001000000}" name="MOE Information" dataDxfId="2442"/>
    <tableColumn id="2" xr3:uid="{00000000-0010-0000-6200-000002000000}" name="Total Local Funds"/>
    <tableColumn id="3" xr3:uid="{00000000-0010-0000-6200-000003000000}" name="Total State and Local Funds"/>
    <tableColumn id="4" xr3:uid="{00000000-0010-0000-6200-000004000000}" name="Local Funds Per Capita"/>
    <tableColumn id="5" xr3:uid="{00000000-0010-0000-6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4 Eligibility Standard" altTextSummary="This table displays MOE amounts and results for the eligibility standard for Year 4."/>
    </ext>
  </extLst>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0D010000}" name="TotalLocalEligibilityYear11" displayName="TotalLocalEligibilityYear11" ref="A89:B94" headerRowCount="0" totalsRowShown="0" headerRowBorderDxfId="767" tableBorderDxfId="766" totalsRowBorderDxfId="765">
  <tableColumns count="2">
    <tableColumn id="1" xr3:uid="{00000000-0010-0000-0D01-000001000000}" name="Column1" headerRowDxfId="764" dataDxfId="763"/>
    <tableColumn id="2" xr3:uid="{00000000-0010-0000-0D01-000002000000}" name="Column2" headerRowDxfId="762" dataDxfId="761"/>
  </tableColumns>
  <tableStyleInfo name="TableStyleLight18" showFirstColumn="0" showLastColumn="0" showRowStripes="0" showColumnStripes="0"/>
  <extLst>
    <ext xmlns:x14="http://schemas.microsoft.com/office/spreadsheetml/2009/9/main" uri="{504A1905-F514-4f6f-8877-14C23A59335A}">
      <x14:table altText="Year 11 Eligibility: Total Local Funds" altTextSummary="This table displays information for Year 11 for the Eligibility Standard for the Total Local Funds method. The final row in the table displays the MOE result for Year 11."/>
    </ext>
  </extLst>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0E010000}" name="TotalLocalCompliancePriorToYear1" displayName="TotalLocalCompliancePriorToYear1" ref="E4:F6" headerRowCount="0" totalsRowShown="0" headerRowDxfId="760" headerRowBorderDxfId="759" tableBorderDxfId="758" totalsRowBorderDxfId="757">
  <tableColumns count="2">
    <tableColumn id="1" xr3:uid="{00000000-0010-0000-0E01-000001000000}" name="Column1" headerRowDxfId="756"/>
    <tableColumn id="2" xr3:uid="{00000000-0010-0000-0E01-000002000000}" name="Column2" headerRowDxfId="755"/>
  </tableColumns>
  <tableStyleInfo name="TableStyleLight18" showFirstColumn="0" showLastColumn="0" showRowStripes="0" showColumnStripes="0"/>
  <extLst>
    <ext xmlns:x14="http://schemas.microsoft.com/office/spreadsheetml/2009/9/main" uri="{504A1905-F514-4f6f-8877-14C23A59335A}">
      <x14:table altText="Prior to Year 1: Total Local Funds" altTextSummary="This table displays information for the period prior to Year 1 for the Total Local Funds method."/>
    </ext>
  </extLst>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0F010000}" name="TotalLocalComplianceYear1" displayName="TotalLocalComplianceYear1" ref="E9:F14" headerRowCount="0" totalsRowShown="0" headerRowBorderDxfId="754" tableBorderDxfId="753" totalsRowBorderDxfId="752">
  <tableColumns count="2">
    <tableColumn id="1" xr3:uid="{00000000-0010-0000-0F01-000001000000}" name="Column1" headerRowDxfId="751" dataDxfId="750"/>
    <tableColumn id="2" xr3:uid="{00000000-0010-0000-0F01-000002000000}" name="Column2" headerRowDxfId="749" dataDxfId="748"/>
  </tableColumns>
  <tableStyleInfo name="TableStyleLight18" showFirstColumn="0" showLastColumn="0" showRowStripes="0" showColumnStripes="0"/>
  <extLst>
    <ext xmlns:x14="http://schemas.microsoft.com/office/spreadsheetml/2009/9/main" uri="{504A1905-F514-4f6f-8877-14C23A59335A}">
      <x14:table altText="Year 1 Compliance: Total Local Funds" altTextSummary="This table displays information for Year 1 for the Compliance Standard for the Total Local Funds method. The final row in the table displays the MOE result for Year 1."/>
    </ext>
  </extLst>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10010000}" name="TotalLocalComplianceYear2" displayName="TotalLocalComplianceYear2" ref="E17:F22" headerRowCount="0" totalsRowShown="0" headerRowBorderDxfId="747" tableBorderDxfId="746" totalsRowBorderDxfId="745">
  <tableColumns count="2">
    <tableColumn id="1" xr3:uid="{00000000-0010-0000-1001-000001000000}" name="Column1" headerRowDxfId="744" dataDxfId="743"/>
    <tableColumn id="2" xr3:uid="{00000000-0010-0000-1001-000002000000}" name="Column2" headerRowDxfId="742" dataDxfId="741"/>
  </tableColumns>
  <tableStyleInfo name="TableStyleLight18" showFirstColumn="0" showLastColumn="0" showRowStripes="0" showColumnStripes="0"/>
  <extLst>
    <ext xmlns:x14="http://schemas.microsoft.com/office/spreadsheetml/2009/9/main" uri="{504A1905-F514-4f6f-8877-14C23A59335A}">
      <x14:table altText="Year 2 Compliance: Total Local Funds" altTextSummary="This table displays information for Year 2 for the Compliance Standard for the Total Local Funds method. The final row in the table displays the MOE result for Year 2."/>
    </ext>
  </extLst>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11010000}" name="TotalLocalComplianceYear3" displayName="TotalLocalComplianceYear3" ref="E25:F30" headerRowCount="0" totalsRowShown="0" headerRowBorderDxfId="740" tableBorderDxfId="739" totalsRowBorderDxfId="738">
  <tableColumns count="2">
    <tableColumn id="1" xr3:uid="{00000000-0010-0000-1101-000001000000}" name="Column1" headerRowDxfId="737" dataDxfId="736"/>
    <tableColumn id="2" xr3:uid="{00000000-0010-0000-1101-000002000000}" name="Column2" headerRowDxfId="735" dataDxfId="734"/>
  </tableColumns>
  <tableStyleInfo name="TableStyleLight18" showFirstColumn="0" showLastColumn="0" showRowStripes="0" showColumnStripes="0"/>
  <extLst>
    <ext xmlns:x14="http://schemas.microsoft.com/office/spreadsheetml/2009/9/main" uri="{504A1905-F514-4f6f-8877-14C23A59335A}">
      <x14:table altText="Year 3 Compliance: Total Local Funds" altTextSummary="This table displays information for Year 3 for the Compliance Standard for the Total Local Funds method. The final row in the table displays the MOE result for Year 3."/>
    </ext>
  </extLst>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12010000}" name="TotalLocalComplianceYear4" displayName="TotalLocalComplianceYear4" ref="E33:F38" headerRowCount="0" totalsRowShown="0" headerRowBorderDxfId="733" tableBorderDxfId="732" totalsRowBorderDxfId="731">
  <tableColumns count="2">
    <tableColumn id="1" xr3:uid="{00000000-0010-0000-1201-000001000000}" name="Column1" headerRowDxfId="730" dataDxfId="729"/>
    <tableColumn id="2" xr3:uid="{00000000-0010-0000-1201-000002000000}" name="Column2" headerRowDxfId="728" dataDxfId="727"/>
  </tableColumns>
  <tableStyleInfo name="TableStyleLight18" showFirstColumn="0" showLastColumn="0" showRowStripes="0" showColumnStripes="0"/>
  <extLst>
    <ext xmlns:x14="http://schemas.microsoft.com/office/spreadsheetml/2009/9/main" uri="{504A1905-F514-4f6f-8877-14C23A59335A}">
      <x14:table altText="Year 4 Compliance: Total Local Funds" altTextSummary="This table displays information for Year 4 for the Compliance Standard for the Total Local Funds method. The final row in the table displays the MOE result for Year 4."/>
    </ext>
  </extLst>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13010000}" name="TotalLocalComplianceYear5" displayName="TotalLocalComplianceYear5" ref="E41:F46" headerRowCount="0" totalsRowShown="0" headerRowBorderDxfId="726" tableBorderDxfId="725" totalsRowBorderDxfId="724">
  <tableColumns count="2">
    <tableColumn id="1" xr3:uid="{00000000-0010-0000-1301-000001000000}" name="Column1" headerRowDxfId="723" dataDxfId="722"/>
    <tableColumn id="2" xr3:uid="{00000000-0010-0000-1301-000002000000}" name="Column2" headerRowDxfId="721" dataDxfId="720"/>
  </tableColumns>
  <tableStyleInfo name="TableStyleLight18" showFirstColumn="0" showLastColumn="0" showRowStripes="0" showColumnStripes="0"/>
  <extLst>
    <ext xmlns:x14="http://schemas.microsoft.com/office/spreadsheetml/2009/9/main" uri="{504A1905-F514-4f6f-8877-14C23A59335A}">
      <x14:table altText="Year 5 Compliance: Total Local Funds" altTextSummary="This table displays information for Year 5 for the Compliance Standard for the Total Local Funds method. The final row in the table displays the MOE result for Year 5."/>
    </ext>
  </extLst>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14010000}" name="TotalLocalComplianceYear6" displayName="TotalLocalComplianceYear6" ref="E49:F54" headerRowCount="0" totalsRowShown="0" headerRowBorderDxfId="719" tableBorderDxfId="718" totalsRowBorderDxfId="717">
  <tableColumns count="2">
    <tableColumn id="1" xr3:uid="{00000000-0010-0000-1401-000001000000}" name="Column1" headerRowDxfId="716" dataDxfId="715"/>
    <tableColumn id="2" xr3:uid="{00000000-0010-0000-1401-000002000000}" name="Column2" headerRowDxfId="714" dataDxfId="713"/>
  </tableColumns>
  <tableStyleInfo name="TableStyleLight18" showFirstColumn="0" showLastColumn="0" showRowStripes="0" showColumnStripes="0"/>
  <extLst>
    <ext xmlns:x14="http://schemas.microsoft.com/office/spreadsheetml/2009/9/main" uri="{504A1905-F514-4f6f-8877-14C23A59335A}">
      <x14:table altText="Year 6 Compliance: Total Local Funds" altTextSummary="This table displays information for Year 6 for the Compliance Standard for the Total Local Funds method. The final row in the table displays the MOE result for Year 6."/>
    </ext>
  </extLst>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15010000}" name="TotalLocalComplianceYear7" displayName="TotalLocalComplianceYear7" ref="E57:F62" headerRowCount="0" totalsRowShown="0" headerRowBorderDxfId="712" tableBorderDxfId="711" totalsRowBorderDxfId="710">
  <tableColumns count="2">
    <tableColumn id="1" xr3:uid="{00000000-0010-0000-1501-000001000000}" name="Column1" headerRowDxfId="709" dataDxfId="708"/>
    <tableColumn id="2" xr3:uid="{00000000-0010-0000-1501-000002000000}" name="Column2" headerRowDxfId="707" dataDxfId="706"/>
  </tableColumns>
  <tableStyleInfo name="TableStyleLight18" showFirstColumn="0" showLastColumn="0" showRowStripes="0" showColumnStripes="0"/>
  <extLst>
    <ext xmlns:x14="http://schemas.microsoft.com/office/spreadsheetml/2009/9/main" uri="{504A1905-F514-4f6f-8877-14C23A59335A}">
      <x14:table altText="Year 7 Compliance: Total Local Funds" altTextSummary="This table displays information for Year 7 for the Compliance Standard for the Total Local Funds method. The final row in the table displays the MOE result for Year 7."/>
    </ext>
  </extLst>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16010000}" name="TotalLocalComplianceYear8" displayName="TotalLocalComplianceYear8" ref="E65:F70" headerRowCount="0" totalsRowShown="0" headerRowBorderDxfId="705" tableBorderDxfId="704" totalsRowBorderDxfId="703">
  <tableColumns count="2">
    <tableColumn id="1" xr3:uid="{00000000-0010-0000-1601-000001000000}" name="Column1" headerRowDxfId="702" dataDxfId="701"/>
    <tableColumn id="2" xr3:uid="{00000000-0010-0000-1601-000002000000}" name="Column2" headerRowDxfId="700" dataDxfId="699"/>
  </tableColumns>
  <tableStyleInfo name="TableStyleLight18" showFirstColumn="0" showLastColumn="0" showRowStripes="0" showColumnStripes="0"/>
  <extLst>
    <ext xmlns:x14="http://schemas.microsoft.com/office/spreadsheetml/2009/9/main" uri="{504A1905-F514-4f6f-8877-14C23A59335A}">
      <x14:table altText="Year 8 Compliance: Total Local Funds" altTextSummary="This table displays information for Year 8 for the Compliance Standard for the Total Local Funds method. The final row in the table displays the MOE result for Year 8."/>
    </ext>
  </extLst>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63000000}" name="ComplianceYear4" displayName="ComplianceYear4" ref="A13:E18" totalsRowShown="0" headerRowDxfId="2441" headerRowBorderDxfId="2440" tableBorderDxfId="2439" totalsRowBorderDxfId="2438">
  <autoFilter ref="A13:E18" xr:uid="{00000000-0009-0000-0100-0000D5000000}">
    <filterColumn colId="0" hiddenButton="1"/>
    <filterColumn colId="1" hiddenButton="1"/>
    <filterColumn colId="2" hiddenButton="1"/>
    <filterColumn colId="3" hiddenButton="1"/>
    <filterColumn colId="4" hiddenButton="1"/>
  </autoFilter>
  <tableColumns count="5">
    <tableColumn id="1" xr3:uid="{00000000-0010-0000-6300-000001000000}" name="MOE Information" dataDxfId="2437"/>
    <tableColumn id="2" xr3:uid="{00000000-0010-0000-6300-000002000000}" name="Total Local Funds" dataDxfId="2436"/>
    <tableColumn id="3" xr3:uid="{00000000-0010-0000-6300-000003000000}" name="Total State and Local Funds" dataDxfId="2435"/>
    <tableColumn id="4" xr3:uid="{00000000-0010-0000-6300-000004000000}" name="Local Funds Per Capita" dataDxfId="2434"/>
    <tableColumn id="5" xr3:uid="{00000000-0010-0000-6300-000005000000}" name="State and Local Funds Per Capita" dataDxfId="2433"/>
  </tableColumns>
  <tableStyleInfo name="TableStyleLight18" showFirstColumn="0" showLastColumn="0" showRowStripes="0" showColumnStripes="0"/>
  <extLst>
    <ext xmlns:x14="http://schemas.microsoft.com/office/spreadsheetml/2009/9/main" uri="{504A1905-F514-4f6f-8877-14C23A59335A}">
      <x14:table altText="Year 4 Compliance Standard" altTextSummary="This table displays MOE amounts and results for the compliance standard for Year 4."/>
    </ext>
  </extLst>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17010000}" name="TotalLocalComplianceYear9" displayName="TotalLocalComplianceYear9" ref="E73:F78" headerRowCount="0" totalsRowShown="0" headerRowBorderDxfId="698" tableBorderDxfId="697" totalsRowBorderDxfId="696">
  <tableColumns count="2">
    <tableColumn id="1" xr3:uid="{00000000-0010-0000-1701-000001000000}" name="Column1" headerRowDxfId="695" dataDxfId="694"/>
    <tableColumn id="2" xr3:uid="{00000000-0010-0000-1701-000002000000}" name="Column2" headerRowDxfId="693" dataDxfId="692"/>
  </tableColumns>
  <tableStyleInfo name="TableStyleLight18" showFirstColumn="0" showLastColumn="0" showRowStripes="0" showColumnStripes="0"/>
  <extLst>
    <ext xmlns:x14="http://schemas.microsoft.com/office/spreadsheetml/2009/9/main" uri="{504A1905-F514-4f6f-8877-14C23A59335A}">
      <x14:table altText="Year 9 Compliance: Total Local Funds" altTextSummary="This table displays information for Year 9 for the Compliance Standard for the Total Local Funds method. The final row in the table displays the MOE result for Year 9."/>
    </ext>
  </extLst>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18010000}" name="TotalLocalComplianceYear10" displayName="TotalLocalComplianceYear10" ref="E81:F86" headerRowCount="0" totalsRowShown="0" headerRowBorderDxfId="691" tableBorderDxfId="690" totalsRowBorderDxfId="689">
  <tableColumns count="2">
    <tableColumn id="1" xr3:uid="{00000000-0010-0000-1801-000001000000}" name="Column1" headerRowDxfId="688" dataDxfId="687"/>
    <tableColumn id="2" xr3:uid="{00000000-0010-0000-1801-000002000000}" name="Column2" headerRowDxfId="686" dataDxfId="685"/>
  </tableColumns>
  <tableStyleInfo name="TableStyleLight18" showFirstColumn="0" showLastColumn="0" showRowStripes="0" showColumnStripes="0"/>
  <extLst>
    <ext xmlns:x14="http://schemas.microsoft.com/office/spreadsheetml/2009/9/main" uri="{504A1905-F514-4f6f-8877-14C23A59335A}">
      <x14:table altText="Year 10 Compliance: Total Local Funds" altTextSummary="This table displays information for Year 10 for the Compliance Standard for the Total Local Funds method. The final row in the table displays the MOE result for Year 10."/>
    </ext>
  </extLst>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19010000}" name="StateLocalEligibilityPriorToYear1" displayName="StateLocalEligibilityPriorToYear1" ref="A4:B6" headerRowCount="0" totalsRowShown="0" headerRowDxfId="684" headerRowBorderDxfId="683" tableBorderDxfId="682" totalsRowBorderDxfId="681">
  <tableColumns count="2">
    <tableColumn id="1" xr3:uid="{00000000-0010-0000-1901-000001000000}" name="Column1" headerRowDxfId="680"/>
    <tableColumn id="2" xr3:uid="{00000000-0010-0000-1901-000002000000}" name="Column2" headerRowDxfId="679"/>
  </tableColumns>
  <tableStyleInfo name="TableStyleLight18" showFirstColumn="0" showLastColumn="0" showRowStripes="0" showColumnStripes="0"/>
  <extLst>
    <ext xmlns:x14="http://schemas.microsoft.com/office/spreadsheetml/2009/9/main" uri="{504A1905-F514-4f6f-8877-14C23A59335A}">
      <x14:table altText="Prior to Year 1: Total State and Local Funds" altTextSummary="This table displays information for the period prior to Year 1 for the Total State &amp; Local Funds method."/>
    </ext>
  </extLst>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1A010000}" name="StateLocalEligibilityYear2" displayName="StateLocalEligibilityYear2" ref="A17:B22" headerRowCount="0" totalsRowShown="0" headerRowBorderDxfId="678" tableBorderDxfId="677" totalsRowBorderDxfId="676">
  <tableColumns count="2">
    <tableColumn id="1" xr3:uid="{00000000-0010-0000-1A01-000001000000}" name="Column1" headerRowDxfId="675" dataDxfId="674"/>
    <tableColumn id="2" xr3:uid="{00000000-0010-0000-1A01-000002000000}" name="Column2" headerRowDxfId="673" dataDxfId="672"/>
  </tableColumns>
  <tableStyleInfo name="TableStyleLight18" showFirstColumn="0" showLastColumn="0" showRowStripes="0" showColumnStripes="0"/>
  <extLst>
    <ext xmlns:x14="http://schemas.microsoft.com/office/spreadsheetml/2009/9/main" uri="{504A1905-F514-4f6f-8877-14C23A59335A}">
      <x14:table altText="Year 2 Eligibility: Total State &amp; Local Funds" altTextSummary="This table displays information for Year 2 for the Eligibility Standard for the Total State &amp; Local Funds method. The final row in the table displays the MOE result for Year 2."/>
    </ext>
  </extLst>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10000}" name="StateLocalEligbilityYear3" displayName="StateLocalEligbilityYear3" ref="A25:B30" headerRowCount="0" totalsRowShown="0" headerRowBorderDxfId="671" tableBorderDxfId="670" totalsRowBorderDxfId="669">
  <tableColumns count="2">
    <tableColumn id="1" xr3:uid="{00000000-0010-0000-1B01-000001000000}" name="Column1" headerRowDxfId="668" dataDxfId="667"/>
    <tableColumn id="2" xr3:uid="{00000000-0010-0000-1B01-000002000000}" name="Column2" headerRowDxfId="666" dataDxfId="665"/>
  </tableColumns>
  <tableStyleInfo name="TableStyleLight18" showFirstColumn="0" showLastColumn="0" showRowStripes="0" showColumnStripes="0"/>
  <extLst>
    <ext xmlns:x14="http://schemas.microsoft.com/office/spreadsheetml/2009/9/main" uri="{504A1905-F514-4f6f-8877-14C23A59335A}">
      <x14:table altText="Year 3 Eligibility: Total State &amp; Local Funds" altTextSummary="This table displays information for Year 3 for the Eligibility Standard for the Total State &amp; Local Funds method. The final row in the table displays the MOE result for Year 3."/>
    </ext>
  </extLst>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10000}" name="StateLocalEligibilityYear4" displayName="StateLocalEligibilityYear4" ref="A33:B38" headerRowCount="0" totalsRowShown="0" headerRowBorderDxfId="664" tableBorderDxfId="663" totalsRowBorderDxfId="662">
  <tableColumns count="2">
    <tableColumn id="1" xr3:uid="{00000000-0010-0000-1C01-000001000000}" name="Column1" headerRowDxfId="661" dataDxfId="660"/>
    <tableColumn id="2" xr3:uid="{00000000-0010-0000-1C01-000002000000}" name="Column2" headerRowDxfId="659" dataDxfId="658"/>
  </tableColumns>
  <tableStyleInfo name="TableStyleLight18" showFirstColumn="0" showLastColumn="0" showRowStripes="0" showColumnStripes="0"/>
  <extLst>
    <ext xmlns:x14="http://schemas.microsoft.com/office/spreadsheetml/2009/9/main" uri="{504A1905-F514-4f6f-8877-14C23A59335A}">
      <x14:table altText="Year 4 Eligibility: Total State &amp; Local Funds" altTextSummary="This table displays information for Year 3 for the Eligibility Standard for the Total State &amp; Local Funds method. The final row in the table displays the MOE result for Year 3."/>
    </ext>
  </extLst>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1D010000}" name="StateLocalEligibilityYear5" displayName="StateLocalEligibilityYear5" ref="A41:B46" headerRowCount="0" totalsRowShown="0" headerRowBorderDxfId="657" tableBorderDxfId="656" totalsRowBorderDxfId="655">
  <tableColumns count="2">
    <tableColumn id="1" xr3:uid="{00000000-0010-0000-1D01-000001000000}" name="Column1" headerRowDxfId="654" dataDxfId="653"/>
    <tableColumn id="2" xr3:uid="{00000000-0010-0000-1D01-000002000000}" name="Column2" headerRowDxfId="652" dataDxfId="651"/>
  </tableColumns>
  <tableStyleInfo name="TableStyleLight18" showFirstColumn="0" showLastColumn="0" showRowStripes="0" showColumnStripes="0"/>
  <extLst>
    <ext xmlns:x14="http://schemas.microsoft.com/office/spreadsheetml/2009/9/main" uri="{504A1905-F514-4f6f-8877-14C23A59335A}">
      <x14:table altText="Year 5 Eligibility: Total State &amp; Local Funds" altTextSummary="This table displays information for Year 5 for the Eligibility Standard for the Total State &amp; Local Funds method. The final row in the table displays the MOE result for Year 5."/>
    </ext>
  </extLst>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1E010000}" name="StateLocalEligibilityYear6" displayName="StateLocalEligibilityYear6" ref="A49:B54" headerRowCount="0" totalsRowShown="0" headerRowBorderDxfId="650" tableBorderDxfId="649" totalsRowBorderDxfId="648">
  <tableColumns count="2">
    <tableColumn id="1" xr3:uid="{00000000-0010-0000-1E01-000001000000}" name="Column1" headerRowDxfId="647" dataDxfId="646"/>
    <tableColumn id="2" xr3:uid="{00000000-0010-0000-1E01-000002000000}" name="Column2" headerRowDxfId="645" dataDxfId="644"/>
  </tableColumns>
  <tableStyleInfo name="TableStyleLight18" showFirstColumn="0" showLastColumn="0" showRowStripes="0" showColumnStripes="0"/>
  <extLst>
    <ext xmlns:x14="http://schemas.microsoft.com/office/spreadsheetml/2009/9/main" uri="{504A1905-F514-4f6f-8877-14C23A59335A}">
      <x14:table altText="Year 6 Eligibility: Total State &amp; Local Funds" altTextSummary="This table displays information for Year 6 for the Eligibility Standard for the Total State &amp; Local Funds method. The final row in the table displays the MOE result for Year 6."/>
    </ext>
  </extLst>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1F010000}" name="StateLocalEligibilityYear7" displayName="StateLocalEligibilityYear7" ref="A57:B62" headerRowCount="0" totalsRowShown="0" headerRowBorderDxfId="643" tableBorderDxfId="642" totalsRowBorderDxfId="641">
  <tableColumns count="2">
    <tableColumn id="1" xr3:uid="{00000000-0010-0000-1F01-000001000000}" name="Column1" headerRowDxfId="640" dataDxfId="639"/>
    <tableColumn id="2" xr3:uid="{00000000-0010-0000-1F01-000002000000}" name="Column2" headerRowDxfId="638" dataDxfId="637"/>
  </tableColumns>
  <tableStyleInfo name="TableStyleLight18" showFirstColumn="0" showLastColumn="0" showRowStripes="0" showColumnStripes="0"/>
  <extLst>
    <ext xmlns:x14="http://schemas.microsoft.com/office/spreadsheetml/2009/9/main" uri="{504A1905-F514-4f6f-8877-14C23A59335A}">
      <x14:table altText="Year 7 Eligibility: Total State &amp; Local Funds" altTextSummary="This table displays information for Year 7 for the Eligibility Standard for the Total State &amp; Local Funds method. The final row in the table displays the MOE result for Year 7."/>
    </ext>
  </extLst>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20010000}" name="StateLocalEligibilityYear8" displayName="StateLocalEligibilityYear8" ref="A65:B70" headerRowCount="0" totalsRowShown="0" headerRowBorderDxfId="636" tableBorderDxfId="635" totalsRowBorderDxfId="634">
  <tableColumns count="2">
    <tableColumn id="1" xr3:uid="{00000000-0010-0000-2001-000001000000}" name="Column1" headerRowDxfId="633" dataDxfId="632"/>
    <tableColumn id="2" xr3:uid="{00000000-0010-0000-2001-000002000000}" name="Column2" headerRowDxfId="631" dataDxfId="630"/>
  </tableColumns>
  <tableStyleInfo name="TableStyleLight18" showFirstColumn="0" showLastColumn="0" showRowStripes="0" showColumnStripes="0"/>
  <extLst>
    <ext xmlns:x14="http://schemas.microsoft.com/office/spreadsheetml/2009/9/main" uri="{504A1905-F514-4f6f-8877-14C23A59335A}">
      <x14:table altText="Year 8 Eligibility: Total State &amp; Local Funds" altTextSummary="This table displays information for Year 8 for the Eligibility Standard for the Total State &amp; Local Funds method. The final row in the table displays the MOE result for Year 8."/>
    </ext>
  </extLst>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64000000}" name="RepaymentYear4" displayName="RepaymentYear4" ref="A21:B27" totalsRowShown="0" headerRowBorderDxfId="2432" tableBorderDxfId="2431" totalsRowBorderDxfId="2430">
  <autoFilter ref="A21:B27" xr:uid="{00000000-0009-0000-0100-0000D6000000}">
    <filterColumn colId="0" hiddenButton="1"/>
    <filterColumn colId="1" hiddenButton="1"/>
  </autoFilter>
  <tableColumns count="2">
    <tableColumn id="1" xr3:uid="{00000000-0010-0000-6400-000001000000}" name="Repayment data" dataDxfId="2429"/>
    <tableColumn id="2" xr3:uid="{00000000-0010-0000-6400-000002000000}" name="Data for Year 4"/>
  </tableColumns>
  <tableStyleInfo name="TableStyleLight18" showFirstColumn="0" showLastColumn="0" showRowStripes="0" showColumnStripes="0"/>
  <extLst>
    <ext xmlns:x14="http://schemas.microsoft.com/office/spreadsheetml/2009/9/main" uri="{504A1905-F514-4f6f-8877-14C23A59335A}">
      <x14:table altText="Year 4 Repayment" altTextSummary="This table calculates the repayment amount for Year 4 if the LEA fails MOE by all four methods for the compliance standard. Users must enter data for IDEA allocations."/>
    </ext>
  </extLst>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21010000}" name="StateLocalEligibilityYear9" displayName="StateLocalEligibilityYear9" ref="A73:B78" headerRowCount="0" totalsRowShown="0" headerRowBorderDxfId="629" tableBorderDxfId="628" totalsRowBorderDxfId="627">
  <tableColumns count="2">
    <tableColumn id="1" xr3:uid="{00000000-0010-0000-2101-000001000000}" name="Column1" headerRowDxfId="626" dataDxfId="625"/>
    <tableColumn id="2" xr3:uid="{00000000-0010-0000-2101-000002000000}" name="Column2" headerRowDxfId="624" dataDxfId="623"/>
  </tableColumns>
  <tableStyleInfo name="TableStyleLight18" showFirstColumn="0" showLastColumn="0" showRowStripes="0" showColumnStripes="0"/>
  <extLst>
    <ext xmlns:x14="http://schemas.microsoft.com/office/spreadsheetml/2009/9/main" uri="{504A1905-F514-4f6f-8877-14C23A59335A}">
      <x14:table altText="Year 9 Eligibility: Total State &amp; Local Funds" altTextSummary="This table displays information for Year 9 for the Eligibility Standard for the Total State &amp; Local Funds method. The final row in the table displays the MOE result for Year 9."/>
    </ext>
  </extLst>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22010000}" name="StateLocalEligibilityYear10" displayName="StateLocalEligibilityYear10" ref="A81:B86" headerRowCount="0" totalsRowShown="0" headerRowBorderDxfId="622" tableBorderDxfId="621" totalsRowBorderDxfId="620">
  <tableColumns count="2">
    <tableColumn id="1" xr3:uid="{00000000-0010-0000-2201-000001000000}" name="Column1" headerRowDxfId="619" dataDxfId="618"/>
    <tableColumn id="2" xr3:uid="{00000000-0010-0000-2201-000002000000}" name="Column2" headerRowDxfId="617" dataDxfId="616"/>
  </tableColumns>
  <tableStyleInfo name="TableStyleLight18" showFirstColumn="0" showLastColumn="0" showRowStripes="0" showColumnStripes="0"/>
  <extLst>
    <ext xmlns:x14="http://schemas.microsoft.com/office/spreadsheetml/2009/9/main" uri="{504A1905-F514-4f6f-8877-14C23A59335A}">
      <x14:table altText="Year 10 Eligibility: Total State &amp; Local Funds" altTextSummary="This table displays information for Year 10 for the Eligibility Standard for the Total State &amp; Local Funds method. The final row in the table displays the MOE result for Year 10."/>
    </ext>
  </extLst>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23010000}" name="StateLocalEligibilityYear11" displayName="StateLocalEligibilityYear11" ref="A89:B94" headerRowCount="0" totalsRowShown="0" headerRowBorderDxfId="615" tableBorderDxfId="614" totalsRowBorderDxfId="613">
  <tableColumns count="2">
    <tableColumn id="1" xr3:uid="{00000000-0010-0000-2301-000001000000}" name="Column1" headerRowDxfId="612" dataDxfId="611"/>
    <tableColumn id="2" xr3:uid="{00000000-0010-0000-2301-000002000000}" name="Column2" headerRowDxfId="610" dataDxfId="609"/>
  </tableColumns>
  <tableStyleInfo name="TableStyleLight18" showFirstColumn="0" showLastColumn="0" showRowStripes="0" showColumnStripes="0"/>
  <extLst>
    <ext xmlns:x14="http://schemas.microsoft.com/office/spreadsheetml/2009/9/main" uri="{504A1905-F514-4f6f-8877-14C23A59335A}">
      <x14:table altText="Year 11 Eligibility: Total State &amp; Local Funds" altTextSummary="This table displays information for Year 11 for the Eligibility Standard for the Total State &amp; Local Funds method. The final row in the table displays the MOE result for Year 11."/>
    </ext>
  </extLst>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24010000}" name="StateLocalCompliancePriorToYear1" displayName="StateLocalCompliancePriorToYear1" ref="E4:F6" headerRowCount="0" totalsRowShown="0" headerRowDxfId="608" headerRowBorderDxfId="607" tableBorderDxfId="606" totalsRowBorderDxfId="605">
  <tableColumns count="2">
    <tableColumn id="1" xr3:uid="{00000000-0010-0000-2401-000001000000}" name="Column1" headerRowDxfId="604"/>
    <tableColumn id="2" xr3:uid="{00000000-0010-0000-2401-000002000000}" name="Column2" headerRowDxfId="603"/>
  </tableColumns>
  <tableStyleInfo name="TableStyleLight18" showFirstColumn="0" showLastColumn="0" showRowStripes="0" showColumnStripes="0"/>
  <extLst>
    <ext xmlns:x14="http://schemas.microsoft.com/office/spreadsheetml/2009/9/main" uri="{504A1905-F514-4f6f-8877-14C23A59335A}">
      <x14:table altText="Prior to Year 1: Total State &amp; Local Funds" altTextSummary="This table displays information for the period prior to Year 1 for the Total State &amp; Local Funds method."/>
    </ext>
  </extLst>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25010000}" name="StateLocalComplianceYear1" displayName="StateLocalComplianceYear1" ref="E9:F14" headerRowCount="0" totalsRowShown="0" headerRowBorderDxfId="602" tableBorderDxfId="601" totalsRowBorderDxfId="600">
  <tableColumns count="2">
    <tableColumn id="1" xr3:uid="{00000000-0010-0000-2501-000001000000}" name="Column1" headerRowDxfId="599" dataDxfId="598"/>
    <tableColumn id="2" xr3:uid="{00000000-0010-0000-2501-000002000000}" name="Column2" headerRowDxfId="597" dataDxfId="596"/>
  </tableColumns>
  <tableStyleInfo name="TableStyleLight18" showFirstColumn="0" showLastColumn="0" showRowStripes="0" showColumnStripes="0"/>
  <extLst>
    <ext xmlns:x14="http://schemas.microsoft.com/office/spreadsheetml/2009/9/main" uri="{504A1905-F514-4f6f-8877-14C23A59335A}">
      <x14:table altText="Year 1 Compliance: Total State &amp; Local Funds" altTextSummary="This table displays information for Year 1 for the Compliance Standard for the Total State &amp; Local Funds method. The final row in the table displays the MOE result for Year 1."/>
    </ext>
  </extLst>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26010000}" name="StateLocalComplianceYear2" displayName="StateLocalComplianceYear2" ref="E17:F22" headerRowCount="0" totalsRowShown="0" headerRowBorderDxfId="595" tableBorderDxfId="594" totalsRowBorderDxfId="593">
  <tableColumns count="2">
    <tableColumn id="1" xr3:uid="{00000000-0010-0000-2601-000001000000}" name="Column1" headerRowDxfId="592" dataDxfId="591"/>
    <tableColumn id="2" xr3:uid="{00000000-0010-0000-2601-000002000000}" name="Column2" headerRowDxfId="590" dataDxfId="589"/>
  </tableColumns>
  <tableStyleInfo name="TableStyleLight18" showFirstColumn="0" showLastColumn="0" showRowStripes="0" showColumnStripes="0"/>
  <extLst>
    <ext xmlns:x14="http://schemas.microsoft.com/office/spreadsheetml/2009/9/main" uri="{504A1905-F514-4f6f-8877-14C23A59335A}">
      <x14:table altText="Year 2 Compliance: Total State &amp; Local Funds" altTextSummary="This table displays information for Year 2 for the Compliance Standard for the Total State &amp; Local Funds method. The final row in the table displays the MOE result for Year 2."/>
    </ext>
  </extLst>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27010000}" name="StateLocalComplianceYear3" displayName="StateLocalComplianceYear3" ref="E25:F30" headerRowCount="0" totalsRowShown="0" headerRowBorderDxfId="588" tableBorderDxfId="587" totalsRowBorderDxfId="586">
  <tableColumns count="2">
    <tableColumn id="1" xr3:uid="{00000000-0010-0000-2701-000001000000}" name="Column1" headerRowDxfId="585" dataDxfId="584"/>
    <tableColumn id="2" xr3:uid="{00000000-0010-0000-2701-000002000000}" name="Column2" headerRowDxfId="583" dataDxfId="582"/>
  </tableColumns>
  <tableStyleInfo name="TableStyleLight18" showFirstColumn="0" showLastColumn="0" showRowStripes="0" showColumnStripes="0"/>
  <extLst>
    <ext xmlns:x14="http://schemas.microsoft.com/office/spreadsheetml/2009/9/main" uri="{504A1905-F514-4f6f-8877-14C23A59335A}">
      <x14:table altText="Year 3 Compliance: Total State &amp; Local Funds" altTextSummary="This table displays information for Year 3 for the Compliance Standard for the Total State &amp; Local Funds method. The final row in the table displays the MOE result for Year 3."/>
    </ext>
  </extLst>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28010000}" name="StateLocalComplianceYear4" displayName="StateLocalComplianceYear4" ref="E33:F38" headerRowCount="0" totalsRowShown="0" headerRowBorderDxfId="581" tableBorderDxfId="580" totalsRowBorderDxfId="579">
  <tableColumns count="2">
    <tableColumn id="1" xr3:uid="{00000000-0010-0000-2801-000001000000}" name="Column1" headerRowDxfId="578" dataDxfId="577"/>
    <tableColumn id="2" xr3:uid="{00000000-0010-0000-2801-000002000000}" name="Column2" headerRowDxfId="576" dataDxfId="575"/>
  </tableColumns>
  <tableStyleInfo name="TableStyleLight18" showFirstColumn="0" showLastColumn="0" showRowStripes="0" showColumnStripes="0"/>
  <extLst>
    <ext xmlns:x14="http://schemas.microsoft.com/office/spreadsheetml/2009/9/main" uri="{504A1905-F514-4f6f-8877-14C23A59335A}">
      <x14:table altText="Year 4 Compliance: Total State &amp; Local Funds" altTextSummary="This table displays information for Year 4 for the Compliance Standard for the Total State &amp; Local Funds method. The final row in the table displays the MOE result for Year 4."/>
    </ext>
  </extLst>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29010000}" name="StateLocalComplianceYear5" displayName="StateLocalComplianceYear5" ref="E41:F46" headerRowCount="0" totalsRowShown="0" headerRowBorderDxfId="574" tableBorderDxfId="573" totalsRowBorderDxfId="572">
  <tableColumns count="2">
    <tableColumn id="1" xr3:uid="{00000000-0010-0000-2901-000001000000}" name="Column1" headerRowDxfId="571" dataDxfId="570"/>
    <tableColumn id="2" xr3:uid="{00000000-0010-0000-2901-000002000000}" name="Column2" headerRowDxfId="569" dataDxfId="568"/>
  </tableColumns>
  <tableStyleInfo name="TableStyleLight18" showFirstColumn="0" showLastColumn="0" showRowStripes="0" showColumnStripes="0"/>
  <extLst>
    <ext xmlns:x14="http://schemas.microsoft.com/office/spreadsheetml/2009/9/main" uri="{504A1905-F514-4f6f-8877-14C23A59335A}">
      <x14:table altText="Year 5 Compliance: Total State &amp; Local Funds" altTextSummary="This table displays information for Year 5 for the Compliance Standard for the Total State &amp; Local Funds method. The final row in the table displays the MOE result for Year 5."/>
    </ext>
  </extLst>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2A010000}" name="StateLocalComplianceYear6" displayName="StateLocalComplianceYear6" ref="E49:F54" headerRowCount="0" totalsRowShown="0" headerRowBorderDxfId="567" tableBorderDxfId="566" totalsRowBorderDxfId="565">
  <tableColumns count="2">
    <tableColumn id="1" xr3:uid="{00000000-0010-0000-2A01-000001000000}" name="Column1" headerRowDxfId="564" dataDxfId="563"/>
    <tableColumn id="2" xr3:uid="{00000000-0010-0000-2A01-000002000000}" name="Column2" headerRowDxfId="562" dataDxfId="561"/>
  </tableColumns>
  <tableStyleInfo name="TableStyleLight18" showFirstColumn="0" showLastColumn="0" showRowStripes="0" showColumnStripes="0"/>
  <extLst>
    <ext xmlns:x14="http://schemas.microsoft.com/office/spreadsheetml/2009/9/main" uri="{504A1905-F514-4f6f-8877-14C23A59335A}">
      <x14:table altText="Year 6 Compliance: Total State &amp; Local Funds" altTextSummary="This table displays information for Year 6 for the Compliance Standard for the Total State &amp; Local Funds method. The final row in the table displays the MOE result for Year 6."/>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2000000}" name="PriorFiscalYear" displayName="PriorFiscalYear" ref="A16:C19" totalsRowShown="0" headerRowDxfId="2618" headerRowBorderDxfId="2617" tableBorderDxfId="2616" totalsRowBorderDxfId="2615">
  <autoFilter ref="A16:C19" xr:uid="{00000000-0009-0000-0100-0000C3000000}">
    <filterColumn colId="0" hiddenButton="1"/>
    <filterColumn colId="1" hiddenButton="1"/>
    <filterColumn colId="2" hiddenButton="1"/>
  </autoFilter>
  <tableColumns count="3">
    <tableColumn id="1" xr3:uid="{00000000-0010-0000-0200-000001000000}" name="Information" dataDxfId="2614"/>
    <tableColumn id="2" xr3:uid="{00000000-0010-0000-0200-000002000000}" name="Projected (for eligibility standard)" dataDxfId="2613"/>
    <tableColumn id="3" xr3:uid="{00000000-0010-0000-0200-000003000000}" name="Final (for compliance standard)" dataDxfId="2612"/>
  </tableColumns>
  <tableStyleInfo name="TableStyleLight18" showFirstColumn="0" showLastColumn="0" showRowStripes="0" showColumnStripes="0"/>
  <extLst>
    <ext xmlns:x14="http://schemas.microsoft.com/office/spreadsheetml/2009/9/main" uri="{504A1905-F514-4f6f-8877-14C23A59335A}">
      <x14:table altText="Prior Fiscal Year Before Year 1" altTextSummary="Enter information for the fiscal year immediately prior to Year 1. The information entered here is required for proper calculation of exception (b)."/>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0000000-000C-0000-FFFF-FFFF65000000}" name="ExcAdjSummaryYear4" displayName="ExcAdjSummaryYear4" ref="A33:E40" totalsRowShown="0" headerRowDxfId="2428" headerRowBorderDxfId="2427" tableBorderDxfId="2426" totalsRowBorderDxfId="2425">
  <autoFilter ref="A33:E40" xr:uid="{00000000-0009-0000-0100-000054010000}">
    <filterColumn colId="0" hiddenButton="1"/>
    <filterColumn colId="1" hiddenButton="1"/>
    <filterColumn colId="2" hiddenButton="1"/>
    <filterColumn colId="3" hiddenButton="1"/>
    <filterColumn colId="4" hiddenButton="1"/>
  </autoFilter>
  <tableColumns count="5">
    <tableColumn id="1" xr3:uid="{00000000-0010-0000-6500-000001000000}" name="Exception or Adjustment" dataDxfId="2424"/>
    <tableColumn id="2" xr3:uid="{00000000-0010-0000-6500-000002000000}" name="Projected Local Funds" dataDxfId="2423"/>
    <tableColumn id="3" xr3:uid="{00000000-0010-0000-6500-000003000000}" name="Projected State and Local Funds" dataDxfId="2422"/>
    <tableColumn id="4" xr3:uid="{00000000-0010-0000-6500-000004000000}" name="Local Funds" dataDxfId="2421"/>
    <tableColumn id="5" xr3:uid="{00000000-0010-0000-6500-000005000000}" name="State and Local Funds" dataDxfId="2420"/>
  </tableColumns>
  <tableStyleInfo name="TableStyleLight18" showFirstColumn="0" showLastColumn="0" showRowStripes="0" showColumnStripes="0"/>
  <extLst>
    <ext xmlns:x14="http://schemas.microsoft.com/office/spreadsheetml/2009/9/main" uri="{504A1905-F514-4f6f-8877-14C23A59335A}">
      <x14:table altText="Summary of Year 4 Exceptions and Adjustment" altTextSummary="This table presents a summary of all exceptions taken for Year 4. Detailed data on the exceptions are entered on the Exc &amp; Adj tab for Year 4."/>
    </ext>
  </extLst>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2B010000}" name="StateLocalComplianceYear7" displayName="StateLocalComplianceYear7" ref="E57:F62" headerRowCount="0" totalsRowShown="0" headerRowBorderDxfId="560" tableBorderDxfId="559" totalsRowBorderDxfId="558">
  <tableColumns count="2">
    <tableColumn id="1" xr3:uid="{00000000-0010-0000-2B01-000001000000}" name="Column1" headerRowDxfId="557" dataDxfId="556"/>
    <tableColumn id="2" xr3:uid="{00000000-0010-0000-2B01-000002000000}" name="Column2" headerRowDxfId="555" dataDxfId="554"/>
  </tableColumns>
  <tableStyleInfo name="TableStyleLight18" showFirstColumn="0" showLastColumn="0" showRowStripes="0" showColumnStripes="0"/>
  <extLst>
    <ext xmlns:x14="http://schemas.microsoft.com/office/spreadsheetml/2009/9/main" uri="{504A1905-F514-4f6f-8877-14C23A59335A}">
      <x14:table altText="Year 7 Compliance: Total State &amp; Local Funds" altTextSummary="This table displays information for Year 7 for the Compliance Standard for the Total State &amp; Local Funds method. The final row in the table displays the MOE result for Year 7."/>
    </ext>
  </extLst>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2C010000}" name="StateLocalComplianceYear8" displayName="StateLocalComplianceYear8" ref="E65:F70" headerRowCount="0" totalsRowShown="0" headerRowBorderDxfId="553" tableBorderDxfId="552" totalsRowBorderDxfId="551">
  <tableColumns count="2">
    <tableColumn id="1" xr3:uid="{00000000-0010-0000-2C01-000001000000}" name="Column1" headerRowDxfId="550" dataDxfId="549"/>
    <tableColumn id="2" xr3:uid="{00000000-0010-0000-2C01-000002000000}" name="Column2" headerRowDxfId="548" dataDxfId="547"/>
  </tableColumns>
  <tableStyleInfo name="TableStyleLight18" showFirstColumn="0" showLastColumn="0" showRowStripes="0" showColumnStripes="0"/>
  <extLst>
    <ext xmlns:x14="http://schemas.microsoft.com/office/spreadsheetml/2009/9/main" uri="{504A1905-F514-4f6f-8877-14C23A59335A}">
      <x14:table altText="Year 8 Compliance: Total State &amp; Local Funds" altTextSummary="This table displays information for Year 8 for the Compliance Standard for the Total State &amp; Local Funds method. The final row in the table displays the MOE result for Year 8."/>
    </ext>
  </extLst>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2D010000}" name="StateLocalComplianceYear9" displayName="StateLocalComplianceYear9" ref="E73:F78" headerRowCount="0" totalsRowShown="0" headerRowBorderDxfId="546" tableBorderDxfId="545" totalsRowBorderDxfId="544">
  <tableColumns count="2">
    <tableColumn id="1" xr3:uid="{00000000-0010-0000-2D01-000001000000}" name="Column1" headerRowDxfId="543" dataDxfId="542"/>
    <tableColumn id="2" xr3:uid="{00000000-0010-0000-2D01-000002000000}" name="Column2" headerRowDxfId="541" dataDxfId="540"/>
  </tableColumns>
  <tableStyleInfo name="TableStyleLight18" showFirstColumn="0" showLastColumn="0" showRowStripes="0" showColumnStripes="0"/>
  <extLst>
    <ext xmlns:x14="http://schemas.microsoft.com/office/spreadsheetml/2009/9/main" uri="{504A1905-F514-4f6f-8877-14C23A59335A}">
      <x14:table altText="Year 9 Compliance: Total State &amp; Local Funds" altTextSummary="This table displays information for Year 9 for the Compliance Standard for the Total State &amp; Local Funds method. The final row in the table displays the MOE result for Year 9."/>
    </ext>
  </extLst>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2E010000}" name="StateLocalComplianceYear10" displayName="StateLocalComplianceYear10" ref="E81:F86" headerRowCount="0" totalsRowShown="0" headerRowBorderDxfId="539" tableBorderDxfId="538" totalsRowBorderDxfId="537">
  <tableColumns count="2">
    <tableColumn id="1" xr3:uid="{00000000-0010-0000-2E01-000001000000}" name="Column1" headerRowDxfId="536" dataDxfId="535"/>
    <tableColumn id="2" xr3:uid="{00000000-0010-0000-2E01-000002000000}" name="Column2" headerRowDxfId="534" dataDxfId="533"/>
  </tableColumns>
  <tableStyleInfo name="TableStyleLight18" showFirstColumn="0" showLastColumn="0" showRowStripes="0" showColumnStripes="0"/>
  <extLst>
    <ext xmlns:x14="http://schemas.microsoft.com/office/spreadsheetml/2009/9/main" uri="{504A1905-F514-4f6f-8877-14C23A59335A}">
      <x14:table altText="Year 10 Compliance: Total State &amp; Local Funds" altTextSummary="This table displays information for Year 10 for the Compliance Standard for the Total State &amp; Local Funds method. The final row in the table displays the MOE result for Year 10."/>
    </ext>
  </extLst>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2F010000}" name="LocalPerCapitaEligibilityPriorToYear1" displayName="LocalPerCapitaEligibilityPriorToYear1" ref="A4:B7" headerRowCount="0" totalsRowShown="0" headerRowDxfId="532" headerRowBorderDxfId="531" tableBorderDxfId="530" totalsRowBorderDxfId="529">
  <tableColumns count="2">
    <tableColumn id="1" xr3:uid="{00000000-0010-0000-2F01-000001000000}" name="Column1" headerRowDxfId="528"/>
    <tableColumn id="2" xr3:uid="{00000000-0010-0000-2F01-000002000000}" name="Column2" headerRowDxfId="527"/>
  </tableColumns>
  <tableStyleInfo name="TableStyleLight18" showFirstColumn="0" showLastColumn="0" showRowStripes="0" showColumnStripes="0"/>
  <extLst>
    <ext xmlns:x14="http://schemas.microsoft.com/office/spreadsheetml/2009/9/main" uri="{504A1905-F514-4f6f-8877-14C23A59335A}">
      <x14:table altText="Prior to Year 1: Local Funds Per Capita" altTextSummary="This table displays information for the period prior to Year 1 for the Local Funds Per Capita method."/>
    </ext>
  </extLst>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30010000}" name="LocalPerCapitaCompliancePriorToYear1" displayName="LocalPerCapitaCompliancePriorToYear1" ref="E4:F7" headerRowCount="0" totalsRowShown="0" headerRowDxfId="526" headerRowBorderDxfId="525" tableBorderDxfId="524" totalsRowBorderDxfId="523">
  <tableColumns count="2">
    <tableColumn id="1" xr3:uid="{00000000-0010-0000-3001-000001000000}" name="Column1" headerRowDxfId="522"/>
    <tableColumn id="2" xr3:uid="{00000000-0010-0000-3001-000002000000}" name="Column2" headerRowDxfId="521"/>
  </tableColumns>
  <tableStyleInfo name="TableStyleLight18" showFirstColumn="0" showLastColumn="0" showRowStripes="0" showColumnStripes="0"/>
  <extLst>
    <ext xmlns:x14="http://schemas.microsoft.com/office/spreadsheetml/2009/9/main" uri="{504A1905-F514-4f6f-8877-14C23A59335A}">
      <x14:table altText="Prior to Year 1: Local Funds Per Capita" altTextSummary="This table displays information for the period prior to Year 1 for the Local Funds Per Capita method."/>
    </ext>
  </extLst>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31010000}" name="LocalPerCapitaComplianceYear1" displayName="LocalPerCapitaComplianceYear1" ref="E10:F15" headerRowCount="0" totalsRowShown="0" headerRowBorderDxfId="520" tableBorderDxfId="519" totalsRowBorderDxfId="518">
  <tableColumns count="2">
    <tableColumn id="1" xr3:uid="{00000000-0010-0000-3101-000001000000}" name="Column1" headerRowDxfId="517" dataDxfId="516"/>
    <tableColumn id="2" xr3:uid="{00000000-0010-0000-3101-000002000000}" name="Column2" headerRowDxfId="515" dataDxfId="514"/>
  </tableColumns>
  <tableStyleInfo name="TableStyleLight18" showFirstColumn="0" showLastColumn="0" showRowStripes="0" showColumnStripes="0"/>
  <extLst>
    <ext xmlns:x14="http://schemas.microsoft.com/office/spreadsheetml/2009/9/main" uri="{504A1905-F514-4f6f-8877-14C23A59335A}">
      <x14:table altText="Year 1 Compliance: Local Funds Per Capita" altTextSummary="This table displays information for Year 1 for the Compliance Standard for the Local Funds Per Capita method. The final row in the table displays the MOE result for Year 1."/>
    </ext>
  </extLst>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32010000}" name="LocalPerCapitaEligibilityYear2" displayName="LocalPerCapitaEligibilityYear2" ref="A18:B23" headerRowCount="0" totalsRowShown="0" headerRowBorderDxfId="513" tableBorderDxfId="512" totalsRowBorderDxfId="511">
  <tableColumns count="2">
    <tableColumn id="1" xr3:uid="{00000000-0010-0000-3201-000001000000}" name="Column1" headerRowDxfId="510" dataDxfId="509"/>
    <tableColumn id="2" xr3:uid="{00000000-0010-0000-3201-000002000000}" name="Column2" headerRowDxfId="508" dataDxfId="507"/>
  </tableColumns>
  <tableStyleInfo name="TableStyleLight18" showFirstColumn="0" showLastColumn="0" showRowStripes="0" showColumnStripes="0"/>
  <extLst>
    <ext xmlns:x14="http://schemas.microsoft.com/office/spreadsheetml/2009/9/main" uri="{504A1905-F514-4f6f-8877-14C23A59335A}">
      <x14:table altText="Year 2 Eligibility: Local Funds Per Capita" altTextSummary="This table displays information for Year 2 for the Eligibility Standard for the Local Funds Per Capita method. The final row in the table displays the MOE result for Year 2."/>
    </ext>
  </extLst>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33010000}" name="LocalPerCapitaComplianceYear2" displayName="LocalPerCapitaComplianceYear2" ref="E18:F23" headerRowCount="0" totalsRowShown="0" headerRowBorderDxfId="506" tableBorderDxfId="505" totalsRowBorderDxfId="504">
  <tableColumns count="2">
    <tableColumn id="1" xr3:uid="{00000000-0010-0000-3301-000001000000}" name="Column1" headerRowDxfId="503" dataDxfId="502"/>
    <tableColumn id="2" xr3:uid="{00000000-0010-0000-3301-000002000000}" name="Column2" headerRowDxfId="501" dataDxfId="500"/>
  </tableColumns>
  <tableStyleInfo name="TableStyleLight18" showFirstColumn="0" showLastColumn="0" showRowStripes="0" showColumnStripes="0"/>
  <extLst>
    <ext xmlns:x14="http://schemas.microsoft.com/office/spreadsheetml/2009/9/main" uri="{504A1905-F514-4f6f-8877-14C23A59335A}">
      <x14:table altText="Year 2 Compliance: Local Funds Per Capita" altTextSummary="This table displays information for Year 2 for the Compliance Standard for the Local Funds Per Capita method. The final row in the table displays the MOE result for Year 2."/>
    </ext>
  </extLst>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34010000}" name="LocalPerCapitaEligibilityYear3" displayName="LocalPerCapitaEligibilityYear3" ref="A26:B31" headerRowCount="0" totalsRowShown="0" headerRowBorderDxfId="499" tableBorderDxfId="498" totalsRowBorderDxfId="497">
  <tableColumns count="2">
    <tableColumn id="1" xr3:uid="{00000000-0010-0000-3401-000001000000}" name="Column1" headerRowDxfId="496" dataDxfId="495"/>
    <tableColumn id="2" xr3:uid="{00000000-0010-0000-3401-000002000000}" name="Column2" headerRowDxfId="494" dataDxfId="493"/>
  </tableColumns>
  <tableStyleInfo name="TableStyleMedium2" showFirstColumn="0" showLastColumn="0" showRowStripes="0" showColumnStripes="0"/>
  <extLst>
    <ext xmlns:x14="http://schemas.microsoft.com/office/spreadsheetml/2009/9/main" uri="{504A1905-F514-4f6f-8877-14C23A59335A}">
      <x14:table altText="Year 3 Eligibility: Local Funds Per Capita" altTextSummary="This table displays information for Year 3 for the Eligibility Standard for the Local Funds Per Capita method. The final row in the table displays the MOE result for Year 3."/>
    </ext>
  </extLst>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6000000}" name="BudgetYear3" displayName="BudgetYear3" ref="A4:F31" totalsRowShown="0" headerRowDxfId="2419" tableBorderDxfId="2418">
  <tableColumns count="6">
    <tableColumn id="1" xr3:uid="{00000000-0010-0000-3600-000001000000}" name="Object Description" dataDxfId="2417"/>
    <tableColumn id="2" xr3:uid="{00000000-0010-0000-3600-000002000000}" name="Code 1" dataDxfId="2416"/>
    <tableColumn id="7" xr3:uid="{00000000-0010-0000-3600-000007000000}" name="Code 2" dataDxfId="2415"/>
    <tableColumn id="3" xr3:uid="{00000000-0010-0000-3600-000003000000}" name="Local" dataDxfId="2414" dataCellStyle="Currency"/>
    <tableColumn id="4" xr3:uid="{00000000-0010-0000-3600-000004000000}" name="State" dataDxfId="2413" dataCellStyle="Currency"/>
    <tableColumn id="5" xr3:uid="{00000000-0010-0000-3600-000005000000}" name="State and Local" dataDxfId="2412"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3" altTextSummary="In this table, users will enter their budget amounts for Year 3. The column headers for the first three columns are unlocked and can be edited. If the LEA cannot separately budget for state and local funds, leave the Local column blank."/>
    </ext>
  </extLst>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35010000}" name="LocalPerCapitaComplianceYear3" displayName="LocalPerCapitaComplianceYear3" ref="E26:F31" headerRowCount="0" totalsRowShown="0" headerRowBorderDxfId="492" tableBorderDxfId="491" totalsRowBorderDxfId="490">
  <tableColumns count="2">
    <tableColumn id="1" xr3:uid="{00000000-0010-0000-3501-000001000000}" name="Column1" headerRowDxfId="489" dataDxfId="488"/>
    <tableColumn id="2" xr3:uid="{00000000-0010-0000-3501-000002000000}" name="Column2" headerRowDxfId="487" dataDxfId="486"/>
  </tableColumns>
  <tableStyleInfo name="TableStyleLight18" showFirstColumn="0" showLastColumn="0" showRowStripes="0" showColumnStripes="0"/>
  <extLst>
    <ext xmlns:x14="http://schemas.microsoft.com/office/spreadsheetml/2009/9/main" uri="{504A1905-F514-4f6f-8877-14C23A59335A}">
      <x14:table altText="Year 3 Compliance: Local Funds Per Capita" altTextSummary="This table displays information for Year 3 for the Compliance Standard for the Local Funds Per Capita method. The final row in the table displays the MOE result for Year 3."/>
    </ext>
  </extLst>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36010000}" name="LocalPerCapitaEligibilityYear4" displayName="LocalPerCapitaEligibilityYear4" ref="A34:B39" headerRowCount="0" totalsRowShown="0" headerRowBorderDxfId="485" tableBorderDxfId="484" totalsRowBorderDxfId="483">
  <tableColumns count="2">
    <tableColumn id="1" xr3:uid="{00000000-0010-0000-3601-000001000000}" name="Column1" headerRowDxfId="482" dataDxfId="481"/>
    <tableColumn id="2" xr3:uid="{00000000-0010-0000-3601-000002000000}" name="Column2" headerRowDxfId="480" dataDxfId="479"/>
  </tableColumns>
  <tableStyleInfo name="TableStyleLight18" showFirstColumn="0" showLastColumn="0" showRowStripes="0" showColumnStripes="0"/>
  <extLst>
    <ext xmlns:x14="http://schemas.microsoft.com/office/spreadsheetml/2009/9/main" uri="{504A1905-F514-4f6f-8877-14C23A59335A}">
      <x14:table altText="Year 4 Eligibility: Local Funds Per Capita" altTextSummary="This table displays information for Year 4 for the Eligibility Standard for the Local Funds Per Capita method. The final row in the table displays the MOE result for Year 4."/>
    </ext>
  </extLst>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37010000}" name="LocalPerCapitaComplianceYear4" displayName="LocalPerCapitaComplianceYear4" ref="E34:F39" headerRowCount="0" totalsRowShown="0" headerRowBorderDxfId="478" tableBorderDxfId="477" totalsRowBorderDxfId="476">
  <tableColumns count="2">
    <tableColumn id="1" xr3:uid="{00000000-0010-0000-3701-000001000000}" name="Column1" headerRowDxfId="475" dataDxfId="474"/>
    <tableColumn id="2" xr3:uid="{00000000-0010-0000-3701-000002000000}" name="Column2" headerRowDxfId="473" dataDxfId="472"/>
  </tableColumns>
  <tableStyleInfo name="TableStyleLight18" showFirstColumn="0" showLastColumn="0" showRowStripes="0" showColumnStripes="0"/>
  <extLst>
    <ext xmlns:x14="http://schemas.microsoft.com/office/spreadsheetml/2009/9/main" uri="{504A1905-F514-4f6f-8877-14C23A59335A}">
      <x14:table altText="Year 4 Compliance: Local Funds Per Capita" altTextSummary="This table displays information for Year 4 for the Compliance Standard for the Local Funds Per Capita method. The final row in the table displays the MOE result for Year 4."/>
    </ext>
  </extLst>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38010000}" name="LocalPerCapitaEligibilityYear5" displayName="LocalPerCapitaEligibilityYear5" ref="A42:B47" headerRowCount="0" totalsRowShown="0" headerRowBorderDxfId="471" tableBorderDxfId="470" totalsRowBorderDxfId="469">
  <tableColumns count="2">
    <tableColumn id="1" xr3:uid="{00000000-0010-0000-3801-000001000000}" name="Column1" headerRowDxfId="468" dataDxfId="467"/>
    <tableColumn id="2" xr3:uid="{00000000-0010-0000-3801-000002000000}" name="Column2" headerRowDxfId="466" dataDxfId="465"/>
  </tableColumns>
  <tableStyleInfo name="TableStyleLight18" showFirstColumn="0" showLastColumn="0" showRowStripes="0" showColumnStripes="0"/>
  <extLst>
    <ext xmlns:x14="http://schemas.microsoft.com/office/spreadsheetml/2009/9/main" uri="{504A1905-F514-4f6f-8877-14C23A59335A}">
      <x14:table altText="Year 5 Eligibility: Local Funds Per Capita" altTextSummary="This table displays information for Year 5 for the Eligibility Standard for the Local Funds Per Capita method. The final row in the table displays the MOE result for Year 5."/>
    </ext>
  </extLst>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39010000}" name="LocalPerCapitaComplianceYear5" displayName="LocalPerCapitaComplianceYear5" ref="E42:F47" headerRowCount="0" totalsRowShown="0" headerRowBorderDxfId="464" tableBorderDxfId="463" totalsRowBorderDxfId="462">
  <tableColumns count="2">
    <tableColumn id="1" xr3:uid="{00000000-0010-0000-3901-000001000000}" name="Column1" headerRowDxfId="461" dataDxfId="460"/>
    <tableColumn id="2" xr3:uid="{00000000-0010-0000-3901-000002000000}" name="Column2" headerRowDxfId="459" dataDxfId="458"/>
  </tableColumns>
  <tableStyleInfo name="TableStyleLight18" showFirstColumn="0" showLastColumn="0" showRowStripes="0" showColumnStripes="0"/>
  <extLst>
    <ext xmlns:x14="http://schemas.microsoft.com/office/spreadsheetml/2009/9/main" uri="{504A1905-F514-4f6f-8877-14C23A59335A}">
      <x14:table altText="Year 5 Compliance: Local Funds Per Capita" altTextSummary="This table displays information for Year 5 for the Compliance Standard for the Local Funds Per Capita method. The final row in the table displays the MOE result for Year 5."/>
    </ext>
  </extLst>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3A010000}" name="LocalPerCapitaEligibilityYear6" displayName="LocalPerCapitaEligibilityYear6" ref="A50:B55" headerRowCount="0" totalsRowShown="0" headerRowBorderDxfId="457" tableBorderDxfId="456" totalsRowBorderDxfId="455">
  <tableColumns count="2">
    <tableColumn id="1" xr3:uid="{00000000-0010-0000-3A01-000001000000}" name="Column1" headerRowDxfId="454" dataDxfId="453"/>
    <tableColumn id="2" xr3:uid="{00000000-0010-0000-3A01-000002000000}" name="Column2" headerRowDxfId="452" dataDxfId="451"/>
  </tableColumns>
  <tableStyleInfo name="TableStyleLight18" showFirstColumn="0" showLastColumn="0" showRowStripes="0" showColumnStripes="0"/>
  <extLst>
    <ext xmlns:x14="http://schemas.microsoft.com/office/spreadsheetml/2009/9/main" uri="{504A1905-F514-4f6f-8877-14C23A59335A}">
      <x14:table altText="Year 6 Eligibility: Local Funds Per Capita" altTextSummary="This table displays information for Year 6 for the Eligibility Standard for the Local Funds Per Capita method. The final row in the table displays the MOE result for Year 6."/>
    </ext>
  </extLst>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3B010000}" name="LocalPerCapitaComplianceYear6" displayName="LocalPerCapitaComplianceYear6" ref="E50:F55" headerRowCount="0" totalsRowShown="0" headerRowBorderDxfId="450" tableBorderDxfId="449" totalsRowBorderDxfId="448">
  <tableColumns count="2">
    <tableColumn id="1" xr3:uid="{00000000-0010-0000-3B01-000001000000}" name="Column1" headerRowDxfId="447" dataDxfId="446"/>
    <tableColumn id="2" xr3:uid="{00000000-0010-0000-3B01-000002000000}" name="Column2" headerRowDxfId="445" dataDxfId="444"/>
  </tableColumns>
  <tableStyleInfo name="TableStyleLight18" showFirstColumn="0" showLastColumn="0" showRowStripes="0" showColumnStripes="0"/>
  <extLst>
    <ext xmlns:x14="http://schemas.microsoft.com/office/spreadsheetml/2009/9/main" uri="{504A1905-F514-4f6f-8877-14C23A59335A}">
      <x14:table altText="Year 6 Compliance: Local Funds Per Capita" altTextSummary="This table displays information for Year 6 for the Compliance Standard for the Local Funds Per Capita method. The final row in the table displays the MOE result for Year 6."/>
    </ext>
  </extLst>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3C010000}" name="LocalPerCapitaEligibilityYear7" displayName="LocalPerCapitaEligibilityYear7" ref="A58:B63" headerRowCount="0" totalsRowShown="0" headerRowBorderDxfId="443" tableBorderDxfId="442" totalsRowBorderDxfId="441">
  <tableColumns count="2">
    <tableColumn id="1" xr3:uid="{00000000-0010-0000-3C01-000001000000}" name="Column1" headerRowDxfId="440" dataDxfId="439"/>
    <tableColumn id="2" xr3:uid="{00000000-0010-0000-3C01-000002000000}" name="Column2" headerRowDxfId="438" dataDxfId="437"/>
  </tableColumns>
  <tableStyleInfo name="TableStyleLight18" showFirstColumn="0" showLastColumn="0" showRowStripes="0" showColumnStripes="0"/>
  <extLst>
    <ext xmlns:x14="http://schemas.microsoft.com/office/spreadsheetml/2009/9/main" uri="{504A1905-F514-4f6f-8877-14C23A59335A}">
      <x14:table altText="Year 7 Eligibility: Local Funds Per Capita" altTextSummary="This table displays information for Year 7 for the Eligibility Standard for the Local Funds Per Capita method. The final row in the table displays the MOE result for Year 7."/>
    </ext>
  </extLst>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3D010000}" name="LocalPerCapitaComplianceYear7" displayName="LocalPerCapitaComplianceYear7" ref="E58:F63" headerRowCount="0" totalsRowShown="0" headerRowBorderDxfId="436" tableBorderDxfId="435" totalsRowBorderDxfId="434">
  <tableColumns count="2">
    <tableColumn id="1" xr3:uid="{00000000-0010-0000-3D01-000001000000}" name="Column1" headerRowDxfId="433" dataDxfId="432"/>
    <tableColumn id="2" xr3:uid="{00000000-0010-0000-3D01-000002000000}" name="Column2" headerRowDxfId="431" dataDxfId="430"/>
  </tableColumns>
  <tableStyleInfo name="TableStyleLight18" showFirstColumn="0" showLastColumn="0" showRowStripes="0" showColumnStripes="0"/>
  <extLst>
    <ext xmlns:x14="http://schemas.microsoft.com/office/spreadsheetml/2009/9/main" uri="{504A1905-F514-4f6f-8877-14C23A59335A}">
      <x14:table altText="Year 7 Compliance: Local Funds Per Capita" altTextSummary="This table displays information for Year 7 for the Compliance Standard for the Local Funds Per Capita method. The final row in the table displays the MOE result for Year 7."/>
    </ext>
  </extLst>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3E010000}" name="LocalPerCapitaEligibilityYear8" displayName="LocalPerCapitaEligibilityYear8" ref="A66:B71" headerRowCount="0" totalsRowShown="0" headerRowBorderDxfId="429" tableBorderDxfId="428" totalsRowBorderDxfId="427">
  <tableColumns count="2">
    <tableColumn id="1" xr3:uid="{00000000-0010-0000-3E01-000001000000}" name="Column1" headerRowDxfId="426" dataDxfId="425"/>
    <tableColumn id="2" xr3:uid="{00000000-0010-0000-3E01-000002000000}" name="Column2" headerRowDxfId="424" dataDxfId="423"/>
  </tableColumns>
  <tableStyleInfo name="TableStyleLight18" showFirstColumn="0" showLastColumn="0" showRowStripes="0" showColumnStripes="0"/>
  <extLst>
    <ext xmlns:x14="http://schemas.microsoft.com/office/spreadsheetml/2009/9/main" uri="{504A1905-F514-4f6f-8877-14C23A59335A}">
      <x14:table altText="Year 8 Eligibility: Local Funds Per Capita" altTextSummary="This table displays information for Year 8 for the Eligibility Standard for the Local Funds Per Capita method. The final row in the table displays the MOE result for Year 8."/>
    </ext>
  </extLst>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7000000}" name="ExpendituresYear3" displayName="ExpendituresYear3" ref="H4:M31" totalsRowShown="0" headerRowDxfId="2411" tableBorderDxfId="2410">
  <tableColumns count="6">
    <tableColumn id="1" xr3:uid="{00000000-0010-0000-3700-000001000000}" name="Object Description" dataDxfId="2409"/>
    <tableColumn id="2" xr3:uid="{00000000-0010-0000-3700-000002000000}" name="Code" dataDxfId="2408"/>
    <tableColumn id="6" xr3:uid="{00000000-0010-0000-3700-000006000000}" name="Code 2" dataDxfId="2407"/>
    <tableColumn id="3" xr3:uid="{00000000-0010-0000-3700-000003000000}" name="Local" dataDxfId="2406" dataCellStyle="Currency"/>
    <tableColumn id="4" xr3:uid="{00000000-0010-0000-3700-000004000000}" name="State" dataDxfId="2405" dataCellStyle="Currency"/>
    <tableColumn id="5" xr3:uid="{00000000-0010-0000-3700-000005000000}" name="State and Local" dataDxfId="2404"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3" altTextSummary="In this table, users will enter the LEA's final expenditures for Year 3. The column headers for the first three columns are unlocked and can be edited. If the LEA cannot separately budget for state and local funds, leave the Local column blank."/>
    </ext>
  </extLst>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3F010000}" name="LocalPerCapitaComplianceYear8" displayName="LocalPerCapitaComplianceYear8" ref="E66:F71" headerRowCount="0" totalsRowShown="0" headerRowBorderDxfId="422" tableBorderDxfId="421" totalsRowBorderDxfId="420">
  <tableColumns count="2">
    <tableColumn id="1" xr3:uid="{00000000-0010-0000-3F01-000001000000}" name="Column1" headerRowDxfId="419" dataDxfId="418"/>
    <tableColumn id="2" xr3:uid="{00000000-0010-0000-3F01-000002000000}" name="Column2" headerRowDxfId="417" dataDxfId="416"/>
  </tableColumns>
  <tableStyleInfo name="TableStyleLight18" showFirstColumn="0" showLastColumn="0" showRowStripes="0" showColumnStripes="0"/>
  <extLst>
    <ext xmlns:x14="http://schemas.microsoft.com/office/spreadsheetml/2009/9/main" uri="{504A1905-F514-4f6f-8877-14C23A59335A}">
      <x14:table altText="Year 8 Compliance: Local Funds Per Capita" altTextSummary="This table displays information for Year 8 for the Compliance Standard for the Local Funds Per Capita method. The final row in the table displays the MOE result for Year 8."/>
    </ext>
  </extLst>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40010000}" name="LocalPerCapitaEligibilityYear9" displayName="LocalPerCapitaEligibilityYear9" ref="A74:B79" headerRowCount="0" totalsRowShown="0" headerRowBorderDxfId="415" tableBorderDxfId="414" totalsRowBorderDxfId="413">
  <tableColumns count="2">
    <tableColumn id="1" xr3:uid="{00000000-0010-0000-4001-000001000000}" name="Column1" headerRowDxfId="412" dataDxfId="411"/>
    <tableColumn id="2" xr3:uid="{00000000-0010-0000-4001-000002000000}" name="Column2" headerRowDxfId="410" dataDxfId="409"/>
  </tableColumns>
  <tableStyleInfo name="TableStyleLight18" showFirstColumn="0" showLastColumn="0" showRowStripes="0" showColumnStripes="0"/>
  <extLst>
    <ext xmlns:x14="http://schemas.microsoft.com/office/spreadsheetml/2009/9/main" uri="{504A1905-F514-4f6f-8877-14C23A59335A}">
      <x14:table altText="Year 9 Eligibility: Local Funds Per Capita" altTextSummary="This table displays information for Year 9 for the Eligibility Standard for the Local Funds Per Capita method. The final row in the table displays the MOE result for Year 9."/>
    </ext>
  </extLst>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41010000}" name="LocalPerCapitaComplianceYear9" displayName="LocalPerCapitaComplianceYear9" ref="E74:F79" headerRowCount="0" totalsRowShown="0" headerRowBorderDxfId="408" tableBorderDxfId="407" totalsRowBorderDxfId="406">
  <tableColumns count="2">
    <tableColumn id="1" xr3:uid="{00000000-0010-0000-4101-000001000000}" name="Column1" headerRowDxfId="405" dataDxfId="404"/>
    <tableColumn id="2" xr3:uid="{00000000-0010-0000-4101-000002000000}" name="Column2" headerRowDxfId="403" dataDxfId="402"/>
  </tableColumns>
  <tableStyleInfo name="TableStyleLight18" showFirstColumn="0" showLastColumn="0" showRowStripes="0" showColumnStripes="0"/>
  <extLst>
    <ext xmlns:x14="http://schemas.microsoft.com/office/spreadsheetml/2009/9/main" uri="{504A1905-F514-4f6f-8877-14C23A59335A}">
      <x14:table altText="Year 9 Compliance: Local Funds Per Capita" altTextSummary="This table displays information for Year 9 for the Compliance Standard for the Local Funds Per Capita method. The final row in the table displays the MOE result for Year 9."/>
    </ext>
  </extLst>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42010000}" name="LocalPerCapitaEligibilityYear10" displayName="LocalPerCapitaEligibilityYear10" ref="A82:B87" headerRowCount="0" totalsRowShown="0" headerRowBorderDxfId="401" tableBorderDxfId="400" totalsRowBorderDxfId="399">
  <tableColumns count="2">
    <tableColumn id="1" xr3:uid="{00000000-0010-0000-4201-000001000000}" name="Column1" headerRowDxfId="398" dataDxfId="397"/>
    <tableColumn id="2" xr3:uid="{00000000-0010-0000-4201-000002000000}" name="Column2" headerRowDxfId="396" dataDxfId="395"/>
  </tableColumns>
  <tableStyleInfo name="TableStyleLight18" showFirstColumn="0" showLastColumn="0" showRowStripes="0" showColumnStripes="0"/>
  <extLst>
    <ext xmlns:x14="http://schemas.microsoft.com/office/spreadsheetml/2009/9/main" uri="{504A1905-F514-4f6f-8877-14C23A59335A}">
      <x14:table altText="Year 10 Eligibility: Local Funds Per Capita" altTextSummary="This table displays information for Year 10 for the Eligibility Standard for the Local Funds Per Capita method. The final row in the table displays the MOE result for Year 10."/>
    </ext>
  </extLst>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43010000}" name="LocalPerCapitaComplianceYear10" displayName="LocalPerCapitaComplianceYear10" ref="E82:F87" headerRowCount="0" totalsRowShown="0" headerRowBorderDxfId="394" tableBorderDxfId="393" totalsRowBorderDxfId="392">
  <tableColumns count="2">
    <tableColumn id="1" xr3:uid="{00000000-0010-0000-4301-000001000000}" name="Column1" headerRowDxfId="391" dataDxfId="390"/>
    <tableColumn id="2" xr3:uid="{00000000-0010-0000-4301-000002000000}" name="Column2" headerRowDxfId="389" dataDxfId="388"/>
  </tableColumns>
  <tableStyleInfo name="TableStyleLight18" showFirstColumn="0" showLastColumn="0" showRowStripes="0" showColumnStripes="0"/>
  <extLst>
    <ext xmlns:x14="http://schemas.microsoft.com/office/spreadsheetml/2009/9/main" uri="{504A1905-F514-4f6f-8877-14C23A59335A}">
      <x14:table altText="Year 10 Compliance: Local Funds Per Capita" altTextSummary="This table displays information for Year 10 for the Compliance Standard for the Local Funds Per Capita method. The final row in the table displays the MOE result for Year 10."/>
    </ext>
  </extLst>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44010000}" name="LocalPerCapitaEligibilityYear11" displayName="LocalPerCapitaEligibilityYear11" ref="A90:B95" headerRowCount="0" totalsRowShown="0" headerRowBorderDxfId="387" tableBorderDxfId="386" totalsRowBorderDxfId="385">
  <tableColumns count="2">
    <tableColumn id="1" xr3:uid="{00000000-0010-0000-4401-000001000000}" name="Column1" headerRowDxfId="384" dataDxfId="383"/>
    <tableColumn id="2" xr3:uid="{00000000-0010-0000-4401-000002000000}" name="Column2" headerRowDxfId="382" dataDxfId="381"/>
  </tableColumns>
  <tableStyleInfo name="TableStyleLight18" showFirstColumn="0" showLastColumn="0" showRowStripes="0" showColumnStripes="0"/>
  <extLst>
    <ext xmlns:x14="http://schemas.microsoft.com/office/spreadsheetml/2009/9/main" uri="{504A1905-F514-4f6f-8877-14C23A59335A}">
      <x14:table altText="Year 11 Eligibility: Local Funds Per Capita" altTextSummary="This table displays information for Year 11 for the Eligibility Standard for the Local Funds Per Capita method. The final row in the table displays the MOE result for Year 11."/>
    </ext>
  </extLst>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45010000}" name="StateLocalPerCapitaEligibilityPriorToYear1" displayName="StateLocalPerCapitaEligibilityPriorToYear1" ref="A4:B7" headerRowCount="0" totalsRowShown="0" headerRowDxfId="380" headerRowBorderDxfId="379" tableBorderDxfId="378" totalsRowBorderDxfId="377">
  <tableColumns count="2">
    <tableColumn id="1" xr3:uid="{00000000-0010-0000-4501-000001000000}" name="Column1" headerRowDxfId="376"/>
    <tableColumn id="2" xr3:uid="{00000000-0010-0000-4501-000002000000}" name="Column2" headerRowDxfId="375"/>
  </tableColumns>
  <tableStyleInfo name="TableStyleLight18" showFirstColumn="0" showLastColumn="0" showRowStripes="0" showColumnStripes="0"/>
  <extLst>
    <ext xmlns:x14="http://schemas.microsoft.com/office/spreadsheetml/2009/9/main" uri="{504A1905-F514-4f6f-8877-14C23A59335A}">
      <x14:table altText="Prior to Year 1: State &amp; Local Funds Per Capita" altTextSummary="This table displays information for the period prior to Year 1 for the State &amp; Local Funds Per Capita method."/>
    </ext>
  </extLst>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46010000}" name="StateLocalPerCapitaPriorToYear1" displayName="StateLocalPerCapitaPriorToYear1" ref="E4:F7" headerRowCount="0" totalsRowShown="0" headerRowDxfId="374" headerRowBorderDxfId="373" tableBorderDxfId="372" totalsRowBorderDxfId="371">
  <tableColumns count="2">
    <tableColumn id="1" xr3:uid="{00000000-0010-0000-4601-000001000000}" name="Column1" headerRowDxfId="370"/>
    <tableColumn id="2" xr3:uid="{00000000-0010-0000-4601-000002000000}" name="Column2" headerRowDxfId="369"/>
  </tableColumns>
  <tableStyleInfo name="TableStyleLight18" showFirstColumn="0" showLastColumn="0" showRowStripes="0" showColumnStripes="0"/>
  <extLst>
    <ext xmlns:x14="http://schemas.microsoft.com/office/spreadsheetml/2009/9/main" uri="{504A1905-F514-4f6f-8877-14C23A59335A}">
      <x14:table altText="Prior to Year 1: State &amp; Local Funds Per Capita" altTextSummary="This table displays information for the period prior to Year 1 for the State &amp; Local Funds Per Capita method."/>
    </ext>
  </extLst>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47010000}" name="StateLocalPerCapitaComplianceYear1" displayName="StateLocalPerCapitaComplianceYear1" ref="E10:F15" headerRowCount="0" totalsRowShown="0" headerRowBorderDxfId="368" tableBorderDxfId="367" totalsRowBorderDxfId="366">
  <tableColumns count="2">
    <tableColumn id="1" xr3:uid="{00000000-0010-0000-4701-000001000000}" name="Column1" headerRowDxfId="365" dataDxfId="364"/>
    <tableColumn id="2" xr3:uid="{00000000-0010-0000-4701-000002000000}" name="Column2" headerRowDxfId="363" dataDxfId="362"/>
  </tableColumns>
  <tableStyleInfo name="TableStyleLight18" showFirstColumn="0" showLastColumn="0" showRowStripes="0" showColumnStripes="0"/>
  <extLst>
    <ext xmlns:x14="http://schemas.microsoft.com/office/spreadsheetml/2009/9/main" uri="{504A1905-F514-4f6f-8877-14C23A59335A}">
      <x14:table altText="Year 1 Compliance: State &amp; Local Funds Per Capita" altTextSummary="This table displays information for Year 1 for the Compliance Standard for the State &amp; Local Funds Per Capita method. The final row in the table displays the MOE result for Year 1."/>
    </ext>
  </extLst>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48010000}" name="StateLocalPerCapitaEligibilityYear2" displayName="StateLocalPerCapitaEligibilityYear2" ref="A18:B23" headerRowCount="0" totalsRowShown="0" headerRowBorderDxfId="361" tableBorderDxfId="360" totalsRowBorderDxfId="359">
  <tableColumns count="2">
    <tableColumn id="1" xr3:uid="{00000000-0010-0000-4801-000001000000}" name="Column1" headerRowDxfId="358" dataDxfId="357"/>
    <tableColumn id="2" xr3:uid="{00000000-0010-0000-4801-000002000000}" name="Column2" headerRowDxfId="356" dataDxfId="355"/>
  </tableColumns>
  <tableStyleInfo name="TableStyleLight18" showFirstColumn="0" showLastColumn="0" showRowStripes="0" showColumnStripes="0"/>
  <extLst>
    <ext xmlns:x14="http://schemas.microsoft.com/office/spreadsheetml/2009/9/main" uri="{504A1905-F514-4f6f-8877-14C23A59335A}">
      <x14:table altText="Year 2 Eligibility: State &amp; Local Funds Per Capita" altTextSummary="This table displays information for Year 2 for the Eligibility Standard for the State &amp; Local Funds Per Capita method. The final row in the table displays the MOE result for Year 2."/>
    </ext>
  </extLst>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8000000}" name="ExcADepartingDataYear3Budget" displayName="ExcADepartingDataYear3Budget" ref="A7:F13" totalsRowShown="0" headerRowDxfId="2403" dataDxfId="2401" headerRowBorderDxfId="2402" tableBorderDxfId="2400">
  <tableColumns count="6">
    <tableColumn id="1" xr3:uid="{00000000-0010-0000-3800-000001000000}" name="Position Title" dataDxfId="2399"/>
    <tableColumn id="2" xr3:uid="{00000000-0010-0000-3800-000002000000}" name="Employee Name" dataDxfId="2398"/>
    <tableColumn id="3" xr3:uid="{00000000-0010-0000-3800-000003000000}" name="Reason for Leaving" dataDxfId="2397"/>
    <tableColumn id="4" xr3:uid="{00000000-0010-0000-3800-000004000000}" name="Salary" dataDxfId="2396" dataCellStyle="Currency"/>
    <tableColumn id="5" xr3:uid="{00000000-0010-0000-3800-000005000000}" name="Benefits" dataDxfId="2395" dataCellStyle="Currency"/>
    <tableColumn id="8" xr3:uid="{00000000-0010-0000-3800-000008000000}" name="Total Budget" dataDxfId="2394"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3 Eligiblity Standard" altTextSummary="Users can enter data in this table for any departing personnel projected for Year 3. This table is for the eligiblity standard and is based on budget amounts."/>
    </ext>
  </extLst>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49010000}" name="StateLocalPerCapitaComplianceYear2" displayName="StateLocalPerCapitaComplianceYear2" ref="E18:F23" headerRowCount="0" totalsRowShown="0" headerRowBorderDxfId="354" tableBorderDxfId="353" totalsRowBorderDxfId="352">
  <tableColumns count="2">
    <tableColumn id="1" xr3:uid="{00000000-0010-0000-4901-000001000000}" name="Column1" headerRowDxfId="351" dataDxfId="350"/>
    <tableColumn id="2" xr3:uid="{00000000-0010-0000-4901-000002000000}" name="Column2" headerRowDxfId="349" dataDxfId="348"/>
  </tableColumns>
  <tableStyleInfo name="TableStyleLight18" showFirstColumn="0" showLastColumn="0" showRowStripes="0" showColumnStripes="0"/>
  <extLst>
    <ext xmlns:x14="http://schemas.microsoft.com/office/spreadsheetml/2009/9/main" uri="{504A1905-F514-4f6f-8877-14C23A59335A}">
      <x14:table altText="Year 2 Compliance: State &amp; Local Funds Per Capita" altTextSummary="This table displays information for Year 2 for the Compliance Standard for the State &amp; Local Funds Per Capita method. The final row in the table displays the MOE result for Year 2."/>
    </ext>
  </extLst>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4A010000}" name="StateLocalPerCapitaEligibilityYear3" displayName="StateLocalPerCapitaEligibilityYear3" ref="A26:B31" headerRowCount="0" totalsRowShown="0" headerRowBorderDxfId="347" tableBorderDxfId="346" totalsRowBorderDxfId="345">
  <tableColumns count="2">
    <tableColumn id="1" xr3:uid="{00000000-0010-0000-4A01-000001000000}" name="Column1" headerRowDxfId="344" dataDxfId="343"/>
    <tableColumn id="2" xr3:uid="{00000000-0010-0000-4A01-000002000000}" name="Column2" headerRowDxfId="342" dataDxfId="341"/>
  </tableColumns>
  <tableStyleInfo name="TableStyleLight18" showFirstColumn="0" showLastColumn="0" showRowStripes="0" showColumnStripes="0"/>
  <extLst>
    <ext xmlns:x14="http://schemas.microsoft.com/office/spreadsheetml/2009/9/main" uri="{504A1905-F514-4f6f-8877-14C23A59335A}">
      <x14:table altText="Year 3 Eligibility: State &amp; Local Funds Per Capita" altTextSummary="This table displays information for Year 3 for the Eligibility Standard for the State &amp; Local Funds Per Capita method. The final row in the table displays the MOE result for Year 3."/>
    </ext>
  </extLst>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4B010000}" name="StateLocalPerCapitaComplianceYear3" displayName="StateLocalPerCapitaComplianceYear3" ref="E26:F31" headerRowCount="0" totalsRowShown="0" headerRowBorderDxfId="340" tableBorderDxfId="339" totalsRowBorderDxfId="338">
  <tableColumns count="2">
    <tableColumn id="1" xr3:uid="{00000000-0010-0000-4B01-000001000000}" name="Column1" headerRowDxfId="337" dataDxfId="336"/>
    <tableColumn id="2" xr3:uid="{00000000-0010-0000-4B01-000002000000}" name="Column2" headerRowDxfId="335" dataDxfId="334"/>
  </tableColumns>
  <tableStyleInfo name="TableStyleLight18" showFirstColumn="0" showLastColumn="0" showRowStripes="0" showColumnStripes="0"/>
  <extLst>
    <ext xmlns:x14="http://schemas.microsoft.com/office/spreadsheetml/2009/9/main" uri="{504A1905-F514-4f6f-8877-14C23A59335A}">
      <x14:table altText="Year 3 Compliance: State &amp; Local Funds Per Capita" altTextSummary="This table displays information for Year 3 for the Compliance Standard for the State &amp; Local Funds Per Capita method. The final row in the table displays the MOE result for Year 3."/>
    </ext>
  </extLst>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4C010000}" name="StateLocalPerCapitaEligibilityYear4" displayName="StateLocalPerCapitaEligibilityYear4" ref="A34:B39" headerRowCount="0" totalsRowShown="0" headerRowBorderDxfId="333" tableBorderDxfId="332" totalsRowBorderDxfId="331">
  <tableColumns count="2">
    <tableColumn id="1" xr3:uid="{00000000-0010-0000-4C01-000001000000}" name="Column1" headerRowDxfId="330" dataDxfId="329"/>
    <tableColumn id="2" xr3:uid="{00000000-0010-0000-4C01-000002000000}" name="Column2" headerRowDxfId="328" dataDxfId="327"/>
  </tableColumns>
  <tableStyleInfo name="TableStyleLight18" showFirstColumn="0" showLastColumn="0" showRowStripes="0" showColumnStripes="0"/>
  <extLst>
    <ext xmlns:x14="http://schemas.microsoft.com/office/spreadsheetml/2009/9/main" uri="{504A1905-F514-4f6f-8877-14C23A59335A}">
      <x14:table altText="Year 4 Eligibility: State &amp; Local Funds Per Capita" altTextSummary="This table displays information for Year 4 for the Eligibility Standard for the State &amp; Local Funds Per Capita method. The final row in the table displays the MOE result for Year 4."/>
    </ext>
  </extLst>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4D010000}" name="StateLocalPerCapitaComplianceYear4" displayName="StateLocalPerCapitaComplianceYear4" ref="E34:F39" headerRowCount="0" totalsRowShown="0" headerRowBorderDxfId="326" tableBorderDxfId="325" totalsRowBorderDxfId="324">
  <tableColumns count="2">
    <tableColumn id="1" xr3:uid="{00000000-0010-0000-4D01-000001000000}" name="Column1" headerRowDxfId="323" dataDxfId="322"/>
    <tableColumn id="2" xr3:uid="{00000000-0010-0000-4D01-000002000000}" name="Column2" headerRowDxfId="321" dataDxfId="320"/>
  </tableColumns>
  <tableStyleInfo name="TableStyleLight18" showFirstColumn="0" showLastColumn="0" showRowStripes="0" showColumnStripes="0"/>
  <extLst>
    <ext xmlns:x14="http://schemas.microsoft.com/office/spreadsheetml/2009/9/main" uri="{504A1905-F514-4f6f-8877-14C23A59335A}">
      <x14:table altText="Year 4 Compliance: State &amp; Local Funds Per Capita" altTextSummary="This table displays information for Year 4 for the Compliance Standard for the State &amp; Local Funds Per Capita method. The final row in the table displays the MOE result for Year 4."/>
    </ext>
  </extLst>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4E010000}" name="StateLocalPerCapitaEligibilityYear5" displayName="StateLocalPerCapitaEligibilityYear5" ref="A42:B47" headerRowCount="0" totalsRowShown="0" headerRowBorderDxfId="319" tableBorderDxfId="318" totalsRowBorderDxfId="317">
  <tableColumns count="2">
    <tableColumn id="1" xr3:uid="{00000000-0010-0000-4E01-000001000000}" name="Column1" headerRowDxfId="316" dataDxfId="315"/>
    <tableColumn id="2" xr3:uid="{00000000-0010-0000-4E01-000002000000}" name="Column2" headerRowDxfId="314" dataDxfId="313"/>
  </tableColumns>
  <tableStyleInfo name="TableStyleLight18" showFirstColumn="0" showLastColumn="0" showRowStripes="0" showColumnStripes="0"/>
  <extLst>
    <ext xmlns:x14="http://schemas.microsoft.com/office/spreadsheetml/2009/9/main" uri="{504A1905-F514-4f6f-8877-14C23A59335A}">
      <x14:table altText="Year 5 Eligibility: State &amp; Local Funds Per Capita" altTextSummary="This table displays information for Year 5 for the Eligibility Standard for the State &amp; Local Funds Per Capita method. The final row in the table displays the MOE result for Year 5."/>
    </ext>
  </extLst>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4F010000}" name="StateLocalPerCapitaComplianceYear5" displayName="StateLocalPerCapitaComplianceYear5" ref="E42:F47" headerRowCount="0" totalsRowShown="0" headerRowBorderDxfId="312" tableBorderDxfId="311" totalsRowBorderDxfId="310">
  <tableColumns count="2">
    <tableColumn id="1" xr3:uid="{00000000-0010-0000-4F01-000001000000}" name="Column1" headerRowDxfId="309" dataDxfId="308"/>
    <tableColumn id="2" xr3:uid="{00000000-0010-0000-4F01-000002000000}" name="Column2" headerRowDxfId="307" dataDxfId="306"/>
  </tableColumns>
  <tableStyleInfo name="TableStyleLight18" showFirstColumn="0" showLastColumn="0" showRowStripes="0" showColumnStripes="0"/>
  <extLst>
    <ext xmlns:x14="http://schemas.microsoft.com/office/spreadsheetml/2009/9/main" uri="{504A1905-F514-4f6f-8877-14C23A59335A}">
      <x14:table altText="Year 5 Compliance: State &amp; Local Funds Per Capita" altTextSummary="This table displays information for Year 5 for the Compliance Standard for the State &amp; Local Funds Per Capita method. The final row in the table displays the MOE result for Year 5."/>
    </ext>
  </extLst>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00000000-000C-0000-FFFF-FFFF50010000}" name="StateLocalPerCapitaEligibilityYear6" displayName="StateLocalPerCapitaEligibilityYear6" ref="A50:B55" headerRowCount="0" totalsRowShown="0" headerRowBorderDxfId="305" tableBorderDxfId="304" totalsRowBorderDxfId="303">
  <tableColumns count="2">
    <tableColumn id="1" xr3:uid="{00000000-0010-0000-5001-000001000000}" name="Column1" headerRowDxfId="302" dataDxfId="301"/>
    <tableColumn id="2" xr3:uid="{00000000-0010-0000-5001-000002000000}" name="Column2" headerRowDxfId="300" dataDxfId="299"/>
  </tableColumns>
  <tableStyleInfo name="TableStyleLight18" showFirstColumn="0" showLastColumn="0" showRowStripes="0" showColumnStripes="0"/>
  <extLst>
    <ext xmlns:x14="http://schemas.microsoft.com/office/spreadsheetml/2009/9/main" uri="{504A1905-F514-4f6f-8877-14C23A59335A}">
      <x14:table altText="Year 6 Eligibility: State &amp; Local Funds Per Capita" altTextSummary="This table displays information for Year 6 for the Eligibility Standard for the State &amp; Local Funds Per Capita method. The final row in the table displays the MOE result for Year 6."/>
    </ext>
  </extLst>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00000000-000C-0000-FFFF-FFFF51010000}" name="StateLocalPerCapitaComplianceYear6" displayName="StateLocalPerCapitaComplianceYear6" ref="E50:F55" headerRowCount="0" totalsRowShown="0" headerRowBorderDxfId="298" tableBorderDxfId="297" totalsRowBorderDxfId="296">
  <tableColumns count="2">
    <tableColumn id="1" xr3:uid="{00000000-0010-0000-5101-000001000000}" name="Column1" headerRowDxfId="295" dataDxfId="294"/>
    <tableColumn id="2" xr3:uid="{00000000-0010-0000-5101-000002000000}" name="Column2" headerRowDxfId="293" dataDxfId="292"/>
  </tableColumns>
  <tableStyleInfo name="TableStyleLight18" showFirstColumn="0" showLastColumn="0" showRowStripes="0" showColumnStripes="0"/>
  <extLst>
    <ext xmlns:x14="http://schemas.microsoft.com/office/spreadsheetml/2009/9/main" uri="{504A1905-F514-4f6f-8877-14C23A59335A}">
      <x14:table altText="Year 6 Compliance: State &amp; Local Funds Per Capita" altTextSummary="This table displays information for Year 6 for the Compliance Standard for the State &amp; Local Funds Per Capita method. The final row in the table displays the MOE result for Year 6."/>
    </ext>
  </extLst>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00000000-000C-0000-FFFF-FFFF52010000}" name="StateLocalPerCapitaEligibilityYear7" displayName="StateLocalPerCapitaEligibilityYear7" ref="A58:B63" headerRowCount="0" totalsRowShown="0" headerRowBorderDxfId="291" tableBorderDxfId="290" totalsRowBorderDxfId="289">
  <tableColumns count="2">
    <tableColumn id="1" xr3:uid="{00000000-0010-0000-5201-000001000000}" name="Column1" headerRowDxfId="288" dataDxfId="287"/>
    <tableColumn id="2" xr3:uid="{00000000-0010-0000-5201-000002000000}" name="Column2" headerRowDxfId="286" dataDxfId="285"/>
  </tableColumns>
  <tableStyleInfo name="TableStyleLight18" showFirstColumn="0" showLastColumn="0" showRowStripes="0" showColumnStripes="0"/>
  <extLst>
    <ext xmlns:x14="http://schemas.microsoft.com/office/spreadsheetml/2009/9/main" uri="{504A1905-F514-4f6f-8877-14C23A59335A}">
      <x14:table altText="Year 7 Eligibility: State &amp; Local Funds Per Capita" altTextSummary="This table displays information for Year 7 for the Eligibility Standard for the State &amp; Local Funds Per Capita method. The final row in the table displays the MOE result for Year 7."/>
    </ext>
  </extLst>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9000000}" name="ExcAReplaceDataYear3Budget" displayName="ExcAReplaceDataYear3Budget" ref="A15:F21" totalsRowShown="0" headerRowDxfId="2393" dataDxfId="2391" headerRowBorderDxfId="2392" tableBorderDxfId="2390">
  <tableColumns count="6">
    <tableColumn id="1" xr3:uid="{00000000-0010-0000-3900-000001000000}" name="Position Title" dataDxfId="2389"/>
    <tableColumn id="2" xr3:uid="{00000000-0010-0000-3900-000002000000}" name="Employee Name" dataDxfId="2388"/>
    <tableColumn id="3" xr3:uid="{00000000-0010-0000-3900-000003000000}" name="This column intentionally left blank" dataDxfId="2387"/>
    <tableColumn id="4" xr3:uid="{00000000-0010-0000-3900-000004000000}" name="Salary" dataDxfId="2386" dataCellStyle="Currency"/>
    <tableColumn id="5" xr3:uid="{00000000-0010-0000-3900-000005000000}" name="Benefits" dataDxfId="2385" dataCellStyle="Currency"/>
    <tableColumn id="8" xr3:uid="{00000000-0010-0000-3900-000008000000}" name="Total Budget" dataDxfId="2384"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3 Eligibility Standard" altTextSummary="Users can enter data in this table for any replacement personnel projected for Year 3. This table is for the eligiblity standard and is based on budget amounts."/>
    </ext>
  </extLst>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0000000-000C-0000-FFFF-FFFF53010000}" name="StateLocalPerCapitaComplianceYear7" displayName="StateLocalPerCapitaComplianceYear7" ref="E58:F63" headerRowCount="0" totalsRowShown="0" headerRowBorderDxfId="284" tableBorderDxfId="283" totalsRowBorderDxfId="282">
  <tableColumns count="2">
    <tableColumn id="1" xr3:uid="{00000000-0010-0000-5301-000001000000}" name="Column1" headerRowDxfId="281" dataDxfId="280"/>
    <tableColumn id="2" xr3:uid="{00000000-0010-0000-5301-000002000000}" name="Column2" headerRowDxfId="279" dataDxfId="278"/>
  </tableColumns>
  <tableStyleInfo name="TableStyleLight18" showFirstColumn="0" showLastColumn="0" showRowStripes="0" showColumnStripes="0"/>
  <extLst>
    <ext xmlns:x14="http://schemas.microsoft.com/office/spreadsheetml/2009/9/main" uri="{504A1905-F514-4f6f-8877-14C23A59335A}">
      <x14:table altText="Year 7 Compliance: State &amp; Local Funds Per Capita" altTextSummary="This table displays information for Year 7 for the Compliance Standard for the State &amp; Local Funds Per Capita method. The final row in the table displays the MOE result for Year 7."/>
    </ext>
  </extLst>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00000000-000C-0000-FFFF-FFFF54010000}" name="StateLocalPerCapitaEligibilityYear8" displayName="StateLocalPerCapitaEligibilityYear8" ref="A66:B71" headerRowCount="0" totalsRowShown="0" headerRowBorderDxfId="277" tableBorderDxfId="276" totalsRowBorderDxfId="275">
  <tableColumns count="2">
    <tableColumn id="1" xr3:uid="{00000000-0010-0000-5401-000001000000}" name="Column1" headerRowDxfId="274" dataDxfId="273"/>
    <tableColumn id="2" xr3:uid="{00000000-0010-0000-5401-000002000000}" name="Column2" headerRowDxfId="272" dataDxfId="271"/>
  </tableColumns>
  <tableStyleInfo name="TableStyleLight18" showFirstColumn="0" showLastColumn="0" showRowStripes="0" showColumnStripes="0"/>
  <extLst>
    <ext xmlns:x14="http://schemas.microsoft.com/office/spreadsheetml/2009/9/main" uri="{504A1905-F514-4f6f-8877-14C23A59335A}">
      <x14:table altText="Year 8 Eligibility: State &amp; Local Funds Per Capita" altTextSummary="This table displays information for Year 8 for the Eligibility Standard for the State &amp; Local Funds Per Capita method. The final row in the table displays the MOE result for Year 8."/>
    </ext>
  </extLst>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0000000-000C-0000-FFFF-FFFF55010000}" name="StateLocalPerCapitaComplianceYear8" displayName="StateLocalPerCapitaComplianceYear8" ref="E66:F71" headerRowCount="0" totalsRowShown="0" headerRowBorderDxfId="270" tableBorderDxfId="269" totalsRowBorderDxfId="268">
  <tableColumns count="2">
    <tableColumn id="1" xr3:uid="{00000000-0010-0000-5501-000001000000}" name="Column1" headerRowDxfId="267" dataDxfId="266"/>
    <tableColumn id="2" xr3:uid="{00000000-0010-0000-5501-000002000000}" name="Column2" headerRowDxfId="265" dataDxfId="264"/>
  </tableColumns>
  <tableStyleInfo name="TableStyleLight18" showFirstColumn="0" showLastColumn="0" showRowStripes="0" showColumnStripes="0"/>
  <extLst>
    <ext xmlns:x14="http://schemas.microsoft.com/office/spreadsheetml/2009/9/main" uri="{504A1905-F514-4f6f-8877-14C23A59335A}">
      <x14:table altText="Year 8 Compliance: State &amp; Local Funds Per Capita" altTextSummary="This table displays information for Year 8 for the Compliance Standard for the State &amp; Local Funds Per Capita method. The final row in the table displays the MOE result for Year 8."/>
    </ext>
  </extLst>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00000000-000C-0000-FFFF-FFFF56010000}" name="StateLocalPerCapitaEligibilityYear9" displayName="StateLocalPerCapitaEligibilityYear9" ref="A74:B79" headerRowCount="0" totalsRowShown="0" headerRowBorderDxfId="263" tableBorderDxfId="262" totalsRowBorderDxfId="261">
  <tableColumns count="2">
    <tableColumn id="1" xr3:uid="{00000000-0010-0000-5601-000001000000}" name="Column1" headerRowDxfId="260" dataDxfId="259"/>
    <tableColumn id="2" xr3:uid="{00000000-0010-0000-5601-000002000000}" name="Column2" headerRowDxfId="258" dataDxfId="257"/>
  </tableColumns>
  <tableStyleInfo name="TableStyleLight18" showFirstColumn="0" showLastColumn="0" showRowStripes="0" showColumnStripes="0"/>
  <extLst>
    <ext xmlns:x14="http://schemas.microsoft.com/office/spreadsheetml/2009/9/main" uri="{504A1905-F514-4f6f-8877-14C23A59335A}">
      <x14:table altText="Year 9 Eligibility: State &amp; Local Funds Per Capita" altTextSummary="This table displays information for Year 9 for the Eligibility Standard for the State &amp; Local Funds Per Capita method. The final row in the table displays the MOE result for Year 9."/>
    </ext>
  </extLst>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0000000-000C-0000-FFFF-FFFF57010000}" name="StateLocalPerCapitaComplianceYear9" displayName="StateLocalPerCapitaComplianceYear9" ref="E74:F79" headerRowCount="0" totalsRowShown="0" headerRowBorderDxfId="256" tableBorderDxfId="255" totalsRowBorderDxfId="254">
  <tableColumns count="2">
    <tableColumn id="1" xr3:uid="{00000000-0010-0000-5701-000001000000}" name="Column1" headerRowDxfId="253" dataDxfId="252"/>
    <tableColumn id="2" xr3:uid="{00000000-0010-0000-5701-000002000000}" name="Column2" headerRowDxfId="251" dataDxfId="250"/>
  </tableColumns>
  <tableStyleInfo name="TableStyleLight18" showFirstColumn="0" showLastColumn="0" showRowStripes="0" showColumnStripes="0"/>
  <extLst>
    <ext xmlns:x14="http://schemas.microsoft.com/office/spreadsheetml/2009/9/main" uri="{504A1905-F514-4f6f-8877-14C23A59335A}">
      <x14:table altText="Year 9 Compliance: State &amp; Local Funds Per Capita" altTextSummary="This table displays information for Year 9 for the Compliance Standard for the State &amp; Local Funds Per Capita method. The final row in the table displays the MOE result for Year 9."/>
    </ext>
  </extLst>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00000000-000C-0000-FFFF-FFFF58010000}" name="StateLocalPerCapitaEligibilityYear10" displayName="StateLocalPerCapitaEligibilityYear10" ref="A82:B87" headerRowCount="0" totalsRowShown="0" headerRowBorderDxfId="249" tableBorderDxfId="248" totalsRowBorderDxfId="247">
  <tableColumns count="2">
    <tableColumn id="1" xr3:uid="{00000000-0010-0000-5801-000001000000}" name="Column1" headerRowDxfId="246" dataDxfId="245"/>
    <tableColumn id="2" xr3:uid="{00000000-0010-0000-5801-000002000000}" name="Column2" headerRowDxfId="244" dataDxfId="243"/>
  </tableColumns>
  <tableStyleInfo name="TableStyleLight18" showFirstColumn="0" showLastColumn="0" showRowStripes="0" showColumnStripes="0"/>
  <extLst>
    <ext xmlns:x14="http://schemas.microsoft.com/office/spreadsheetml/2009/9/main" uri="{504A1905-F514-4f6f-8877-14C23A59335A}">
      <x14:table altText="Year 10 Eligibility: State &amp; Local Funds Per Capita" altTextSummary="This table displays information for Year 10 for the Eligibility Standard for the State &amp; Local Funds Per Capita method. The final row in the table displays the MOE result for Year 10."/>
    </ext>
  </extLst>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00000000-000C-0000-FFFF-FFFF59010000}" name="StateLocalPerCapitaComplianceYear10" displayName="StateLocalPerCapitaComplianceYear10" ref="E82:F87" headerRowCount="0" totalsRowShown="0" headerRowBorderDxfId="242" tableBorderDxfId="241" totalsRowBorderDxfId="240">
  <tableColumns count="2">
    <tableColumn id="1" xr3:uid="{00000000-0010-0000-5901-000001000000}" name="Column1" headerRowDxfId="239" dataDxfId="238"/>
    <tableColumn id="2" xr3:uid="{00000000-0010-0000-5901-000002000000}" name="Column2" headerRowDxfId="237" dataDxfId="236"/>
  </tableColumns>
  <tableStyleInfo name="TableStyleLight18" showFirstColumn="0" showLastColumn="0" showRowStripes="0" showColumnStripes="0"/>
  <extLst>
    <ext xmlns:x14="http://schemas.microsoft.com/office/spreadsheetml/2009/9/main" uri="{504A1905-F514-4f6f-8877-14C23A59335A}">
      <x14:table altText="Year 10 Compliance: State &amp; Local Funds Per Capita" altTextSummary="This table displays information for Year 10 for the Compliance Standard for the State &amp; Local Funds Per Capita method. The final row in the table displays the MOE result for Year 10."/>
    </ext>
  </extLst>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00000000-000C-0000-FFFF-FFFF5A010000}" name="StateLocalPerCapitaEligibilityYear11" displayName="StateLocalPerCapitaEligibilityYear11" ref="A90:B95" headerRowCount="0" totalsRowShown="0" headerRowBorderDxfId="235" tableBorderDxfId="234" totalsRowBorderDxfId="233">
  <tableColumns count="2">
    <tableColumn id="1" xr3:uid="{00000000-0010-0000-5A01-000001000000}" name="Column1" headerRowDxfId="232" dataDxfId="231"/>
    <tableColumn id="2" xr3:uid="{00000000-0010-0000-5A01-000002000000}" name="Column2" headerRowDxfId="230" dataDxfId="229"/>
  </tableColumns>
  <tableStyleInfo name="TableStyleLight18" showFirstColumn="0" showLastColumn="0" showRowStripes="0" showColumnStripes="0"/>
  <extLst>
    <ext xmlns:x14="http://schemas.microsoft.com/office/spreadsheetml/2009/9/main" uri="{504A1905-F514-4f6f-8877-14C23A59335A}">
      <x14:table altText="Year 11 Eligibility: State &amp; Local Funds Per Capita" altTextSummary="This table displays information for Year 11 for the Eligibility Standard for the State &amp; Local Funds Per Capita method. The final row in the table displays the MOE result for Year 11."/>
    </ext>
  </extLst>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ExcDDataYear3Budget" displayName="ExcDDataYear3Budget" ref="A47:B53" totalsRowShown="0" headerRowDxfId="2383" dataDxfId="2381" headerRowBorderDxfId="2382" tableBorderDxfId="2380">
  <tableColumns count="2">
    <tableColumn id="1" xr3:uid="{00000000-0010-0000-3A00-000001000000}" name="Description" dataDxfId="2379"/>
    <tableColumn id="2" xr3:uid="{00000000-0010-0000-3A00-000002000000}" name="Budgeted Cost in Final Year" dataDxfId="2378"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3 Eligiblity Standard" altTextSummary="Users can enter data in this table for the projected termination of costly expenditures for long-term purchases for Year 3. This table is for the eligiblity standard and is based on budget amounts."/>
    </ext>
  </extLst>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B000000}" name="AdjDataYear3Budget" displayName="AdjDataYear3Budget" ref="A71:B72" totalsRowShown="0" headerRowDxfId="2377" dataDxfId="2375" headerRowBorderDxfId="2376" tableBorderDxfId="2374" totalsRowBorderDxfId="2373">
  <tableColumns count="2">
    <tableColumn id="1" xr3:uid="{00000000-0010-0000-3B00-000001000000}" name="Column1" dataDxfId="2372"/>
    <tableColumn id="2" xr3:uid="{00000000-0010-0000-3B00-000002000000}" name="Projected Adjustment" dataDxfId="2371"/>
  </tableColumns>
  <tableStyleInfo name="TableStyleMedium9" showFirstColumn="0" showLastColumn="0" showRowStripes="0" showColumnStripes="0"/>
  <extLst>
    <ext xmlns:x14="http://schemas.microsoft.com/office/spreadsheetml/2009/9/main" uri="{504A1905-F514-4f6f-8877-14C23A59335A}">
      <x14:table altText="MOE Adjustment Data Entry for Year 3 Eligiblity Standard" altTextSummary="Users can enter data in this table for the projected Adjustment to MOE for Year 3. This table is for the eligiblity standard and is based on budget amounts. Use IDC's MOE Reduction Decision Tree and Calculator to determine the adjustment amount."/>
    </ext>
  </extLst>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C000000}" name="ExcCDataYear3Budget" displayName="ExcCDataYear3Budget" ref="A37:C43" totalsRowShown="0" headerRowDxfId="2370" dataDxfId="2369" tableBorderDxfId="2368">
  <tableColumns count="3">
    <tableColumn id="1" xr3:uid="{00000000-0010-0000-3C00-000001000000}" name="Student Identifier" dataDxfId="2367"/>
    <tableColumn id="2" xr3:uid="{00000000-0010-0000-3C00-000002000000}" name="Reason" dataDxfId="2366"/>
    <tableColumn id="3" xr3:uid="{00000000-0010-0000-3C00-000003000000}" name="Budgeted Cost" dataDxfId="2365"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3 Eligiblity Standard" altTextSummary="Users can enter data in this table for the projected termination of the obligation to provide special education to a particular student that is an exceptionally costly program projected for Year 3. This table is for the eligiblity standard and is based on budget amounts."/>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D000000}" name="ExcEDataYear3Budget" displayName="ExcEDataYear3Budget" ref="A57:B63" totalsRowShown="0" headerRowDxfId="2364" tableBorderDxfId="2363">
  <tableColumns count="2">
    <tableColumn id="1" xr3:uid="{00000000-0010-0000-3D00-000001000000}" name="Student Identifier" dataDxfId="2362"/>
    <tableColumn id="2" xr3:uid="{00000000-0010-0000-3D00-000002000000}" name="Budgeted Cost Assumed by SEA" dataDxfId="2361"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3 Eligiblity Standard" altTextSummary="Users can enter data for the projected assumption of cost by the high cost fund operated by the SEA for Year 3. This table is for the eligibility standard and uses budget data. The table will not calculate a total if tab 3b indicates that the SEA does not have a high cost fund in Year 3."/>
    </ext>
  </extLst>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E000000}" name="ExcBChildCountDataYear3Budget" displayName="ExcBChildCountDataYear3Budget" ref="A25:B29" totalsRowShown="0" headerRowDxfId="2360" dataDxfId="2359">
  <tableColumns count="2">
    <tableColumn id="1" xr3:uid="{00000000-0010-0000-3E00-000001000000}" name="Column1" dataDxfId="2358"/>
    <tableColumn id="2" xr3:uid="{00000000-0010-0000-3E00-000002000000}" name="Column2" dataDxfId="2357"/>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3 Eligibility Standard" altTextSummary="This table automatically calculates the change in enrollment for Year 3 to determine whether the LEA can apply exception (b). This table is for the eligibility standar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03000000}" name="InterveningYears" displayName="InterveningYears" ref="A3:C23" totalsRowShown="0" tableBorderDxfId="2611">
  <autoFilter ref="A3:C23" xr:uid="{00000000-0009-0000-0100-0000C4000000}">
    <filterColumn colId="0" hiddenButton="1"/>
    <filterColumn colId="1" hiddenButton="1"/>
    <filterColumn colId="2" hiddenButton="1"/>
  </autoFilter>
  <tableColumns count="3">
    <tableColumn id="1" xr3:uid="{00000000-0010-0000-0300-000001000000}" name="Year" dataDxfId="2610"/>
    <tableColumn id="2" xr3:uid="{00000000-0010-0000-0300-000002000000}" name="Total taken Exceptions &amp; Adjustment: Local Funds Only" dataDxfId="2609"/>
    <tableColumn id="3" xr3:uid="{00000000-0010-0000-0300-000003000000}" name="Total taken Exceptions &amp; Adjustment: State and Local Funds" dataDxfId="2608">
      <calculatedColumnFormula array="1">AdjDataYear4Budget[Projected Adjustment]</calculatedColumnFormula>
    </tableColumn>
  </tableColumns>
  <tableStyleInfo name="TableStyleLight18" showFirstColumn="0" showLastColumn="0" showRowStripes="0" showColumnStripes="0"/>
  <extLst>
    <ext xmlns:x14="http://schemas.microsoft.com/office/spreadsheetml/2009/9/main" uri="{504A1905-F514-4f6f-8877-14C23A59335A}">
      <x14:table altText="Intervening Years Exceptions" altTextSummary="Enter data for exceptions for intervening years. Years will populate in the first column based on data entered on the Getting Started tab. For each year, enter total taken Exceptions and Adjustment."/>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F000000}" name="ExcBFundsDataYear3Budget" displayName="ExcBFundsDataYear3Budget" ref="A30:C32" totalsRowShown="0" headerRowDxfId="2356" dataDxfId="2354" headerRowBorderDxfId="2355" tableBorderDxfId="2353" totalsRowBorderDxfId="2352">
  <tableColumns count="3">
    <tableColumn id="1" xr3:uid="{00000000-0010-0000-3F00-000001000000}" name="Column1" dataDxfId="2351"/>
    <tableColumn id="2" xr3:uid="{00000000-0010-0000-3F00-000002000000}" name="Total Local Funds" dataDxfId="2350">
      <calculatedColumnFormula>'2. Getting Started'!C17</calculatedColumnFormula>
    </tableColumn>
    <tableColumn id="3" xr3:uid="{00000000-0010-0000-3F00-000003000000}" name="Total State and Local Funds" dataDxfId="2349">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3 Eligiblity Standard" altTextSummary="This table automatically calculates the projected reduction based on a decrease in enrollment for Year 3. This table is for the eligibility standard and uses budget data. The row for Projected Reduction will be blank if there is no decrease in child count."/>
    </ext>
  </extLst>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0000000}" name="ExcADepartingDataYear3Expenditures" displayName="ExcADepartingDataYear3Expenditures" ref="H7:M13" totalsRowShown="0" headerRowDxfId="2348" dataDxfId="2346" headerRowBorderDxfId="2347" tableBorderDxfId="2345">
  <tableColumns count="6">
    <tableColumn id="1" xr3:uid="{00000000-0010-0000-4000-000001000000}" name="Position Title" dataDxfId="2344"/>
    <tableColumn id="2" xr3:uid="{00000000-0010-0000-4000-000002000000}" name="Employee Name" dataDxfId="2343"/>
    <tableColumn id="3" xr3:uid="{00000000-0010-0000-4000-000003000000}" name="Reason for Leaving" dataDxfId="2342"/>
    <tableColumn id="4" xr3:uid="{00000000-0010-0000-4000-000004000000}" name="Salary" dataDxfId="2341" dataCellStyle="Currency"/>
    <tableColumn id="5" xr3:uid="{00000000-0010-0000-4000-000005000000}" name="Benefits" dataDxfId="2340" dataCellStyle="Currency"/>
    <tableColumn id="8" xr3:uid="{00000000-0010-0000-4000-000008000000}" name="Total Expenditures" dataDxfId="2339"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3 Compliance Standard" altTextSummary="Users can enter data in this table for any departing personnel for Year 3. This table is for the compliance standard and is based on final expenditures."/>
    </ext>
  </extLst>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1000000}" name="ExcAReplaceDataYear3Expenditures" displayName="ExcAReplaceDataYear3Expenditures" ref="H15:M21" totalsRowShown="0" headerRowDxfId="2338" dataDxfId="2336" headerRowBorderDxfId="2337" tableBorderDxfId="2335">
  <tableColumns count="6">
    <tableColumn id="1" xr3:uid="{00000000-0010-0000-4100-000001000000}" name="Position Title" dataDxfId="2334"/>
    <tableColumn id="2" xr3:uid="{00000000-0010-0000-4100-000002000000}" name="Employee Name" dataDxfId="2333"/>
    <tableColumn id="3" xr3:uid="{00000000-0010-0000-4100-000003000000}" name="This column intentionally left blank" dataDxfId="2332"/>
    <tableColumn id="4" xr3:uid="{00000000-0010-0000-4100-000004000000}" name="Salary" dataDxfId="2331" dataCellStyle="Currency"/>
    <tableColumn id="5" xr3:uid="{00000000-0010-0000-4100-000005000000}" name="Benefits" dataDxfId="2330" dataCellStyle="Currency"/>
    <tableColumn id="8" xr3:uid="{00000000-0010-0000-4100-000008000000}" name="Total Expenditures" dataDxfId="2329"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3 Compliance Standard" altTextSummary="Users can enter data in this table for any replacement personnel for Year 3. This table is for the compliance standard and is based on final expenditures."/>
    </ext>
  </extLst>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2000000}" name="ExcDDataYear3Expenditures" displayName="ExcDDataYear3Expenditures" ref="H47:I53" totalsRowShown="0" headerRowDxfId="2328" dataDxfId="2326" headerRowBorderDxfId="2327" tableBorderDxfId="2325">
  <tableColumns count="2">
    <tableColumn id="1" xr3:uid="{00000000-0010-0000-4200-000001000000}" name="Description" dataDxfId="2324"/>
    <tableColumn id="2" xr3:uid="{00000000-0010-0000-4200-000002000000}" name="Cost in Final Year of Expenditure" dataDxfId="2323"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3 Compliance Standard" altTextSummary="Users can enter data in this table for the termination of costly expenditures for long-term purchases for Year 3. This table is for the compliance standard and is based on final expenditures."/>
    </ext>
  </extLst>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3000000}" name="AdjDataYear3Expenditures" displayName="AdjDataYear3Expenditures" ref="H71:I72" totalsRowShown="0" headerRowDxfId="2322" dataDxfId="2320" headerRowBorderDxfId="2321" tableBorderDxfId="2319" totalsRowBorderDxfId="2318">
  <tableColumns count="2">
    <tableColumn id="1" xr3:uid="{00000000-0010-0000-4300-000001000000}" name="Column1" dataDxfId="2317"/>
    <tableColumn id="2" xr3:uid="{00000000-0010-0000-4300-000002000000}" name="Adjustment " dataDxfId="2316"/>
  </tableColumns>
  <tableStyleInfo name="TableStyleMedium9" showFirstColumn="0" showLastColumn="0" showRowStripes="0" showColumnStripes="0"/>
  <extLst>
    <ext xmlns:x14="http://schemas.microsoft.com/office/spreadsheetml/2009/9/main" uri="{504A1905-F514-4f6f-8877-14C23A59335A}">
      <x14:table altText="MOE Adjustment Data Entry for Year 3 Compliance Standard" altTextSummary="Users can enter data in this table for the Adjustment to MOE for Year 3. This table is for the compliance standard and is based on final expenditures. Use IDC's MOE Reduction Decision Tree and Calculator to determine the adjustment amount."/>
    </ext>
  </extLst>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4000000}" name="ExcCDataYear3Expenditures" displayName="ExcCDataYear3Expenditures" ref="H37:J43" totalsRowShown="0" headerRowDxfId="2315" dataDxfId="2314" tableBorderDxfId="2313">
  <tableColumns count="3">
    <tableColumn id="1" xr3:uid="{00000000-0010-0000-4400-000001000000}" name="Student Identifier" dataDxfId="2312"/>
    <tableColumn id="2" xr3:uid="{00000000-0010-0000-4400-000002000000}" name="Reason" dataDxfId="2311"/>
    <tableColumn id="3" xr3:uid="{00000000-0010-0000-4400-000003000000}" name="Expenditures" dataDxfId="2310"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3 Compliance Standard" altTextSummary="Users can enter data in this table for the termination of the obligation to provide special education to a particular student that is an exceptionally costly program projected for Year 3. This table is for the compliance standard and is based on final expenditures."/>
    </ext>
  </extLst>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5000000}" name="ExcEDataYear3Expenditures" displayName="ExcEDataYear3Expenditures" ref="H57:I63" totalsRowShown="0" headerRowDxfId="2309" tableBorderDxfId="2308">
  <tableColumns count="2">
    <tableColumn id="1" xr3:uid="{00000000-0010-0000-4500-000001000000}" name="Student Identifier" dataDxfId="2307"/>
    <tableColumn id="2" xr3:uid="{00000000-0010-0000-4500-000002000000}" name="Cost Assumed by SEA" dataDxfId="2306"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3 Compliance Standard" altTextSummary="Users can enter data for the assumption of cost by the high cost fund operated by the SEA for Year 3. This table is for the compliance standard and uses final expenditures. The table will not calculate a total if tab 3b indicates that the SEA does not have a high cost fund in Year 3."/>
    </ext>
  </extLst>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6000000}" name="ExcBChildCountDataYear3Expenditures" displayName="ExcBChildCountDataYear3Expenditures" ref="H25:I29" totalsRowShown="0" headerRowDxfId="2305" dataDxfId="2304">
  <tableColumns count="2">
    <tableColumn id="1" xr3:uid="{00000000-0010-0000-4600-000001000000}" name="Column1" dataDxfId="2303"/>
    <tableColumn id="2" xr3:uid="{00000000-0010-0000-4600-000002000000}" name="Column2" dataDxfId="2302"/>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3 Compliance Standard" altTextSummary="This table automatically calculates the change in enrollment for Year 3 to determine whether the LEA can apply exception (b). This table is for the compliance standard."/>
    </ext>
  </extLst>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7000000}" name="ExcBFundsDataYear3Expenditures" displayName="ExcBFundsDataYear3Expenditures" ref="H30:J32" totalsRowShown="0" headerRowDxfId="2301" dataDxfId="2299" headerRowBorderDxfId="2300" tableBorderDxfId="2298" totalsRowBorderDxfId="2297">
  <tableColumns count="3">
    <tableColumn id="1" xr3:uid="{00000000-0010-0000-4700-000001000000}" name="Column1" dataDxfId="2296"/>
    <tableColumn id="2" xr3:uid="{00000000-0010-0000-4700-000002000000}" name="Local Total" dataDxfId="2295"/>
    <tableColumn id="3" xr3:uid="{00000000-0010-0000-4700-000003000000}" name="State and Local Total" dataDxfId="2294"/>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3 Compliance Standard" altTextSummary="This table automatically calculates the reduction based on a decrease in enrollment for Year 3. This table is for the compliance standard and uses final expenditures. The row for Allowed Reduction will be blank and blacked out if there is no decrease in child count."/>
    </ext>
  </extLst>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48000000}" name="TotalBudgetedExcYear3" displayName="TotalBudgetedExcYear3" ref="A66:B68" totalsRowShown="0" headerRowDxfId="2293" headerRowBorderDxfId="2292" tableBorderDxfId="2291" totalsRowBorderDxfId="2290">
  <autoFilter ref="A66:B68" xr:uid="{00000000-0009-0000-0100-0000CD000000}">
    <filterColumn colId="0" hiddenButton="1"/>
    <filterColumn colId="1" hiddenButton="1"/>
  </autoFilter>
  <tableColumns count="2">
    <tableColumn id="1" xr3:uid="{00000000-0010-0000-4800-000001000000}" name="Source" dataDxfId="2289" dataCellStyle="Normal 2"/>
    <tableColumn id="2" xr3:uid="{00000000-0010-0000-4800-000002000000}" name="Total" dataDxfId="2288"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3 Eligibility Standard" altTextSummary="This table displays the total projected exceptions entered for the eligibility standard for Year 3."/>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00000000-000C-0000-FFFF-FFFF04000000}" name="HighCostFund" displayName="HighCostFund" ref="A2:B13" totalsRowShown="0" headerRowDxfId="2607" headerRowBorderDxfId="2606" tableBorderDxfId="2605" totalsRowBorderDxfId="2604">
  <autoFilter ref="A2:B13" xr:uid="{00000000-0009-0000-0100-00005C010000}">
    <filterColumn colId="0" hiddenButton="1"/>
    <filterColumn colId="1" hiddenButton="1"/>
  </autoFilter>
  <tableColumns count="2">
    <tableColumn id="1" xr3:uid="{00000000-0010-0000-0400-000001000000}" name="Fiscal Year" dataDxfId="2603"/>
    <tableColumn id="2" xr3:uid="{00000000-0010-0000-0400-000002000000}" name="Does your state have a high cost fund operated by the SEA under §300.704(c)? " dataDxfId="2602"/>
  </tableColumns>
  <tableStyleInfo name="TableStyleLight18" showFirstColumn="0" showLastColumn="0" showRowStripes="0" showColumnStripes="0"/>
  <extLst>
    <ext xmlns:x14="http://schemas.microsoft.com/office/spreadsheetml/2009/9/main" uri="{504A1905-F514-4f6f-8877-14C23A59335A}">
      <x14:table altText="High Cost Fund" altTextSummary="The years in the first column will populate based on Year 1 entered on the Getting Started tab. For each year, indicate whether or not the SEA has a high cost fund. The default for each year is &quot;no.&quot;"/>
    </ext>
  </extLst>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49000000}" name="TotalExpendituresExcYear3" displayName="TotalExpendituresExcYear3" ref="H66:I68" totalsRowShown="0" headerRowDxfId="2287" headerRowBorderDxfId="2286" tableBorderDxfId="2285" totalsRowBorderDxfId="2284">
  <autoFilter ref="H66:I68" xr:uid="{00000000-0009-0000-0100-0000CE000000}">
    <filterColumn colId="0" hiddenButton="1"/>
    <filterColumn colId="1" hiddenButton="1"/>
  </autoFilter>
  <tableColumns count="2">
    <tableColumn id="1" xr3:uid="{00000000-0010-0000-4900-000001000000}" name="Source" dataDxfId="2283" dataCellStyle="Normal 2"/>
    <tableColumn id="2" xr3:uid="{00000000-0010-0000-4900-000002000000}" name="Total" dataDxfId="2282"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3 Compliance Standard" altTextSummary="This table displays the total exceptions entered for the compliance standard for Year 3."/>
    </ext>
  </extLst>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BudgetYear2" displayName="BudgetYear2" ref="A4:F31" totalsRowShown="0" headerRowDxfId="2281" tableBorderDxfId="2280">
  <tableColumns count="6">
    <tableColumn id="1" xr3:uid="{00000000-0010-0000-1E00-000001000000}" name="Object Description" dataDxfId="2279"/>
    <tableColumn id="2" xr3:uid="{00000000-0010-0000-1E00-000002000000}" name="Code 1" dataDxfId="2278"/>
    <tableColumn id="7" xr3:uid="{00000000-0010-0000-1E00-000007000000}" name="Code 2" dataDxfId="2277"/>
    <tableColumn id="3" xr3:uid="{00000000-0010-0000-1E00-000003000000}" name="Local" dataDxfId="2276" dataCellStyle="Currency"/>
    <tableColumn id="4" xr3:uid="{00000000-0010-0000-1E00-000004000000}" name="State" dataDxfId="2275" dataCellStyle="Currency"/>
    <tableColumn id="5" xr3:uid="{00000000-0010-0000-1E00-000005000000}" name="State and Local" dataDxfId="2274"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2" altTextSummary="In this table, users will enter their budget amounts for Year 2. The column headers for the first three columns are unlocked and can be edited. If the LEA cannot separately budget for state and local funds, leave the Local column blank."/>
    </ext>
  </extLst>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F000000}" name="ExpendituresYear2" displayName="ExpendituresYear2" ref="H4:M31" totalsRowShown="0" headerRowDxfId="2273" tableBorderDxfId="2272">
  <tableColumns count="6">
    <tableColumn id="1" xr3:uid="{00000000-0010-0000-1F00-000001000000}" name="Object Description" dataDxfId="2271"/>
    <tableColumn id="2" xr3:uid="{00000000-0010-0000-1F00-000002000000}" name="Code" dataDxfId="2270"/>
    <tableColumn id="6" xr3:uid="{00000000-0010-0000-1F00-000006000000}" name="Code 2" dataDxfId="2269"/>
    <tableColumn id="3" xr3:uid="{00000000-0010-0000-1F00-000003000000}" name="Local" dataDxfId="2268" dataCellStyle="Currency"/>
    <tableColumn id="4" xr3:uid="{00000000-0010-0000-1F00-000004000000}" name="State" dataDxfId="2267" dataCellStyle="Currency">
      <calculatedColumnFormula>IFERROR(VLOOKUP('2. Getting Started'!B3,'42. SEA or LEA Worksheet'!A4:AA318,27,0),0)</calculatedColumnFormula>
    </tableColumn>
    <tableColumn id="5" xr3:uid="{00000000-0010-0000-1F00-000005000000}" name="State and Local" dataDxfId="2266"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2" altTextSummary="In this table, users will enter the LEA's final expenditures for Year 2. The column headers for the first three columns are unlocked and can be edited. If the LEA cannot separately budget for state and local funds, leave the Local column blank."/>
    </ext>
  </extLst>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ExcADepartingDataYear2Budget" displayName="ExcADepartingDataYear2Budget" ref="A7:F13" totalsRowShown="0" headerRowDxfId="2265" dataDxfId="2263" headerRowBorderDxfId="2264" tableBorderDxfId="2262">
  <tableColumns count="6">
    <tableColumn id="1" xr3:uid="{00000000-0010-0000-2000-000001000000}" name="Position Title" dataDxfId="2261"/>
    <tableColumn id="2" xr3:uid="{00000000-0010-0000-2000-000002000000}" name="Employee Name" dataDxfId="2260"/>
    <tableColumn id="3" xr3:uid="{00000000-0010-0000-2000-000003000000}" name="Reason for Leaving" dataDxfId="2259"/>
    <tableColumn id="4" xr3:uid="{00000000-0010-0000-2000-000004000000}" name="Salary" dataDxfId="2258" dataCellStyle="Currency"/>
    <tableColumn id="5" xr3:uid="{00000000-0010-0000-2000-000005000000}" name="Benefits" dataDxfId="2257" dataCellStyle="Currency"/>
    <tableColumn id="8" xr3:uid="{00000000-0010-0000-2000-000008000000}" name="Total Budget" dataDxfId="225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2 Eligiblity Standard" altTextSummary="Users can enter data in this table for any departing personnel projected for Year 2. This table is for the eligiblity standard and is based on budget amounts."/>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1000000}" name="ExcAReplaceDataYear2Budget" displayName="ExcAReplaceDataYear2Budget" ref="A15:F21" totalsRowShown="0" headerRowDxfId="2255" dataDxfId="2253" headerRowBorderDxfId="2254" tableBorderDxfId="2252">
  <tableColumns count="6">
    <tableColumn id="1" xr3:uid="{00000000-0010-0000-2100-000001000000}" name="Position Title" dataDxfId="2251"/>
    <tableColumn id="2" xr3:uid="{00000000-0010-0000-2100-000002000000}" name="Employee Name" dataDxfId="2250"/>
    <tableColumn id="3" xr3:uid="{00000000-0010-0000-2100-000003000000}" name="This column intentionally left blank" dataDxfId="2249"/>
    <tableColumn id="4" xr3:uid="{00000000-0010-0000-2100-000004000000}" name="Salary" dataDxfId="2248" dataCellStyle="Currency"/>
    <tableColumn id="5" xr3:uid="{00000000-0010-0000-2100-000005000000}" name="Benefits" dataDxfId="2247" dataCellStyle="Currency"/>
    <tableColumn id="8" xr3:uid="{00000000-0010-0000-2100-000008000000}" name="Total Budget" dataDxfId="224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2 Eligibility Standard" altTextSummary="Users can enter data in this table for any replacement personnel projected for Year 2. This table is for the eligiblity standard and is based on budget amounts."/>
    </ext>
  </extLst>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2000000}" name="ExcDDataYear2Budget" displayName="ExcDDataYear2Budget" ref="A47:B53" totalsRowShown="0" headerRowDxfId="2245" dataDxfId="2243" headerRowBorderDxfId="2244" tableBorderDxfId="2242">
  <tableColumns count="2">
    <tableColumn id="1" xr3:uid="{00000000-0010-0000-2200-000001000000}" name="Description" dataDxfId="2241"/>
    <tableColumn id="2" xr3:uid="{00000000-0010-0000-2200-000002000000}" name="Budgeted Cost in Final Year" dataDxfId="224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2 Eligiblity Standard" altTextSummary="Users can enter data in this table for the projected termination of costly expenditures for long-term purchases for Year 2. This table is for the eligiblity standard and is based on budget amounts."/>
    </ext>
  </extLst>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3000000}" name="AdjDataYear2Budget" displayName="AdjDataYear2Budget" ref="A71:B72" totalsRowShown="0" headerRowDxfId="2239" dataDxfId="2237" headerRowBorderDxfId="2238" tableBorderDxfId="2236" totalsRowBorderDxfId="2235">
  <tableColumns count="2">
    <tableColumn id="1" xr3:uid="{00000000-0010-0000-2300-000001000000}" name="Column1" dataDxfId="2234"/>
    <tableColumn id="2" xr3:uid="{00000000-0010-0000-2300-000002000000}" name="Projected Adjustment" dataDxfId="2233"/>
  </tableColumns>
  <tableStyleInfo name="TableStyleMedium9" showFirstColumn="0" showLastColumn="0" showRowStripes="0" showColumnStripes="0"/>
  <extLst>
    <ext xmlns:x14="http://schemas.microsoft.com/office/spreadsheetml/2009/9/main" uri="{504A1905-F514-4f6f-8877-14C23A59335A}">
      <x14:table altText="MOE Adjustment Data Entry for Year 2 Eligiblity Standard" altTextSummary="Users can enter data in this table for the projected Adjustment to MOE for Year 2. This table is for the eligiblity standard and is based on budget amounts. Use IDC's MOE Reduction Decision Tree and Calculator to determine the adjustment amount."/>
    </ext>
  </extLst>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4000000}" name="ExcCDataYear2Budget" displayName="ExcCDataYear2Budget" ref="A37:C43" totalsRowShown="0" headerRowDxfId="2232" dataDxfId="2231" tableBorderDxfId="2230">
  <tableColumns count="3">
    <tableColumn id="1" xr3:uid="{00000000-0010-0000-2400-000001000000}" name="Student Identifier" dataDxfId="2229"/>
    <tableColumn id="2" xr3:uid="{00000000-0010-0000-2400-000002000000}" name="Reason" dataDxfId="2228"/>
    <tableColumn id="3" xr3:uid="{00000000-0010-0000-2400-000003000000}" name="Budgeted Cost" dataDxfId="222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2 Eligiblity Standard" altTextSummary="Users can enter data in this table for the projected termination of the obligation to provide special education to a particular student that is an exceptionally costly program projected for Year 2. This table is for the eligiblity standard and is based on budget amounts."/>
    </ext>
  </extLst>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5000000}" name="ExcEDataYear2Budget" displayName="ExcEDataYear2Budget" ref="A57:B63" totalsRowShown="0" headerRowDxfId="2226" tableBorderDxfId="2225">
  <tableColumns count="2">
    <tableColumn id="1" xr3:uid="{00000000-0010-0000-2500-000001000000}" name="Student Identifier" dataDxfId="2224"/>
    <tableColumn id="2" xr3:uid="{00000000-0010-0000-2500-000002000000}" name="Budgeted Cost Assumed by SEA" dataDxfId="222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2 Eligiblity Standard" altTextSummary="Users can enter data for the projected assumption of cost by the high cost fund operated by the SEA for Year 2. This table is for the eligibility standard and uses budget data. The table will not calculate a total if tab 3b indicates that the SEA does not have a high cost fund in Year 2."/>
    </ext>
  </extLst>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6000000}" name="ExcBChildCountDataYear2Budget" displayName="ExcBChildCountDataYear2Budget" ref="A25:B29" totalsRowShown="0" headerRowDxfId="2222" dataDxfId="2221">
  <tableColumns count="2">
    <tableColumn id="1" xr3:uid="{00000000-0010-0000-2600-000001000000}" name="Column1" dataDxfId="2220"/>
    <tableColumn id="2" xr3:uid="{00000000-0010-0000-2600-000002000000}" name="Column2" dataDxfId="221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2 Eligibility Standard" altTextSummary="This table automatically calculates the change in enrollment for Year 2 to determine whether the LEA can apply exception (b). This table is for the eligibility standar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MultiYearSummary" displayName="MultiYearSummary" ref="A2:L13" totalsRowShown="0" headerRowDxfId="2601" dataDxfId="2599" headerRowBorderDxfId="2600" tableBorderDxfId="2598" totalsRowBorderDxfId="2597">
  <tableColumns count="12">
    <tableColumn id="24" xr3:uid="{00000000-0010-0000-0500-000018000000}" name="Year in Calculator" dataDxfId="2596" dataCellStyle="Normal 2"/>
    <tableColumn id="6" xr3:uid="{00000000-0010-0000-0500-000006000000}" name="Fiscal Year" dataDxfId="2595" dataCellStyle="Normal 2"/>
    <tableColumn id="1" xr3:uid="{00000000-0010-0000-0500-000001000000}" name="Standard" dataDxfId="2594"/>
    <tableColumn id="11" xr3:uid="{00000000-0010-0000-0500-00000B000000}" name="Child Count" dataDxfId="2593" dataCellStyle="Normal 2"/>
    <tableColumn id="2" xr3:uid="{00000000-0010-0000-0500-000002000000}" name="Total Local Funds" dataDxfId="2592"/>
    <tableColumn id="7" xr3:uid="{00000000-0010-0000-0500-000007000000}" name="Total Local Funds MOE Result" dataDxfId="2591"/>
    <tableColumn id="3" xr3:uid="{00000000-0010-0000-0500-000003000000}" name="Total State and Local Funds Amount" dataDxfId="2590" dataCellStyle="Currency"/>
    <tableColumn id="8" xr3:uid="{00000000-0010-0000-0500-000008000000}" name="Total State and Local Funds MOE Result" dataDxfId="2589"/>
    <tableColumn id="4" xr3:uid="{00000000-0010-0000-0500-000004000000}" name="Local Funds Per Capita Amount" dataDxfId="2588" dataCellStyle="Currency"/>
    <tableColumn id="9" xr3:uid="{00000000-0010-0000-0500-000009000000}" name="Local Funds Per Capita MOE Result" dataDxfId="2587"/>
    <tableColumn id="5" xr3:uid="{00000000-0010-0000-0500-000005000000}" name="State and Local Funds Per Capita Amount" dataDxfId="2586" dataCellStyle="Currency"/>
    <tableColumn id="10" xr3:uid="{00000000-0010-0000-0500-00000A000000}" name="State and Local Funds Per Capita MOE Result" dataDxfId="2585"/>
  </tableColumns>
  <tableStyleInfo name="TableStyleMedium9" showFirstColumn="0" showLastColumn="0" showRowStripes="0" showColumnStripes="0"/>
  <extLst>
    <ext xmlns:x14="http://schemas.microsoft.com/office/spreadsheetml/2009/9/main" uri="{504A1905-F514-4f6f-8877-14C23A59335A}">
      <x14:table altText="Multi-Year MOE Summary" altTextSummary="This table will display MOE amounts and results for all 10 years in the Calculator. The first row will display information for the last year met prior to Year 1. The second row displays data for Year 1. Users can use the dropdown in the third column to select which standard (eligibility or compliance) to display. The default is compliance."/>
    </ext>
  </extLst>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7000000}" name="ExcBFundsDataYear2Budget" displayName="ExcBFundsDataYear2Budget" ref="A30:C32" totalsRowShown="0" headerRowDxfId="2218" dataDxfId="2216" headerRowBorderDxfId="2217" tableBorderDxfId="2215" totalsRowBorderDxfId="2214">
  <tableColumns count="3">
    <tableColumn id="1" xr3:uid="{00000000-0010-0000-2700-000001000000}" name="Column1" dataDxfId="2213"/>
    <tableColumn id="2" xr3:uid="{00000000-0010-0000-2700-000002000000}" name="Total Local Funds" dataDxfId="2212">
      <calculatedColumnFormula>'2. Getting Started'!C17</calculatedColumnFormula>
    </tableColumn>
    <tableColumn id="3" xr3:uid="{00000000-0010-0000-2700-000003000000}" name="Total State and Local Funds" dataDxfId="2211">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2 Eligiblity Standard" altTextSummary="This table automatically calculates the projected reduction based on a decrease in enrollment for Year 2. This table is for the eligibility standard and uses budget data. The row for Projected Reduction will be blank if there is no decrease in child count."/>
    </ext>
  </extLst>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8000000}" name="ExcADepartingDataYear2Expenditures" displayName="ExcADepartingDataYear2Expenditures" ref="H7:M13" totalsRowShown="0" headerRowDxfId="2210" dataDxfId="2208" headerRowBorderDxfId="2209" tableBorderDxfId="2207">
  <tableColumns count="6">
    <tableColumn id="1" xr3:uid="{00000000-0010-0000-2800-000001000000}" name="Position Title" dataDxfId="2206"/>
    <tableColumn id="2" xr3:uid="{00000000-0010-0000-2800-000002000000}" name="Employee Name" dataDxfId="2205"/>
    <tableColumn id="3" xr3:uid="{00000000-0010-0000-2800-000003000000}" name="Reason for Leaving" dataDxfId="2204"/>
    <tableColumn id="4" xr3:uid="{00000000-0010-0000-2800-000004000000}" name="Salary" dataDxfId="2203" dataCellStyle="Currency"/>
    <tableColumn id="5" xr3:uid="{00000000-0010-0000-2800-000005000000}" name="Benefits" dataDxfId="2202" dataCellStyle="Currency"/>
    <tableColumn id="8" xr3:uid="{00000000-0010-0000-2800-000008000000}" name="Total Expenditures" dataDxfId="220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2 Compliance Standard" altTextSummary="Users can enter data in this table for any departing personnel for Year 2. This table is for the compliance standard and is based on final expenditures."/>
    </ext>
  </extLst>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9000000}" name="ExcAReplaceDataYear2Expenditures" displayName="ExcAReplaceDataYear2Expenditures" ref="H15:M21" totalsRowShown="0" headerRowDxfId="2200" dataDxfId="2198" headerRowBorderDxfId="2199" tableBorderDxfId="2197">
  <tableColumns count="6">
    <tableColumn id="1" xr3:uid="{00000000-0010-0000-2900-000001000000}" name="Position Title" dataDxfId="2196"/>
    <tableColumn id="2" xr3:uid="{00000000-0010-0000-2900-000002000000}" name="Employee Name" dataDxfId="2195"/>
    <tableColumn id="3" xr3:uid="{00000000-0010-0000-2900-000003000000}" name="This column intentionally left blank" dataDxfId="2194"/>
    <tableColumn id="4" xr3:uid="{00000000-0010-0000-2900-000004000000}" name="Salary" dataDxfId="2193" dataCellStyle="Currency"/>
    <tableColumn id="5" xr3:uid="{00000000-0010-0000-2900-000005000000}" name="Benefits" dataDxfId="2192" dataCellStyle="Currency"/>
    <tableColumn id="8" xr3:uid="{00000000-0010-0000-2900-000008000000}" name="Total Expenditures" dataDxfId="219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2 Compliance Standard" altTextSummary="Users can enter data in this table for any replacement personnel for Year 2. This table is for the compliance standard and is based on final expenditures."/>
    </ext>
  </extLst>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A000000}" name="ExcDDataYear2Expenditures" displayName="ExcDDataYear2Expenditures" ref="H47:I53" totalsRowShown="0" headerRowDxfId="2190" dataDxfId="2188" headerRowBorderDxfId="2189" tableBorderDxfId="2187">
  <tableColumns count="2">
    <tableColumn id="1" xr3:uid="{00000000-0010-0000-2A00-000001000000}" name="Description" dataDxfId="2186"/>
    <tableColumn id="2" xr3:uid="{00000000-0010-0000-2A00-000002000000}" name="Cost in Final Year of Expenditure" dataDxfId="218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2 Compliance Standard" altTextSummary="Users can enter data in this table for the termination of costly expenditures for long-term purchases for Year 2. This table is for the compliance standard and is based on final expenditures."/>
    </ext>
  </extLst>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B000000}" name="AdjDataYear2Expenditures" displayName="AdjDataYear2Expenditures" ref="H71:I72" totalsRowShown="0" headerRowDxfId="2184" dataDxfId="2182" headerRowBorderDxfId="2183" tableBorderDxfId="2181" totalsRowBorderDxfId="2180">
  <tableColumns count="2">
    <tableColumn id="1" xr3:uid="{00000000-0010-0000-2B00-000001000000}" name="Column1" dataDxfId="2179"/>
    <tableColumn id="2" xr3:uid="{00000000-0010-0000-2B00-000002000000}" name="Adjustment " dataDxfId="2178"/>
  </tableColumns>
  <tableStyleInfo name="TableStyleMedium9" showFirstColumn="0" showLastColumn="0" showRowStripes="0" showColumnStripes="0"/>
  <extLst>
    <ext xmlns:x14="http://schemas.microsoft.com/office/spreadsheetml/2009/9/main" uri="{504A1905-F514-4f6f-8877-14C23A59335A}">
      <x14:table altText="MOE Adjustment Data Entry for Year 2 Compliance Standard" altTextSummary="Users can enter data in this table for the Adjustment to MOE for Year 2. This table is for the compliance standard and is based on final expenditures. Use IDC's MOE Reduction Decision Tree and Calculator to determine the adjustment amount."/>
    </ext>
  </extLst>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C000000}" name="ExcCDataYear2Expenditures" displayName="ExcCDataYear2Expenditures" ref="H37:J43" totalsRowShown="0" headerRowDxfId="2177" dataDxfId="2176" tableBorderDxfId="2175">
  <tableColumns count="3">
    <tableColumn id="1" xr3:uid="{00000000-0010-0000-2C00-000001000000}" name="Student Identifier" dataDxfId="2174"/>
    <tableColumn id="2" xr3:uid="{00000000-0010-0000-2C00-000002000000}" name="Reason" dataDxfId="2173"/>
    <tableColumn id="3" xr3:uid="{00000000-0010-0000-2C00-000003000000}" name="Expenditures" dataDxfId="217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2 Compliance Standard" altTextSummary="Users can enter data in this table for the termination of the obligation to provide special education to a particular student that is an exceptionally costly program projected for Year 2. This table is for the compliance standard and is based on final expenditures."/>
    </ext>
  </extLst>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D000000}" name="ExcEDataYear2Expenditures" displayName="ExcEDataYear2Expenditures" ref="H57:I63" totalsRowShown="0" headerRowDxfId="2171" tableBorderDxfId="2170">
  <tableColumns count="2">
    <tableColumn id="1" xr3:uid="{00000000-0010-0000-2D00-000001000000}" name="Student Identifier" dataDxfId="2169"/>
    <tableColumn id="2" xr3:uid="{00000000-0010-0000-2D00-000002000000}" name="Cost Assumed by SEA" dataDxfId="216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2 Compliance Standard" altTextSummary="Users can enter data for the assumption of cost by the high cost fund operated by the SEA for Year 2. This table is for the compliance standard and uses final expenditures. The table will not calculate a total if tab 3b indicates that the SEA does not have a high cost fund in Year 2."/>
    </ext>
  </extLst>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E000000}" name="ExcBChildCountDataYear2Expenditures" displayName="ExcBChildCountDataYear2Expenditures" ref="H25:I29" totalsRowShown="0" headerRowDxfId="2167" dataDxfId="2166">
  <tableColumns count="2">
    <tableColumn id="1" xr3:uid="{00000000-0010-0000-2E00-000001000000}" name="Column1" dataDxfId="2165"/>
    <tableColumn id="2" xr3:uid="{00000000-0010-0000-2E00-000002000000}" name="Column2" dataDxfId="216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2 Compliance Standard" altTextSummary="This table automatically calculates the change in enrollment for Year 2 to determine whether the LEA can apply exception (b). This table is for the compliance standard."/>
    </ext>
  </extLst>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F000000}" name="ExcBFundsDataYear2Expenditures" displayName="ExcBFundsDataYear2Expenditures" ref="H30:J32" totalsRowShown="0" headerRowDxfId="2163" dataDxfId="2161" headerRowBorderDxfId="2162" tableBorderDxfId="2160" totalsRowBorderDxfId="2159">
  <tableColumns count="3">
    <tableColumn id="1" xr3:uid="{00000000-0010-0000-2F00-000001000000}" name="Column1" dataDxfId="2158"/>
    <tableColumn id="2" xr3:uid="{00000000-0010-0000-2F00-000002000000}" name="Local Total" dataDxfId="2157"/>
    <tableColumn id="3" xr3:uid="{00000000-0010-0000-2F00-000003000000}" name="State and Local Total" dataDxfId="2156"/>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2 Compliance Standard" altTextSummary="This table automatically calculates the reduction based on a decrease in enrollment for Year 2. This table is for the compliance standard and uses final expenditures. The row for Allowed Reduction will be blank and blacked out if there is no decrease in child count."/>
    </ext>
  </extLst>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30000000}" name="TotalBudgetedExcYear2" displayName="TotalBudgetedExcYear2" ref="A66:B68" totalsRowShown="0" headerRowDxfId="2155" headerRowBorderDxfId="2154" tableBorderDxfId="2153" totalsRowBorderDxfId="2152">
  <autoFilter ref="A66:B68" xr:uid="{00000000-0009-0000-0100-0000B7000000}">
    <filterColumn colId="0" hiddenButton="1"/>
    <filterColumn colId="1" hiddenButton="1"/>
  </autoFilter>
  <tableColumns count="2">
    <tableColumn id="1" xr3:uid="{00000000-0010-0000-3000-000001000000}" name="Source" dataDxfId="2151" dataCellStyle="Normal 2"/>
    <tableColumn id="2" xr3:uid="{00000000-0010-0000-3000-000002000000}" name="Total" dataDxfId="2150" dataCellStyle="Currency 2">
      <calculatedColumnFormula>IF(B$28&gt;=0,(F$22+C$43+B$53+B$63),(F$22+C$43+B$53+B$63+C$32))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Projected Exceptions for Year 2" altTextSummary="This table displays the total projected exceptions entered for the eligibility standard for Year 2."/>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E000000}" name="BudgetYear4" displayName="BudgetYear4" ref="A4:F31" totalsRowShown="0" headerRowDxfId="2584" tableBorderDxfId="2583">
  <tableColumns count="6">
    <tableColumn id="1" xr3:uid="{00000000-0010-0000-4E00-000001000000}" name="Object Description" dataDxfId="2582"/>
    <tableColumn id="2" xr3:uid="{00000000-0010-0000-4E00-000002000000}" name="Code 1" dataDxfId="2581"/>
    <tableColumn id="7" xr3:uid="{00000000-0010-0000-4E00-000007000000}" name="Code 2" dataDxfId="2580"/>
    <tableColumn id="3" xr3:uid="{00000000-0010-0000-4E00-000003000000}" name="Local" dataDxfId="2579" dataCellStyle="Currency"/>
    <tableColumn id="4" xr3:uid="{00000000-0010-0000-4E00-000004000000}" name="State" dataDxfId="2578" dataCellStyle="Currency"/>
    <tableColumn id="5" xr3:uid="{00000000-0010-0000-4E00-000005000000}" name="State and Local" dataDxfId="2577"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4" altTextSummary="In this table, users will enter their budget amounts for Year 4. The column headers for the first three columns are unlocked and can be edited. If the LEA cannot separately budget for state and local funds, leave the Local column blank."/>
    </ext>
  </extLst>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1000000}" name="TotalExpendituresExcYear2" displayName="TotalExpendituresExcYear2" ref="H66:I68" totalsRowShown="0" headerRowDxfId="2149" headerRowBorderDxfId="2148" tableBorderDxfId="2147" totalsRowBorderDxfId="2146">
  <autoFilter ref="H66:I68" xr:uid="{00000000-0009-0000-0100-0000C1000000}">
    <filterColumn colId="0" hiddenButton="1"/>
    <filterColumn colId="1" hiddenButton="1"/>
  </autoFilter>
  <tableColumns count="2">
    <tableColumn id="1" xr3:uid="{00000000-0010-0000-3100-000001000000}" name="Source" dataDxfId="2145" dataCellStyle="Normal 2"/>
    <tableColumn id="2" xr3:uid="{00000000-0010-0000-3100-000002000000}" name="Total" dataDxfId="2144" dataCellStyle="Currency 2">
      <calculatedColumnFormula>IF(I$28&gt;=0,(M$22+J$43+I$53+I$63),(M$22+J$43+I$53+I$63+J$32))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Exceptions for the Year 2 Compliance Standard" altTextSummary="This table displays the total exceptions entered for the compliance standard for Year 2."/>
    </ext>
  </extLst>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BudgetYear1" displayName="BudgetYear1" ref="A4:F31" totalsRowShown="0" headerRowDxfId="2143" tableBorderDxfId="2142">
  <tableColumns count="6">
    <tableColumn id="1" xr3:uid="{00000000-0010-0000-0600-000001000000}" name="Object Description" dataDxfId="2141"/>
    <tableColumn id="2" xr3:uid="{00000000-0010-0000-0600-000002000000}" name="Code 1" dataDxfId="2140"/>
    <tableColumn id="7" xr3:uid="{00000000-0010-0000-0600-000007000000}" name="Code 2" dataDxfId="2139"/>
    <tableColumn id="3" xr3:uid="{00000000-0010-0000-0600-000003000000}" name="Local" dataDxfId="2138" dataCellStyle="Currency"/>
    <tableColumn id="4" xr3:uid="{00000000-0010-0000-0600-000004000000}" name="State" dataDxfId="2137" dataCellStyle="Currency"/>
    <tableColumn id="5" xr3:uid="{00000000-0010-0000-0600-000005000000}" name="State and Local" dataDxfId="2136"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 altTextSummary="In this table, users will enter their budget amounts for Year 1. The column headers for the first three columns are unlocked and can be edited. If the LEA cannot separately budget for state and local funds, leave the Local column blank."/>
    </ext>
  </extLst>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ExpendituresYear1" displayName="ExpendituresYear1" ref="H4:M31" totalsRowShown="0" headerRowDxfId="2135" tableBorderDxfId="2134">
  <tableColumns count="6">
    <tableColumn id="1" xr3:uid="{00000000-0010-0000-0700-000001000000}" name="Object Description" dataDxfId="2133"/>
    <tableColumn id="2" xr3:uid="{00000000-0010-0000-0700-000002000000}" name="Code" dataDxfId="2132"/>
    <tableColumn id="6" xr3:uid="{00000000-0010-0000-0700-000006000000}" name="Code 2" dataDxfId="2131"/>
    <tableColumn id="3" xr3:uid="{00000000-0010-0000-0700-000003000000}" name="Local" dataDxfId="2130" dataCellStyle="Currency"/>
    <tableColumn id="4" xr3:uid="{00000000-0010-0000-0700-000004000000}" name="State" dataDxfId="2129" dataCellStyle="Currency">
      <calculatedColumnFormula>IFERROR(VLOOKUP('2. Getting Started'!B3,'42. SEA or LEA Worksheet'!A4:V318,22,0),0)</calculatedColumnFormula>
    </tableColumn>
    <tableColumn id="5" xr3:uid="{00000000-0010-0000-0700-000005000000}" name="State and Local" dataDxfId="2128"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1" altTextSummary="In this table, users will enter the LEA's final expenditures for Year 1. The column headers for the first three columns are unlocked and can be edited. If the LEA cannot separately budget for state and local funds, leave the Local column blank."/>
    </ext>
  </extLst>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ExcADepartingDataYear1Budget" displayName="ExcADepartingDataYear1Budget" ref="A7:F13" totalsRowShown="0" headerRowDxfId="2127" dataDxfId="2125" headerRowBorderDxfId="2126" tableBorderDxfId="2124">
  <tableColumns count="6">
    <tableColumn id="1" xr3:uid="{00000000-0010-0000-0800-000001000000}" name="Position Title" dataDxfId="2123"/>
    <tableColumn id="2" xr3:uid="{00000000-0010-0000-0800-000002000000}" name="Employee Name" dataDxfId="2122"/>
    <tableColumn id="3" xr3:uid="{00000000-0010-0000-0800-000003000000}" name="Reason for Leaving" dataDxfId="2121"/>
    <tableColumn id="4" xr3:uid="{00000000-0010-0000-0800-000004000000}" name="Salary" dataDxfId="2120" dataCellStyle="Currency"/>
    <tableColumn id="5" xr3:uid="{00000000-0010-0000-0800-000005000000}" name="Benefits" dataDxfId="2119" dataCellStyle="Currency"/>
    <tableColumn id="8" xr3:uid="{00000000-0010-0000-0800-000008000000}" name="Total Budget" dataDxfId="2118"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 Eligiblity Standard" altTextSummary="Users can enter data in this table for any departing personnel projected for Year 1. This table is for the eligiblity standard and is based on budget amounts."/>
    </ext>
  </extLst>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ExcAReplaceDataYear1Budget" displayName="ExcAReplaceDataYear1Budget" ref="A15:F21" totalsRowShown="0" headerRowDxfId="2117" dataDxfId="2115" headerRowBorderDxfId="2116" tableBorderDxfId="2114">
  <tableColumns count="6">
    <tableColumn id="1" xr3:uid="{00000000-0010-0000-0900-000001000000}" name="Position Title" dataDxfId="2113"/>
    <tableColumn id="2" xr3:uid="{00000000-0010-0000-0900-000002000000}" name="Employee Name" dataDxfId="2112"/>
    <tableColumn id="3" xr3:uid="{00000000-0010-0000-0900-000003000000}" name="This column intentionally left blank" dataDxfId="2111"/>
    <tableColumn id="4" xr3:uid="{00000000-0010-0000-0900-000004000000}" name="Salary" dataDxfId="2110" dataCellStyle="Currency"/>
    <tableColumn id="5" xr3:uid="{00000000-0010-0000-0900-000005000000}" name="Benefits" dataDxfId="2109" dataCellStyle="Currency"/>
    <tableColumn id="8" xr3:uid="{00000000-0010-0000-0900-000008000000}" name="Total Budget" dataDxfId="2108"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 Eligibility Standard" altTextSummary="Users can enter data in this table for any replacement personnel projected for Year 1. This table is for the eligiblity standard and is based on budget amounts."/>
    </ext>
  </extLst>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ExcDDataYear1Budget" displayName="ExcDDataYear1Budget" ref="A47:B53" totalsRowShown="0" headerRowDxfId="2107" dataDxfId="2105" headerRowBorderDxfId="2106" tableBorderDxfId="2104">
  <tableColumns count="2">
    <tableColumn id="1" xr3:uid="{00000000-0010-0000-0A00-000001000000}" name="Description" dataDxfId="2103"/>
    <tableColumn id="2" xr3:uid="{00000000-0010-0000-0A00-000002000000}" name="Budgeted Cost in Final Year" dataDxfId="2102"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 Eligiblity Standard" altTextSummary="Users can enter data in this table for the projected termination of costly expenditures for long-term purchases for Year 1. This table is for the eligiblity standard and is based on budget amounts."/>
    </ext>
  </extLst>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AdjDataYear1Budget" displayName="AdjDataYear1Budget" ref="A71:B72" totalsRowShown="0" headerRowDxfId="2101" dataDxfId="2099" headerRowBorderDxfId="2100" tableBorderDxfId="2098" totalsRowBorderDxfId="2097">
  <tableColumns count="2">
    <tableColumn id="1" xr3:uid="{00000000-0010-0000-0B00-000001000000}" name="Column1" dataDxfId="2096"/>
    <tableColumn id="2" xr3:uid="{00000000-0010-0000-0B00-000002000000}" name="Projected Adjustment" dataDxfId="2095"/>
  </tableColumns>
  <tableStyleInfo name="TableStyleMedium9" showFirstColumn="0" showLastColumn="0" showRowStripes="0" showColumnStripes="0"/>
  <extLst>
    <ext xmlns:x14="http://schemas.microsoft.com/office/spreadsheetml/2009/9/main" uri="{504A1905-F514-4f6f-8877-14C23A59335A}">
      <x14:table altText="MOE Adjustment Data Entry for Year 1 Eligiblity Standard" altTextSummary="Users can enter data in this table for the projected Adjustment to MOE for Year 1. This table is for the eligiblity standard and is based on budget amounts. Use IDC's MOE Reduction Decision Tree and Calculator to determine the adjustment amount."/>
    </ext>
  </extLst>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ExcCDataYear1Budget" displayName="ExcCDataYear1Budget" ref="A37:C43" totalsRowShown="0" headerRowDxfId="2094" dataDxfId="2093" tableBorderDxfId="2092">
  <tableColumns count="3">
    <tableColumn id="1" xr3:uid="{00000000-0010-0000-0C00-000001000000}" name="Student Identifier" dataDxfId="2091"/>
    <tableColumn id="2" xr3:uid="{00000000-0010-0000-0C00-000002000000}" name="Reason" dataDxfId="2090"/>
    <tableColumn id="3" xr3:uid="{00000000-0010-0000-0C00-000003000000}" name="Budgeted Cost" dataDxfId="2089"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 Eligiblity Standard" altTextSummary="Users can enter data in this table for the projected termination of the obligation to provide special education to a particular student that is an exceptionally costly program projected for Year 1. This table is for the eligiblity standard and is based on budget amounts."/>
    </ext>
  </extLst>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ExcEDataYear1Budget" displayName="ExcEDataYear1Budget" ref="A57:B63" totalsRowShown="0" headerRowDxfId="2088" tableBorderDxfId="2087">
  <tableColumns count="2">
    <tableColumn id="1" xr3:uid="{00000000-0010-0000-0D00-000001000000}" name="Student Identifier" dataDxfId="2086"/>
    <tableColumn id="2" xr3:uid="{00000000-0010-0000-0D00-000002000000}" name="Budgeted Cost Assumed by SEA" dataDxfId="2085"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 Eligiblity Standard" altTextSummary="Users can enter data for the projected assumption of cost by the high cost fund operated by the SEA for Year 1. This table is for the eligibility standard and uses budget data. The table will not calculate a total if tab 3b indicates that the SEA does not have a high cost fund in Year 1."/>
    </ext>
  </extLst>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ExcBChildCountDataYear1Budget" displayName="ExcBChildCountDataYear1Budget" ref="A25:B29" totalsRowShown="0" headerRowDxfId="2084" dataDxfId="2083">
  <tableColumns count="2">
    <tableColumn id="1" xr3:uid="{00000000-0010-0000-0E00-000001000000}" name="Column1" dataDxfId="2082"/>
    <tableColumn id="2" xr3:uid="{00000000-0010-0000-0E00-000002000000}" name="Column2" dataDxfId="2081"/>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 Eligibility Standard" altTextSummary="This table automatically calculates the change in enrollment for Year 1 to determine whether the LEA can apply exception (b). This table is for the eligibility standar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F000000}" name="ExpendituresYear4" displayName="ExpendituresYear4" ref="H4:M31" totalsRowShown="0" headerRowDxfId="2576" tableBorderDxfId="2575">
  <tableColumns count="6">
    <tableColumn id="1" xr3:uid="{00000000-0010-0000-4F00-000001000000}" name="Object Description" dataDxfId="2574"/>
    <tableColumn id="2" xr3:uid="{00000000-0010-0000-4F00-000002000000}" name="Code" dataDxfId="2573"/>
    <tableColumn id="6" xr3:uid="{00000000-0010-0000-4F00-000006000000}" name="Code 2" dataDxfId="2572"/>
    <tableColumn id="3" xr3:uid="{00000000-0010-0000-4F00-000003000000}" name="Local" dataDxfId="2571" dataCellStyle="Currency"/>
    <tableColumn id="4" xr3:uid="{00000000-0010-0000-4F00-000004000000}" name="State" dataDxfId="2570" dataCellStyle="Currency"/>
    <tableColumn id="5" xr3:uid="{00000000-0010-0000-4F00-000005000000}" name="State and Local" dataDxfId="2569"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4" altTextSummary="In this table, users will enter the LEA's final expenditures for Year 4. The column headers for the first three columns are unlocked and can be edited. If the LEA cannot separately budget for state and local funds, leave the Local column blank."/>
    </ext>
  </extLst>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ExcBFundsDataYear1Budget" displayName="ExcBFundsDataYear1Budget" ref="A30:C32" totalsRowShown="0" headerRowDxfId="2080" dataDxfId="2078" headerRowBorderDxfId="2079" tableBorderDxfId="2077" totalsRowBorderDxfId="2076">
  <tableColumns count="3">
    <tableColumn id="1" xr3:uid="{00000000-0010-0000-0F00-000001000000}" name="Column1" dataDxfId="2075"/>
    <tableColumn id="2" xr3:uid="{00000000-0010-0000-0F00-000002000000}" name="Total Local Funds" dataDxfId="2074">
      <calculatedColumnFormula>'2. Getting Started'!C17</calculatedColumnFormula>
    </tableColumn>
    <tableColumn id="3" xr3:uid="{00000000-0010-0000-0F00-000003000000}" name="Total State and Local Funds" dataDxfId="2073">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 Eligiblity Standard" altTextSummary="This table automatically calculates the projected reduction based on a decrease in enrollment for Year 1. This table is for the eligibility standard and uses budget data. The row for Projected Reduction will be blank if there is no decrease in child count."/>
    </ext>
  </extLst>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ExcADepartingDataYear1Expenditures" displayName="ExcADepartingDataYear1Expenditures" ref="H7:M13" totalsRowShown="0" headerRowDxfId="2072" dataDxfId="2070" headerRowBorderDxfId="2071" tableBorderDxfId="2069">
  <tableColumns count="6">
    <tableColumn id="1" xr3:uid="{00000000-0010-0000-1000-000001000000}" name="Position Title" dataDxfId="2068"/>
    <tableColumn id="2" xr3:uid="{00000000-0010-0000-1000-000002000000}" name="Employee Name" dataDxfId="2067"/>
    <tableColumn id="3" xr3:uid="{00000000-0010-0000-1000-000003000000}" name="Reason for Leaving" dataDxfId="2066"/>
    <tableColumn id="4" xr3:uid="{00000000-0010-0000-1000-000004000000}" name="Salary" dataDxfId="2065" dataCellStyle="Currency"/>
    <tableColumn id="5" xr3:uid="{00000000-0010-0000-1000-000005000000}" name="Benefits" dataDxfId="2064" dataCellStyle="Currency"/>
    <tableColumn id="8" xr3:uid="{00000000-0010-0000-1000-000008000000}" name="Total Expenditures" dataDxfId="2063"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 Compliance Standard" altTextSummary="Users can enter data in this table for any departing personnel for Year 1. This table is for the compliance standard and is based on final expenditures."/>
    </ext>
  </extLst>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1000000}" name="ExcAReplaceDataYear1Expenditures" displayName="ExcAReplaceDataYear1Expenditures" ref="H15:M21" totalsRowShown="0" headerRowDxfId="2062" dataDxfId="2060" headerRowBorderDxfId="2061" tableBorderDxfId="2059">
  <tableColumns count="6">
    <tableColumn id="1" xr3:uid="{00000000-0010-0000-1100-000001000000}" name="Position Title" dataDxfId="2058"/>
    <tableColumn id="2" xr3:uid="{00000000-0010-0000-1100-000002000000}" name="Employee Name" dataDxfId="2057"/>
    <tableColumn id="3" xr3:uid="{00000000-0010-0000-1100-000003000000}" name="This column intentionally left blank" dataDxfId="2056"/>
    <tableColumn id="4" xr3:uid="{00000000-0010-0000-1100-000004000000}" name="Salary" dataDxfId="2055" dataCellStyle="Currency"/>
    <tableColumn id="5" xr3:uid="{00000000-0010-0000-1100-000005000000}" name="Benefits" dataDxfId="2054" dataCellStyle="Currency"/>
    <tableColumn id="8" xr3:uid="{00000000-0010-0000-1100-000008000000}" name="Total Expenditures" dataDxfId="2053"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 Compliance Standard" altTextSummary="Users can enter data in this table for any replacement personnel for Year 1. This table is for the compliance standard and is based on final expenditures."/>
    </ext>
  </extLst>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2000000}" name="ExcDDataYear1Expenditures" displayName="ExcDDataYear1Expenditures" ref="H47:I53" totalsRowShown="0" headerRowDxfId="2052" dataDxfId="2050" headerRowBorderDxfId="2051" tableBorderDxfId="2049">
  <tableColumns count="2">
    <tableColumn id="1" xr3:uid="{00000000-0010-0000-1200-000001000000}" name="Description" dataDxfId="2048"/>
    <tableColumn id="2" xr3:uid="{00000000-0010-0000-1200-000002000000}" name="Cost in Final Year of Expenditure" dataDxfId="2047"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 Compliance Standard" altTextSummary="Users can enter data in this table for the termination of costly expenditures for long-term purchases for Year 1. This table is for the compliance standard and is based on final expenditures."/>
    </ext>
  </extLst>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AdjDataYear1Expenditures" displayName="AdjDataYear1Expenditures" ref="H71:I72" totalsRowShown="0" headerRowDxfId="2046" dataDxfId="2044" headerRowBorderDxfId="2045" tableBorderDxfId="2043" totalsRowBorderDxfId="2042">
  <tableColumns count="2">
    <tableColumn id="1" xr3:uid="{00000000-0010-0000-1300-000001000000}" name="Column1" dataDxfId="2041"/>
    <tableColumn id="2" xr3:uid="{00000000-0010-0000-1300-000002000000}" name="Adjustment " dataDxfId="2040"/>
  </tableColumns>
  <tableStyleInfo name="TableStyleMedium9" showFirstColumn="0" showLastColumn="0" showRowStripes="0" showColumnStripes="0"/>
  <extLst>
    <ext xmlns:x14="http://schemas.microsoft.com/office/spreadsheetml/2009/9/main" uri="{504A1905-F514-4f6f-8877-14C23A59335A}">
      <x14:table altText="MOE Adjustment Data Entry for Year 1 Compliance Standard" altTextSummary="Users can enter data in this table for the Adjustment to MOE for Year 1. This table is for the compliance standard and is based on final expenditures. Use IDC's MOE Reduction Decision Tree and Calculator to determine the adjustment amount."/>
    </ext>
  </extLst>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4000000}" name="ExcCDataYear1Expenditures" displayName="ExcCDataYear1Expenditures" ref="H37:J43" totalsRowShown="0" headerRowDxfId="2039" dataDxfId="2038" tableBorderDxfId="2037">
  <tableColumns count="3">
    <tableColumn id="1" xr3:uid="{00000000-0010-0000-1400-000001000000}" name="Student Identifier" dataDxfId="2036"/>
    <tableColumn id="2" xr3:uid="{00000000-0010-0000-1400-000002000000}" name="Reason" dataDxfId="2035"/>
    <tableColumn id="3" xr3:uid="{00000000-0010-0000-1400-000003000000}" name="Expenditures" dataDxfId="2034"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 Compliance Standard" altTextSummary="Users can enter data in this table for the termination of the obligation to provide special education to a particular student that is an exceptionally costly program projected for Year 1. This table is for the compliance standard and is based on final expenditures."/>
    </ext>
  </extLst>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5000000}" name="ExcEDataYear1Expenditures" displayName="ExcEDataYear1Expenditures" ref="H57:I63" totalsRowShown="0" headerRowDxfId="2033" tableBorderDxfId="2032">
  <tableColumns count="2">
    <tableColumn id="1" xr3:uid="{00000000-0010-0000-1500-000001000000}" name="Student Identifier" dataDxfId="2031"/>
    <tableColumn id="2" xr3:uid="{00000000-0010-0000-1500-000002000000}" name="Cost Assumed by SEA" dataDxfId="2030"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 Compliance Standard" altTextSummary="Users can enter data for the assumption of cost by the high cost fund operated by the SEA for Year 1. This table is for the compliance standard and uses final expenditures. The table will not calculate a total if tab 3b indicates that the SEA does not have a high cost fund in Year 1."/>
    </ext>
  </extLst>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6000000}" name="ExcBChildCountDataYear1Expenditures" displayName="ExcBChildCountDataYear1Expenditures" ref="H25:I29" totalsRowShown="0" headerRowDxfId="2029" dataDxfId="2028">
  <tableColumns count="2">
    <tableColumn id="1" xr3:uid="{00000000-0010-0000-1600-000001000000}" name="Column1" dataDxfId="2027"/>
    <tableColumn id="2" xr3:uid="{00000000-0010-0000-1600-000002000000}" name="Column2" dataDxfId="2026"/>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 Compliance Standard" altTextSummary="This table automatically calculates the change in enrollment for Year 1 to determine whether the LEA can apply exception (b). This table is for the compliance standard."/>
    </ext>
  </extLst>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7000000}" name="ExcBFundsDataYear1Expenditures" displayName="ExcBFundsDataYear1Expenditures" ref="H30:J32" totalsRowShown="0" headerRowDxfId="2025" dataDxfId="2023" headerRowBorderDxfId="2024" tableBorderDxfId="2022" totalsRowBorderDxfId="2021">
  <tableColumns count="3">
    <tableColumn id="1" xr3:uid="{00000000-0010-0000-1700-000001000000}" name="Column1" dataDxfId="2020"/>
    <tableColumn id="2" xr3:uid="{00000000-0010-0000-1700-000002000000}" name="Local Total" dataDxfId="2019"/>
    <tableColumn id="3" xr3:uid="{00000000-0010-0000-1700-000003000000}" name="State and Local Total" dataDxfId="2018"/>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 Compliance Standard" altTextSummary="This table automatically calculates the reduction based on a decrease in enrollment for Year 1. This table is for the compliance standard and uses final expenditures. The row for Allowed Reduction will be blank and blacked out if there is no decrease in child count."/>
    </ext>
  </extLst>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18000000}" name="TotalBudgetedExcYear1" displayName="TotalBudgetedExcYear1" ref="A66:B68" totalsRowShown="0" headerRowDxfId="2017" headerRowBorderDxfId="2016" tableBorderDxfId="2015" totalsRowBorderDxfId="2014">
  <autoFilter ref="A66:B68" xr:uid="{00000000-0009-0000-0100-0000C5000000}">
    <filterColumn colId="0" hiddenButton="1"/>
    <filterColumn colId="1" hiddenButton="1"/>
  </autoFilter>
  <tableColumns count="2">
    <tableColumn id="1" xr3:uid="{00000000-0010-0000-1800-000001000000}" name="Source" dataDxfId="2013" dataCellStyle="Normal 2"/>
    <tableColumn id="2" xr3:uid="{00000000-0010-0000-1800-000002000000}" name="Total" dataDxfId="2012" dataCellStyle="Currency 2">
      <calculatedColumnFormula>IF(B$28&gt;=0,(F$22+C$43+B$53+B$63),(F$22+C$43+B$53+B$63+C$32))</calculatedColumnFormula>
    </tableColumn>
  </tableColumns>
  <tableStyleInfo name="TableStyleMedium2" showFirstColumn="0" showLastColumn="0" showRowStripes="1" showColumnStripes="0"/>
  <extLst>
    <ext xmlns:x14="http://schemas.microsoft.com/office/spreadsheetml/2009/9/main" uri="{504A1905-F514-4f6f-8877-14C23A59335A}">
      <x14:table altText="Total Budgeted Exceptions for Year 1 Eligibility Standard" altTextSummary="This table displays the total projected exceptions entered for the eligibility standard for Year 1."/>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0000000}" name="ExcADepartingDataYear4Budget" displayName="ExcADepartingDataYear4Budget" ref="A7:F13" totalsRowShown="0" headerRowDxfId="2568" dataDxfId="2566" headerRowBorderDxfId="2567" tableBorderDxfId="2565">
  <tableColumns count="6">
    <tableColumn id="1" xr3:uid="{00000000-0010-0000-5000-000001000000}" name="Position Title" dataDxfId="2564"/>
    <tableColumn id="2" xr3:uid="{00000000-0010-0000-5000-000002000000}" name="Employee Name" dataDxfId="2563"/>
    <tableColumn id="3" xr3:uid="{00000000-0010-0000-5000-000003000000}" name="Reason for Leaving" dataDxfId="2562"/>
    <tableColumn id="4" xr3:uid="{00000000-0010-0000-5000-000004000000}" name="Salary" dataDxfId="2561" dataCellStyle="Currency"/>
    <tableColumn id="5" xr3:uid="{00000000-0010-0000-5000-000005000000}" name="Benefits" dataDxfId="2560" dataCellStyle="Currency"/>
    <tableColumn id="8" xr3:uid="{00000000-0010-0000-5000-000008000000}" name="Total Budget" dataDxfId="2559"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4 Eligiblity Standard" altTextSummary="Users can enter data in this table for any departing personnel projected for Year 4. This table is for the eligiblity standard and is based on budget amounts."/>
    </ext>
  </extLst>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19000000}" name="TotalExpendituresExcYear1" displayName="TotalExpendituresExcYear1" ref="H66:I68" totalsRowShown="0" headerRowDxfId="2011" headerRowBorderDxfId="2010" tableBorderDxfId="2009" totalsRowBorderDxfId="2008">
  <autoFilter ref="H66:I68" xr:uid="{00000000-0009-0000-0100-0000C6000000}">
    <filterColumn colId="0" hiddenButton="1"/>
    <filterColumn colId="1" hiddenButton="1"/>
  </autoFilter>
  <tableColumns count="2">
    <tableColumn id="1" xr3:uid="{00000000-0010-0000-1900-000001000000}" name="Source" dataDxfId="2007" dataCellStyle="Normal 2"/>
    <tableColumn id="2" xr3:uid="{00000000-0010-0000-1900-000002000000}" name="Total" dataDxfId="2006" dataCellStyle="Currency 2">
      <calculatedColumnFormula>IF(I$28&gt;=0,(M$22+J$43+I$53+I$63),(M$22+J$43+I$53+I$63+J$32))</calculatedColumnFormula>
    </tableColumn>
  </tableColumns>
  <tableStyleInfo name="TableStyleMedium2" showFirstColumn="0" showLastColumn="0" showRowStripes="1" showColumnStripes="0"/>
  <extLst>
    <ext xmlns:x14="http://schemas.microsoft.com/office/spreadsheetml/2009/9/main" uri="{504A1905-F514-4f6f-8877-14C23A59335A}">
      <x14:table altText="Total Exceptions for Year 1 Compliance Standard" altTextSummary="This table displays the total exceptions entered for the compliance standard for Year 1."/>
    </ext>
  </extLst>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1A000000}" name="EligibilityYear1" displayName="EligibilityYear1" ref="A5:E10" totalsRowShown="0" headerRowDxfId="2005" dataDxfId="2003" headerRowBorderDxfId="2004" tableBorderDxfId="2002" totalsRowBorderDxfId="2001">
  <autoFilter ref="A5:E10" xr:uid="{00000000-0009-0000-0100-0000C7000000}">
    <filterColumn colId="0" hiddenButton="1"/>
    <filterColumn colId="1" hiddenButton="1"/>
    <filterColumn colId="2" hiddenButton="1"/>
    <filterColumn colId="3" hiddenButton="1"/>
    <filterColumn colId="4" hiddenButton="1"/>
  </autoFilter>
  <tableColumns count="5">
    <tableColumn id="1" xr3:uid="{00000000-0010-0000-1A00-000001000000}" name="MOE Information" dataDxfId="2000"/>
    <tableColumn id="2" xr3:uid="{00000000-0010-0000-1A00-000002000000}" name="Total Local Funds" dataDxfId="1999"/>
    <tableColumn id="3" xr3:uid="{00000000-0010-0000-1A00-000003000000}" name="Total State and Local Funds" dataDxfId="1998"/>
    <tableColumn id="4" xr3:uid="{00000000-0010-0000-1A00-000004000000}" name="Local Funds Per Capita" dataDxfId="1997"/>
    <tableColumn id="5" xr3:uid="{00000000-0010-0000-1A00-000005000000}" name="State and Local Funds Per Capita" dataDxfId="1996"/>
  </tableColumns>
  <tableStyleInfo name="TableStyleLight18" showFirstColumn="0" showLastColumn="0" showRowStripes="0" showColumnStripes="0"/>
  <extLst>
    <ext xmlns:x14="http://schemas.microsoft.com/office/spreadsheetml/2009/9/main" uri="{504A1905-F514-4f6f-8877-14C23A59335A}">
      <x14:table altText="Eligibility Standard Year 1" altTextSummary="This table is blank for Year 1 because the LEA MOE Calculator does not calculate the eligibility standard for Year 1."/>
    </ext>
  </extLst>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B000000}" name="ComplianceYear1" displayName="ComplianceYear1" ref="A13:E18" totalsRowShown="0" headerRowDxfId="1995" headerRowBorderDxfId="1994" tableBorderDxfId="1993" totalsRowBorderDxfId="1992">
  <autoFilter ref="A13:E18" xr:uid="{00000000-0009-0000-0100-0000C9000000}">
    <filterColumn colId="0" hiddenButton="1"/>
    <filterColumn colId="1" hiddenButton="1"/>
    <filterColumn colId="2" hiddenButton="1"/>
    <filterColumn colId="3" hiddenButton="1"/>
    <filterColumn colId="4" hiddenButton="1"/>
  </autoFilter>
  <tableColumns count="5">
    <tableColumn id="1" xr3:uid="{00000000-0010-0000-1B00-000001000000}" name="MOE Information" dataDxfId="1991"/>
    <tableColumn id="2" xr3:uid="{00000000-0010-0000-1B00-000002000000}" name="Total Local Funds" dataDxfId="1990"/>
    <tableColumn id="3" xr3:uid="{00000000-0010-0000-1B00-000003000000}" name="Total State and Local Funds" dataDxfId="1989"/>
    <tableColumn id="4" xr3:uid="{00000000-0010-0000-1B00-000004000000}" name="Local Funds Per Capita" dataDxfId="1988"/>
    <tableColumn id="5" xr3:uid="{00000000-0010-0000-1B00-000005000000}" name="State and Local Funds Per Capita" dataDxfId="1987"/>
  </tableColumns>
  <tableStyleInfo name="TableStyleLight18" showFirstColumn="0" showLastColumn="0" showRowStripes="0" showColumnStripes="0"/>
  <extLst>
    <ext xmlns:x14="http://schemas.microsoft.com/office/spreadsheetml/2009/9/main" uri="{504A1905-F514-4f6f-8877-14C23A59335A}">
      <x14:table altText="Compliance Standard Year 1" altTextSummary="This table displays MOE amounts and results for the compliance standard for Year 1."/>
    </ext>
  </extLst>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C000000}" name="RepaymentYear1" displayName="RepaymentYear1" ref="A21:B27" totalsRowShown="0" headerRowDxfId="1986" headerRowBorderDxfId="1985" tableBorderDxfId="1984" totalsRowBorderDxfId="1983">
  <autoFilter ref="A21:B27" xr:uid="{00000000-0009-0000-0100-0000CA000000}">
    <filterColumn colId="0" hiddenButton="1"/>
    <filterColumn colId="1" hiddenButton="1"/>
  </autoFilter>
  <tableColumns count="2">
    <tableColumn id="1" xr3:uid="{00000000-0010-0000-1C00-000001000000}" name="Repayment data" dataDxfId="1982"/>
    <tableColumn id="2" xr3:uid="{00000000-0010-0000-1C00-000002000000}" name="Data for Year 1" dataDxfId="1981"/>
  </tableColumns>
  <tableStyleInfo name="TableStyleLight18" showFirstColumn="0" showLastColumn="0" showRowStripes="0" showColumnStripes="0"/>
  <extLst>
    <ext xmlns:x14="http://schemas.microsoft.com/office/spreadsheetml/2009/9/main" uri="{504A1905-F514-4f6f-8877-14C23A59335A}">
      <x14:table altText="Repayment Year 1" altTextSummary="This table calculates the repayment amount for Year 1 if the LEA fails MOE by all four methods for the compliance standard. Users must enter data for IDEA allocations."/>
    </ext>
  </extLst>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0000000-000C-0000-FFFF-FFFF1D000000}" name="ExcAdjSummaryYear1" displayName="ExcAdjSummaryYear1" ref="A33:E40" totalsRowShown="0" headerRowDxfId="1980" headerRowBorderDxfId="1979" tableBorderDxfId="1978" totalsRowBorderDxfId="1977">
  <autoFilter ref="A33:E40" xr:uid="{00000000-0009-0000-0100-000051010000}">
    <filterColumn colId="0" hiddenButton="1"/>
    <filterColumn colId="1" hiddenButton="1"/>
    <filterColumn colId="2" hiddenButton="1"/>
    <filterColumn colId="3" hiddenButton="1"/>
    <filterColumn colId="4" hiddenButton="1"/>
  </autoFilter>
  <tableColumns count="5">
    <tableColumn id="1" xr3:uid="{00000000-0010-0000-1D00-000001000000}" name="Exception or Adjustment" dataDxfId="1976"/>
    <tableColumn id="2" xr3:uid="{00000000-0010-0000-1D00-000002000000}" name="Projected Local Funds" dataDxfId="1975"/>
    <tableColumn id="3" xr3:uid="{00000000-0010-0000-1D00-000003000000}" name="Projected State and Local Funds" dataDxfId="1974"/>
    <tableColumn id="4" xr3:uid="{00000000-0010-0000-1D00-000004000000}" name="Local Funds" dataDxfId="1973"/>
    <tableColumn id="5" xr3:uid="{00000000-0010-0000-1D00-000005000000}" name="State and Local Funds" dataDxfId="1972"/>
  </tableColumns>
  <tableStyleInfo name="TableStyleLight18" showFirstColumn="0" showLastColumn="0" showRowStripes="0" showColumnStripes="0"/>
  <extLst>
    <ext xmlns:x14="http://schemas.microsoft.com/office/spreadsheetml/2009/9/main" uri="{504A1905-F514-4f6f-8877-14C23A59335A}">
      <x14:table altText="Exceptions and Adjustment summary" altTextSummary="This table presents a summary of all exceptions taken for Year 1. Detailed data on the exceptions are entered on the Exc &amp; Adj tab for Year 1."/>
    </ext>
  </extLst>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2000000}" name="EligibilityYear2" displayName="EligibilityYear2" ref="A5:E10" totalsRowShown="0" headerRowDxfId="1971" headerRowBorderDxfId="1970" tableBorderDxfId="1969" totalsRowBorderDxfId="1968">
  <autoFilter ref="A5:E10" xr:uid="{00000000-0009-0000-0100-0000C8000000}">
    <filterColumn colId="0" hiddenButton="1"/>
    <filterColumn colId="1" hiddenButton="1"/>
    <filterColumn colId="2" hiddenButton="1"/>
    <filterColumn colId="3" hiddenButton="1"/>
    <filterColumn colId="4" hiddenButton="1"/>
  </autoFilter>
  <tableColumns count="5">
    <tableColumn id="1" xr3:uid="{00000000-0010-0000-3200-000001000000}" name="MOE Information" dataDxfId="1967"/>
    <tableColumn id="2" xr3:uid="{00000000-0010-0000-3200-000002000000}" name="Total Local Funds"/>
    <tableColumn id="3" xr3:uid="{00000000-0010-0000-3200-000003000000}" name="Total State and Local Funds"/>
    <tableColumn id="4" xr3:uid="{00000000-0010-0000-3200-000004000000}" name="Local Funds Per Capita"/>
    <tableColumn id="5" xr3:uid="{00000000-0010-0000-3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Eligibility Standard for Year 2" altTextSummary="This table displays MOE amounts and results for the eligibility standard for Year 2."/>
    </ext>
  </extLst>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3000000}" name="ComplianceYear2" displayName="ComplianceYear2" ref="A13:E18" totalsRowShown="0" headerRowDxfId="1966" headerRowBorderDxfId="1965" tableBorderDxfId="1964" totalsRowBorderDxfId="1963">
  <autoFilter ref="A13:E18" xr:uid="{00000000-0009-0000-0100-0000CB000000}">
    <filterColumn colId="0" hiddenButton="1"/>
    <filterColumn colId="1" hiddenButton="1"/>
    <filterColumn colId="2" hiddenButton="1"/>
    <filterColumn colId="3" hiddenButton="1"/>
    <filterColumn colId="4" hiddenButton="1"/>
  </autoFilter>
  <tableColumns count="5">
    <tableColumn id="1" xr3:uid="{00000000-0010-0000-3300-000001000000}" name="MOE Information" dataDxfId="1962"/>
    <tableColumn id="2" xr3:uid="{00000000-0010-0000-3300-000002000000}" name="Total Local Funds" dataDxfId="1961"/>
    <tableColumn id="3" xr3:uid="{00000000-0010-0000-3300-000003000000}" name="Total State and Local Funds" dataDxfId="1960"/>
    <tableColumn id="4" xr3:uid="{00000000-0010-0000-3300-000004000000}" name="Local Funds Per Capita" dataDxfId="1959"/>
    <tableColumn id="5" xr3:uid="{00000000-0010-0000-3300-000005000000}" name="State and Local Funds Per Capita" dataDxfId="1958"/>
  </tableColumns>
  <tableStyleInfo name="TableStyleLight18" showFirstColumn="0" showLastColumn="0" showRowStripes="0" showColumnStripes="0"/>
  <extLst>
    <ext xmlns:x14="http://schemas.microsoft.com/office/spreadsheetml/2009/9/main" uri="{504A1905-F514-4f6f-8877-14C23A59335A}">
      <x14:table altText="Compliance Standard for Year 2" altTextSummary="This table displays MOE amounts and results for the compliance standard for Year 2."/>
    </ext>
  </extLst>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34000000}" name="RepaymentYear2" displayName="RepaymentYear2" ref="A21:B27" totalsRowShown="0" headerRowDxfId="1957" headerRowBorderDxfId="1956" tableBorderDxfId="1955" totalsRowBorderDxfId="1954">
  <autoFilter ref="A21:B27" xr:uid="{00000000-0009-0000-0100-0000CC000000}">
    <filterColumn colId="0" hiddenButton="1"/>
    <filterColumn colId="1" hiddenButton="1"/>
  </autoFilter>
  <tableColumns count="2">
    <tableColumn id="1" xr3:uid="{00000000-0010-0000-3400-000001000000}" name="Repayment data" dataDxfId="1953"/>
    <tableColumn id="2" xr3:uid="{00000000-0010-0000-3400-000002000000}" name="Data for Year 2" dataDxfId="1952"/>
  </tableColumns>
  <tableStyleInfo name="TableStyleLight18" showFirstColumn="0" showLastColumn="0" showRowStripes="0" showColumnStripes="0"/>
  <extLst>
    <ext xmlns:x14="http://schemas.microsoft.com/office/spreadsheetml/2009/9/main" uri="{504A1905-F514-4f6f-8877-14C23A59335A}">
      <x14:table altText="Repayment for Year 2" altTextSummary="This table calculates the repayment amount for Year 2 if the LEA fails MOE by all four methods for the compliance standard. Users must enter data for IDEA allocations."/>
    </ext>
  </extLst>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00000000-000C-0000-FFFF-FFFF35000000}" name="ExcAdjSummaryYear2" displayName="ExcAdjSummaryYear2" ref="A33:E40" totalsRowShown="0" headerRowDxfId="1951" headerRowBorderDxfId="1950" tableBorderDxfId="1949" totalsRowBorderDxfId="1948">
  <autoFilter ref="A33:E40" xr:uid="{00000000-0009-0000-0100-000052010000}">
    <filterColumn colId="0" hiddenButton="1"/>
    <filterColumn colId="1" hiddenButton="1"/>
    <filterColumn colId="2" hiddenButton="1"/>
    <filterColumn colId="3" hiddenButton="1"/>
    <filterColumn colId="4" hiddenButton="1"/>
  </autoFilter>
  <tableColumns count="5">
    <tableColumn id="1" xr3:uid="{00000000-0010-0000-3500-000001000000}" name="Exception or Adjustment" dataDxfId="1947"/>
    <tableColumn id="2" xr3:uid="{00000000-0010-0000-3500-000002000000}" name="Projected Local Funds" dataDxfId="1946"/>
    <tableColumn id="3" xr3:uid="{00000000-0010-0000-3500-000003000000}" name="Projected State and Local Funds" dataDxfId="1945"/>
    <tableColumn id="4" xr3:uid="{00000000-0010-0000-3500-000004000000}" name="Local Funds" dataDxfId="1944"/>
    <tableColumn id="5" xr3:uid="{00000000-0010-0000-3500-000005000000}" name="State and Local Funds" dataDxfId="1943"/>
  </tableColumns>
  <tableStyleInfo name="TableStyleLight18" showFirstColumn="0" showLastColumn="0" showRowStripes="0" showColumnStripes="0"/>
  <extLst>
    <ext xmlns:x14="http://schemas.microsoft.com/office/spreadsheetml/2009/9/main" uri="{504A1905-F514-4f6f-8877-14C23A59335A}">
      <x14:table altText="Exceptions and Adjustments summary for Year 2" altTextSummary="This table presents a summary of all exceptions taken for Year 2. Detailed data on the exceptions are entered on the Exc &amp; Adj tab for Year 2."/>
    </ext>
  </extLst>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A000000}" name="EligibilityYear3" displayName="EligibilityYear3" ref="A5:E10" totalsRowShown="0" headerRowDxfId="1942" headerRowBorderDxfId="1941" tableBorderDxfId="1940" totalsRowBorderDxfId="1939">
  <autoFilter ref="A5:E10" xr:uid="{00000000-0009-0000-0100-0000CF000000}">
    <filterColumn colId="0" hiddenButton="1"/>
    <filterColumn colId="1" hiddenButton="1"/>
    <filterColumn colId="2" hiddenButton="1"/>
    <filterColumn colId="3" hiddenButton="1"/>
    <filterColumn colId="4" hiddenButton="1"/>
  </autoFilter>
  <tableColumns count="5">
    <tableColumn id="1" xr3:uid="{00000000-0010-0000-4A00-000001000000}" name="MOE Information" dataDxfId="1938"/>
    <tableColumn id="2" xr3:uid="{00000000-0010-0000-4A00-000002000000}" name="Total Local Funds"/>
    <tableColumn id="3" xr3:uid="{00000000-0010-0000-4A00-000003000000}" name="Total State and Local Funds"/>
    <tableColumn id="4" xr3:uid="{00000000-0010-0000-4A00-000004000000}" name="Local Funds Per Capita"/>
    <tableColumn id="5" xr3:uid="{00000000-0010-0000-4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3 Eligibility Standard" altTextSummary="This table displays MOE amounts and results for the eligibility standard for Year 3."/>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printerSettings" Target="../printerSettings/printerSettings10.bin"/><Relationship Id="rId1" Type="http://schemas.openxmlformats.org/officeDocument/2006/relationships/hyperlink" Target="https://cifr.wested.org/resource/lea-moe-calculator/" TargetMode="External"/><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11.bin"/><Relationship Id="rId1" Type="http://schemas.openxmlformats.org/officeDocument/2006/relationships/hyperlink" Target="https://cifr.wested.org/resource/lea-moe-calculator/" TargetMode="External"/><Relationship Id="rId4" Type="http://schemas.openxmlformats.org/officeDocument/2006/relationships/table" Target="../tables/table32.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36.xml"/><Relationship Id="rId13" Type="http://schemas.openxmlformats.org/officeDocument/2006/relationships/table" Target="../tables/table41.xml"/><Relationship Id="rId18" Type="http://schemas.openxmlformats.org/officeDocument/2006/relationships/table" Target="../tables/table46.xml"/><Relationship Id="rId3" Type="http://schemas.openxmlformats.org/officeDocument/2006/relationships/hyperlink" Target="https://cifr.wested.org/resource/lea-moe-calculator/" TargetMode="External"/><Relationship Id="rId21" Type="http://schemas.openxmlformats.org/officeDocument/2006/relationships/table" Target="../tables/table49.xml"/><Relationship Id="rId7" Type="http://schemas.openxmlformats.org/officeDocument/2006/relationships/table" Target="../tables/table35.xml"/><Relationship Id="rId12" Type="http://schemas.openxmlformats.org/officeDocument/2006/relationships/table" Target="../tables/table40.xml"/><Relationship Id="rId17" Type="http://schemas.openxmlformats.org/officeDocument/2006/relationships/table" Target="../tables/table4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44.xml"/><Relationship Id="rId20" Type="http://schemas.openxmlformats.org/officeDocument/2006/relationships/table" Target="../tables/table4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34.xml"/><Relationship Id="rId11" Type="http://schemas.openxmlformats.org/officeDocument/2006/relationships/table" Target="../tables/table39.xml"/><Relationship Id="rId5" Type="http://schemas.openxmlformats.org/officeDocument/2006/relationships/table" Target="../tables/table33.xml"/><Relationship Id="rId15" Type="http://schemas.openxmlformats.org/officeDocument/2006/relationships/table" Target="../tables/table43.xml"/><Relationship Id="rId10" Type="http://schemas.openxmlformats.org/officeDocument/2006/relationships/table" Target="../tables/table38.xml"/><Relationship Id="rId19" Type="http://schemas.openxmlformats.org/officeDocument/2006/relationships/table" Target="../tables/table47.xml"/><Relationship Id="rId4" Type="http://schemas.openxmlformats.org/officeDocument/2006/relationships/printerSettings" Target="../printerSettings/printerSettings12.bin"/><Relationship Id="rId9" Type="http://schemas.openxmlformats.org/officeDocument/2006/relationships/table" Target="../tables/table37.xml"/><Relationship Id="rId14" Type="http://schemas.openxmlformats.org/officeDocument/2006/relationships/table" Target="../tables/table42.xml"/><Relationship Id="rId22" Type="http://schemas.openxmlformats.org/officeDocument/2006/relationships/table" Target="../tables/table5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printerSettings" Target="../printerSettings/printerSettings13.bin"/><Relationship Id="rId1" Type="http://schemas.openxmlformats.org/officeDocument/2006/relationships/hyperlink" Target="https://cifr.wested.org/resource/lea-moe-calculator/" TargetMode="External"/><Relationship Id="rId4" Type="http://schemas.openxmlformats.org/officeDocument/2006/relationships/table" Target="../tables/table52.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hyperlink" Target="https://cifr.wested.org/resource/lea-moe-calculator/" TargetMode="External"/><Relationship Id="rId21" Type="http://schemas.openxmlformats.org/officeDocument/2006/relationships/table" Target="../tables/table69.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printerSettings" Target="../printerSettings/printerSettings14.bin"/><Relationship Id="rId9" Type="http://schemas.openxmlformats.org/officeDocument/2006/relationships/table" Target="../tables/table57.xml"/><Relationship Id="rId14" Type="http://schemas.openxmlformats.org/officeDocument/2006/relationships/table" Target="../tables/table62.xml"/><Relationship Id="rId22" Type="http://schemas.openxmlformats.org/officeDocument/2006/relationships/table" Target="../tables/table70.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printerSettings" Target="../printerSettings/printerSettings15.bin"/><Relationship Id="rId1" Type="http://schemas.openxmlformats.org/officeDocument/2006/relationships/hyperlink" Target="https://cifr.wested.org/resource/lea-moe-calculator/" TargetMode="External"/><Relationship Id="rId4" Type="http://schemas.openxmlformats.org/officeDocument/2006/relationships/table" Target="../tables/table72.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76.xml"/><Relationship Id="rId13" Type="http://schemas.openxmlformats.org/officeDocument/2006/relationships/table" Target="../tables/table81.xml"/><Relationship Id="rId18" Type="http://schemas.openxmlformats.org/officeDocument/2006/relationships/table" Target="../tables/table86.xml"/><Relationship Id="rId3" Type="http://schemas.openxmlformats.org/officeDocument/2006/relationships/hyperlink" Target="https://cifr.wested.org/resource/lea-moe-calculator/" TargetMode="External"/><Relationship Id="rId21" Type="http://schemas.openxmlformats.org/officeDocument/2006/relationships/table" Target="../tables/table89.xml"/><Relationship Id="rId7" Type="http://schemas.openxmlformats.org/officeDocument/2006/relationships/table" Target="../tables/table75.xml"/><Relationship Id="rId12" Type="http://schemas.openxmlformats.org/officeDocument/2006/relationships/table" Target="../tables/table80.xml"/><Relationship Id="rId17" Type="http://schemas.openxmlformats.org/officeDocument/2006/relationships/table" Target="../tables/table8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84.xml"/><Relationship Id="rId20" Type="http://schemas.openxmlformats.org/officeDocument/2006/relationships/table" Target="../tables/table8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74.xml"/><Relationship Id="rId11" Type="http://schemas.openxmlformats.org/officeDocument/2006/relationships/table" Target="../tables/table79.xml"/><Relationship Id="rId5" Type="http://schemas.openxmlformats.org/officeDocument/2006/relationships/table" Target="../tables/table73.xml"/><Relationship Id="rId15" Type="http://schemas.openxmlformats.org/officeDocument/2006/relationships/table" Target="../tables/table83.xml"/><Relationship Id="rId10" Type="http://schemas.openxmlformats.org/officeDocument/2006/relationships/table" Target="../tables/table78.xml"/><Relationship Id="rId19" Type="http://schemas.openxmlformats.org/officeDocument/2006/relationships/table" Target="../tables/table87.xml"/><Relationship Id="rId4" Type="http://schemas.openxmlformats.org/officeDocument/2006/relationships/printerSettings" Target="../printerSettings/printerSettings16.bin"/><Relationship Id="rId9" Type="http://schemas.openxmlformats.org/officeDocument/2006/relationships/table" Target="../tables/table77.xml"/><Relationship Id="rId14" Type="http://schemas.openxmlformats.org/officeDocument/2006/relationships/table" Target="../tables/table82.xml"/><Relationship Id="rId22" Type="http://schemas.openxmlformats.org/officeDocument/2006/relationships/table" Target="../tables/table9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printerSettings" Target="../printerSettings/printerSettings17.bin"/><Relationship Id="rId1" Type="http://schemas.openxmlformats.org/officeDocument/2006/relationships/hyperlink" Target="https://cifr.wested.org/resource/lea-moe-calculator/" TargetMode="External"/><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printerSettings" Target="../printerSettings/printerSettings18.bin"/><Relationship Id="rId1" Type="http://schemas.openxmlformats.org/officeDocument/2006/relationships/hyperlink" Target="https://cifr.wested.org/resource/lea-moe-calculator/" TargetMode="External"/><Relationship Id="rId6" Type="http://schemas.openxmlformats.org/officeDocument/2006/relationships/table" Target="../tables/table98.xml"/><Relationship Id="rId5" Type="http://schemas.openxmlformats.org/officeDocument/2006/relationships/table" Target="../tables/table97.xml"/><Relationship Id="rId4" Type="http://schemas.openxmlformats.org/officeDocument/2006/relationships/table" Target="../tables/table9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99.xml"/><Relationship Id="rId2" Type="http://schemas.openxmlformats.org/officeDocument/2006/relationships/printerSettings" Target="../printerSettings/printerSettings19.bin"/><Relationship Id="rId1" Type="http://schemas.openxmlformats.org/officeDocument/2006/relationships/hyperlink" Target="https://cifr.wested.org/resource/lea-moe-calculator/" TargetMode="External"/><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03.xml"/><Relationship Id="rId2" Type="http://schemas.openxmlformats.org/officeDocument/2006/relationships/printerSettings" Target="../printerSettings/printerSettings20.bin"/><Relationship Id="rId1" Type="http://schemas.openxmlformats.org/officeDocument/2006/relationships/hyperlink" Target="https://cifr.wested.org/resource/lea-moe-calculator/" TargetMode="External"/><Relationship Id="rId4" Type="http://schemas.openxmlformats.org/officeDocument/2006/relationships/table" Target="../tables/table104.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108.xml"/><Relationship Id="rId13" Type="http://schemas.openxmlformats.org/officeDocument/2006/relationships/table" Target="../tables/table113.xml"/><Relationship Id="rId18" Type="http://schemas.openxmlformats.org/officeDocument/2006/relationships/table" Target="../tables/table118.xml"/><Relationship Id="rId3" Type="http://schemas.openxmlformats.org/officeDocument/2006/relationships/hyperlink" Target="https://cifr.wested.org/resource/lea-moe-calculator/" TargetMode="External"/><Relationship Id="rId21" Type="http://schemas.openxmlformats.org/officeDocument/2006/relationships/table" Target="../tables/table121.xml"/><Relationship Id="rId7" Type="http://schemas.openxmlformats.org/officeDocument/2006/relationships/table" Target="../tables/table107.xml"/><Relationship Id="rId12" Type="http://schemas.openxmlformats.org/officeDocument/2006/relationships/table" Target="../tables/table112.xml"/><Relationship Id="rId17" Type="http://schemas.openxmlformats.org/officeDocument/2006/relationships/table" Target="../tables/table117.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16.xml"/><Relationship Id="rId20" Type="http://schemas.openxmlformats.org/officeDocument/2006/relationships/table" Target="../tables/table120.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5" Type="http://schemas.openxmlformats.org/officeDocument/2006/relationships/table" Target="../tables/table115.xml"/><Relationship Id="rId10" Type="http://schemas.openxmlformats.org/officeDocument/2006/relationships/table" Target="../tables/table110.xml"/><Relationship Id="rId19" Type="http://schemas.openxmlformats.org/officeDocument/2006/relationships/table" Target="../tables/table119.xml"/><Relationship Id="rId4" Type="http://schemas.openxmlformats.org/officeDocument/2006/relationships/printerSettings" Target="../printerSettings/printerSettings21.bin"/><Relationship Id="rId9" Type="http://schemas.openxmlformats.org/officeDocument/2006/relationships/table" Target="../tables/table109.xml"/><Relationship Id="rId14" Type="http://schemas.openxmlformats.org/officeDocument/2006/relationships/table" Target="../tables/table114.xml"/><Relationship Id="rId22" Type="http://schemas.openxmlformats.org/officeDocument/2006/relationships/table" Target="../tables/table12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23.xml"/><Relationship Id="rId2" Type="http://schemas.openxmlformats.org/officeDocument/2006/relationships/printerSettings" Target="../printerSettings/printerSettings22.bin"/><Relationship Id="rId1" Type="http://schemas.openxmlformats.org/officeDocument/2006/relationships/hyperlink" Target="https://cifr.wested.org/resource/lea-moe-calculator/" TargetMode="External"/><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27.xml"/><Relationship Id="rId2" Type="http://schemas.openxmlformats.org/officeDocument/2006/relationships/printerSettings" Target="../printerSettings/printerSettings23.bin"/><Relationship Id="rId1" Type="http://schemas.openxmlformats.org/officeDocument/2006/relationships/hyperlink" Target="https://cifr.wested.org/resource/lea-moe-calculator/" TargetMode="External"/><Relationship Id="rId4" Type="http://schemas.openxmlformats.org/officeDocument/2006/relationships/table" Target="../tables/table128.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132.xml"/><Relationship Id="rId13" Type="http://schemas.openxmlformats.org/officeDocument/2006/relationships/table" Target="../tables/table137.xml"/><Relationship Id="rId18" Type="http://schemas.openxmlformats.org/officeDocument/2006/relationships/table" Target="../tables/table142.xml"/><Relationship Id="rId3" Type="http://schemas.openxmlformats.org/officeDocument/2006/relationships/hyperlink" Target="https://cifr.wested.org/resource/lea-moe-calculator/" TargetMode="External"/><Relationship Id="rId21" Type="http://schemas.openxmlformats.org/officeDocument/2006/relationships/table" Target="../tables/table145.xml"/><Relationship Id="rId7" Type="http://schemas.openxmlformats.org/officeDocument/2006/relationships/table" Target="../tables/table131.xml"/><Relationship Id="rId12" Type="http://schemas.openxmlformats.org/officeDocument/2006/relationships/table" Target="../tables/table136.xml"/><Relationship Id="rId17" Type="http://schemas.openxmlformats.org/officeDocument/2006/relationships/table" Target="../tables/table14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40.xml"/><Relationship Id="rId20" Type="http://schemas.openxmlformats.org/officeDocument/2006/relationships/table" Target="../tables/table14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30.xml"/><Relationship Id="rId11" Type="http://schemas.openxmlformats.org/officeDocument/2006/relationships/table" Target="../tables/table135.xml"/><Relationship Id="rId5" Type="http://schemas.openxmlformats.org/officeDocument/2006/relationships/table" Target="../tables/table129.xml"/><Relationship Id="rId15" Type="http://schemas.openxmlformats.org/officeDocument/2006/relationships/table" Target="../tables/table139.xml"/><Relationship Id="rId10" Type="http://schemas.openxmlformats.org/officeDocument/2006/relationships/table" Target="../tables/table134.xml"/><Relationship Id="rId19" Type="http://schemas.openxmlformats.org/officeDocument/2006/relationships/table" Target="../tables/table143.xml"/><Relationship Id="rId4" Type="http://schemas.openxmlformats.org/officeDocument/2006/relationships/printerSettings" Target="../printerSettings/printerSettings24.bin"/><Relationship Id="rId9" Type="http://schemas.openxmlformats.org/officeDocument/2006/relationships/table" Target="../tables/table133.xml"/><Relationship Id="rId14" Type="http://schemas.openxmlformats.org/officeDocument/2006/relationships/table" Target="../tables/table138.xml"/><Relationship Id="rId22" Type="http://schemas.openxmlformats.org/officeDocument/2006/relationships/table" Target="../tables/table146.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7.xml"/><Relationship Id="rId2" Type="http://schemas.openxmlformats.org/officeDocument/2006/relationships/printerSettings" Target="../printerSettings/printerSettings25.bin"/><Relationship Id="rId1" Type="http://schemas.openxmlformats.org/officeDocument/2006/relationships/hyperlink" Target="https://cifr.wested.org/resource/lea-moe-calculator/" TargetMode="External"/><Relationship Id="rId6" Type="http://schemas.openxmlformats.org/officeDocument/2006/relationships/table" Target="../tables/table150.xml"/><Relationship Id="rId5" Type="http://schemas.openxmlformats.org/officeDocument/2006/relationships/table" Target="../tables/table149.xml"/><Relationship Id="rId4" Type="http://schemas.openxmlformats.org/officeDocument/2006/relationships/table" Target="../tables/table14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51.xml"/><Relationship Id="rId2" Type="http://schemas.openxmlformats.org/officeDocument/2006/relationships/printerSettings" Target="../printerSettings/printerSettings26.bin"/><Relationship Id="rId1" Type="http://schemas.openxmlformats.org/officeDocument/2006/relationships/hyperlink" Target="https://cifr.wested.org/resource/lea-moe-calculator/" TargetMode="External"/><Relationship Id="rId4" Type="http://schemas.openxmlformats.org/officeDocument/2006/relationships/table" Target="../tables/table152.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156.xml"/><Relationship Id="rId13" Type="http://schemas.openxmlformats.org/officeDocument/2006/relationships/table" Target="../tables/table161.xml"/><Relationship Id="rId18" Type="http://schemas.openxmlformats.org/officeDocument/2006/relationships/table" Target="../tables/table166.xml"/><Relationship Id="rId3" Type="http://schemas.openxmlformats.org/officeDocument/2006/relationships/hyperlink" Target="https://cifr.wested.org/resource/lea-moe-calculator/" TargetMode="External"/><Relationship Id="rId21" Type="http://schemas.openxmlformats.org/officeDocument/2006/relationships/table" Target="../tables/table169.xml"/><Relationship Id="rId7" Type="http://schemas.openxmlformats.org/officeDocument/2006/relationships/table" Target="../tables/table155.xml"/><Relationship Id="rId12" Type="http://schemas.openxmlformats.org/officeDocument/2006/relationships/table" Target="../tables/table160.xml"/><Relationship Id="rId17" Type="http://schemas.openxmlformats.org/officeDocument/2006/relationships/table" Target="../tables/table16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64.xml"/><Relationship Id="rId20" Type="http://schemas.openxmlformats.org/officeDocument/2006/relationships/table" Target="../tables/table16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54.xml"/><Relationship Id="rId11" Type="http://schemas.openxmlformats.org/officeDocument/2006/relationships/table" Target="../tables/table159.xml"/><Relationship Id="rId5" Type="http://schemas.openxmlformats.org/officeDocument/2006/relationships/table" Target="../tables/table153.xml"/><Relationship Id="rId15" Type="http://schemas.openxmlformats.org/officeDocument/2006/relationships/table" Target="../tables/table163.xml"/><Relationship Id="rId10" Type="http://schemas.openxmlformats.org/officeDocument/2006/relationships/table" Target="../tables/table158.xml"/><Relationship Id="rId19" Type="http://schemas.openxmlformats.org/officeDocument/2006/relationships/table" Target="../tables/table167.xml"/><Relationship Id="rId4" Type="http://schemas.openxmlformats.org/officeDocument/2006/relationships/printerSettings" Target="../printerSettings/printerSettings27.bin"/><Relationship Id="rId9" Type="http://schemas.openxmlformats.org/officeDocument/2006/relationships/table" Target="../tables/table157.xml"/><Relationship Id="rId14" Type="http://schemas.openxmlformats.org/officeDocument/2006/relationships/table" Target="../tables/table162.xml"/><Relationship Id="rId22" Type="http://schemas.openxmlformats.org/officeDocument/2006/relationships/table" Target="../tables/table170.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71.xml"/><Relationship Id="rId2" Type="http://schemas.openxmlformats.org/officeDocument/2006/relationships/printerSettings" Target="../printerSettings/printerSettings28.bin"/><Relationship Id="rId1" Type="http://schemas.openxmlformats.org/officeDocument/2006/relationships/hyperlink" Target="https://cifr.wested.org/resource/lea-moe-calculator/" TargetMode="External"/><Relationship Id="rId6" Type="http://schemas.openxmlformats.org/officeDocument/2006/relationships/table" Target="../tables/table174.xml"/><Relationship Id="rId5" Type="http://schemas.openxmlformats.org/officeDocument/2006/relationships/table" Target="../tables/table173.xml"/><Relationship Id="rId4" Type="http://schemas.openxmlformats.org/officeDocument/2006/relationships/table" Target="../tables/table17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75.xml"/><Relationship Id="rId2" Type="http://schemas.openxmlformats.org/officeDocument/2006/relationships/printerSettings" Target="../printerSettings/printerSettings29.bin"/><Relationship Id="rId1" Type="http://schemas.openxmlformats.org/officeDocument/2006/relationships/hyperlink" Target="https://cifr.wested.org/resource/lea-moe-calculator/" TargetMode="External"/><Relationship Id="rId4" Type="http://schemas.openxmlformats.org/officeDocument/2006/relationships/table" Target="../tables/table176.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k12.wa.us/policy-funding/special-education-funding-and-finance/special-education-funding-washington-state"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180.xml"/><Relationship Id="rId13" Type="http://schemas.openxmlformats.org/officeDocument/2006/relationships/table" Target="../tables/table185.xml"/><Relationship Id="rId18" Type="http://schemas.openxmlformats.org/officeDocument/2006/relationships/table" Target="../tables/table190.xml"/><Relationship Id="rId3" Type="http://schemas.openxmlformats.org/officeDocument/2006/relationships/hyperlink" Target="https://cifr.wested.org/resource/lea-moe-calculator/" TargetMode="External"/><Relationship Id="rId21" Type="http://schemas.openxmlformats.org/officeDocument/2006/relationships/table" Target="../tables/table193.xml"/><Relationship Id="rId7" Type="http://schemas.openxmlformats.org/officeDocument/2006/relationships/table" Target="../tables/table179.xml"/><Relationship Id="rId12" Type="http://schemas.openxmlformats.org/officeDocument/2006/relationships/table" Target="../tables/table184.xml"/><Relationship Id="rId17" Type="http://schemas.openxmlformats.org/officeDocument/2006/relationships/table" Target="../tables/table189.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88.xml"/><Relationship Id="rId20" Type="http://schemas.openxmlformats.org/officeDocument/2006/relationships/table" Target="../tables/table192.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78.xml"/><Relationship Id="rId11" Type="http://schemas.openxmlformats.org/officeDocument/2006/relationships/table" Target="../tables/table183.xml"/><Relationship Id="rId5" Type="http://schemas.openxmlformats.org/officeDocument/2006/relationships/table" Target="../tables/table177.xml"/><Relationship Id="rId15" Type="http://schemas.openxmlformats.org/officeDocument/2006/relationships/table" Target="../tables/table187.xml"/><Relationship Id="rId10" Type="http://schemas.openxmlformats.org/officeDocument/2006/relationships/table" Target="../tables/table182.xml"/><Relationship Id="rId19" Type="http://schemas.openxmlformats.org/officeDocument/2006/relationships/table" Target="../tables/table191.xml"/><Relationship Id="rId4" Type="http://schemas.openxmlformats.org/officeDocument/2006/relationships/printerSettings" Target="../printerSettings/printerSettings30.bin"/><Relationship Id="rId9" Type="http://schemas.openxmlformats.org/officeDocument/2006/relationships/table" Target="../tables/table181.xml"/><Relationship Id="rId14" Type="http://schemas.openxmlformats.org/officeDocument/2006/relationships/table" Target="../tables/table186.xml"/><Relationship Id="rId22" Type="http://schemas.openxmlformats.org/officeDocument/2006/relationships/table" Target="../tables/table19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95.xml"/><Relationship Id="rId2" Type="http://schemas.openxmlformats.org/officeDocument/2006/relationships/printerSettings" Target="../printerSettings/printerSettings31.bin"/><Relationship Id="rId1" Type="http://schemas.openxmlformats.org/officeDocument/2006/relationships/hyperlink" Target="https://cifr.wested.org/resource/lea-moe-calculator/" TargetMode="External"/><Relationship Id="rId6" Type="http://schemas.openxmlformats.org/officeDocument/2006/relationships/table" Target="../tables/table198.xml"/><Relationship Id="rId5" Type="http://schemas.openxmlformats.org/officeDocument/2006/relationships/table" Target="../tables/table197.xml"/><Relationship Id="rId4" Type="http://schemas.openxmlformats.org/officeDocument/2006/relationships/table" Target="../tables/table196.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99.xml"/><Relationship Id="rId2" Type="http://schemas.openxmlformats.org/officeDocument/2006/relationships/printerSettings" Target="../printerSettings/printerSettings32.bin"/><Relationship Id="rId1" Type="http://schemas.openxmlformats.org/officeDocument/2006/relationships/hyperlink" Target="https://cifr.wested.org/resource/lea-moe-calculator/" TargetMode="External"/><Relationship Id="rId4" Type="http://schemas.openxmlformats.org/officeDocument/2006/relationships/table" Target="../tables/table200.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204.xml"/><Relationship Id="rId13" Type="http://schemas.openxmlformats.org/officeDocument/2006/relationships/table" Target="../tables/table209.xml"/><Relationship Id="rId18" Type="http://schemas.openxmlformats.org/officeDocument/2006/relationships/table" Target="../tables/table214.xml"/><Relationship Id="rId3" Type="http://schemas.openxmlformats.org/officeDocument/2006/relationships/hyperlink" Target="https://cifr.wested.org/resource/lea-moe-calculator/" TargetMode="External"/><Relationship Id="rId21" Type="http://schemas.openxmlformats.org/officeDocument/2006/relationships/table" Target="../tables/table217.xml"/><Relationship Id="rId7" Type="http://schemas.openxmlformats.org/officeDocument/2006/relationships/table" Target="../tables/table203.xml"/><Relationship Id="rId12" Type="http://schemas.openxmlformats.org/officeDocument/2006/relationships/table" Target="../tables/table208.xml"/><Relationship Id="rId17" Type="http://schemas.openxmlformats.org/officeDocument/2006/relationships/table" Target="../tables/table213.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12.xml"/><Relationship Id="rId20" Type="http://schemas.openxmlformats.org/officeDocument/2006/relationships/table" Target="../tables/table216.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02.xml"/><Relationship Id="rId11" Type="http://schemas.openxmlformats.org/officeDocument/2006/relationships/table" Target="../tables/table207.xml"/><Relationship Id="rId5" Type="http://schemas.openxmlformats.org/officeDocument/2006/relationships/table" Target="../tables/table201.xml"/><Relationship Id="rId15" Type="http://schemas.openxmlformats.org/officeDocument/2006/relationships/table" Target="../tables/table211.xml"/><Relationship Id="rId10" Type="http://schemas.openxmlformats.org/officeDocument/2006/relationships/table" Target="../tables/table206.xml"/><Relationship Id="rId19" Type="http://schemas.openxmlformats.org/officeDocument/2006/relationships/table" Target="../tables/table215.xml"/><Relationship Id="rId4" Type="http://schemas.openxmlformats.org/officeDocument/2006/relationships/printerSettings" Target="../printerSettings/printerSettings33.bin"/><Relationship Id="rId9" Type="http://schemas.openxmlformats.org/officeDocument/2006/relationships/table" Target="../tables/table205.xml"/><Relationship Id="rId14" Type="http://schemas.openxmlformats.org/officeDocument/2006/relationships/table" Target="../tables/table210.xml"/><Relationship Id="rId22" Type="http://schemas.openxmlformats.org/officeDocument/2006/relationships/table" Target="../tables/table218.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219.xml"/><Relationship Id="rId2" Type="http://schemas.openxmlformats.org/officeDocument/2006/relationships/printerSettings" Target="../printerSettings/printerSettings34.bin"/><Relationship Id="rId1" Type="http://schemas.openxmlformats.org/officeDocument/2006/relationships/hyperlink" Target="https://cifr.wested.org/resource/lea-moe-calculator/" TargetMode="External"/><Relationship Id="rId6" Type="http://schemas.openxmlformats.org/officeDocument/2006/relationships/table" Target="../tables/table222.xml"/><Relationship Id="rId5" Type="http://schemas.openxmlformats.org/officeDocument/2006/relationships/table" Target="../tables/table221.xml"/><Relationship Id="rId4" Type="http://schemas.openxmlformats.org/officeDocument/2006/relationships/table" Target="../tables/table220.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223.xml"/><Relationship Id="rId2" Type="http://schemas.openxmlformats.org/officeDocument/2006/relationships/printerSettings" Target="../printerSettings/printerSettings35.bin"/><Relationship Id="rId1" Type="http://schemas.openxmlformats.org/officeDocument/2006/relationships/hyperlink" Target="https://cifr.wested.org/resource/lea-moe-calculator/" TargetMode="External"/><Relationship Id="rId4" Type="http://schemas.openxmlformats.org/officeDocument/2006/relationships/table" Target="../tables/table224.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228.xml"/><Relationship Id="rId13" Type="http://schemas.openxmlformats.org/officeDocument/2006/relationships/table" Target="../tables/table233.xml"/><Relationship Id="rId18" Type="http://schemas.openxmlformats.org/officeDocument/2006/relationships/table" Target="../tables/table238.xml"/><Relationship Id="rId3" Type="http://schemas.openxmlformats.org/officeDocument/2006/relationships/hyperlink" Target="https://cifr.wested.org/resource/lea-moe-calculator/" TargetMode="External"/><Relationship Id="rId21" Type="http://schemas.openxmlformats.org/officeDocument/2006/relationships/table" Target="../tables/table241.xml"/><Relationship Id="rId7" Type="http://schemas.openxmlformats.org/officeDocument/2006/relationships/table" Target="../tables/table227.xml"/><Relationship Id="rId12" Type="http://schemas.openxmlformats.org/officeDocument/2006/relationships/table" Target="../tables/table232.xml"/><Relationship Id="rId17" Type="http://schemas.openxmlformats.org/officeDocument/2006/relationships/table" Target="../tables/table237.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36.xml"/><Relationship Id="rId20" Type="http://schemas.openxmlformats.org/officeDocument/2006/relationships/table" Target="../tables/table240.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26.xml"/><Relationship Id="rId11" Type="http://schemas.openxmlformats.org/officeDocument/2006/relationships/table" Target="../tables/table231.xml"/><Relationship Id="rId5" Type="http://schemas.openxmlformats.org/officeDocument/2006/relationships/table" Target="../tables/table225.xml"/><Relationship Id="rId15" Type="http://schemas.openxmlformats.org/officeDocument/2006/relationships/table" Target="../tables/table235.xml"/><Relationship Id="rId10" Type="http://schemas.openxmlformats.org/officeDocument/2006/relationships/table" Target="../tables/table230.xml"/><Relationship Id="rId19" Type="http://schemas.openxmlformats.org/officeDocument/2006/relationships/table" Target="../tables/table239.xml"/><Relationship Id="rId4" Type="http://schemas.openxmlformats.org/officeDocument/2006/relationships/printerSettings" Target="../printerSettings/printerSettings36.bin"/><Relationship Id="rId9" Type="http://schemas.openxmlformats.org/officeDocument/2006/relationships/table" Target="../tables/table229.xml"/><Relationship Id="rId14" Type="http://schemas.openxmlformats.org/officeDocument/2006/relationships/table" Target="../tables/table234.xml"/><Relationship Id="rId22" Type="http://schemas.openxmlformats.org/officeDocument/2006/relationships/table" Target="../tables/table242.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243.xml"/><Relationship Id="rId2" Type="http://schemas.openxmlformats.org/officeDocument/2006/relationships/printerSettings" Target="../printerSettings/printerSettings37.bin"/><Relationship Id="rId1" Type="http://schemas.openxmlformats.org/officeDocument/2006/relationships/hyperlink" Target="https://cifr.wested.org/resource/lea-moe-calculator/" TargetMode="External"/><Relationship Id="rId6" Type="http://schemas.openxmlformats.org/officeDocument/2006/relationships/table" Target="../tables/table246.xml"/><Relationship Id="rId5" Type="http://schemas.openxmlformats.org/officeDocument/2006/relationships/table" Target="../tables/table245.xml"/><Relationship Id="rId4" Type="http://schemas.openxmlformats.org/officeDocument/2006/relationships/table" Target="../tables/table244.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247.xml"/><Relationship Id="rId2" Type="http://schemas.openxmlformats.org/officeDocument/2006/relationships/printerSettings" Target="../printerSettings/printerSettings38.bin"/><Relationship Id="rId1" Type="http://schemas.openxmlformats.org/officeDocument/2006/relationships/hyperlink" Target="https://cifr.wested.org/resource/lea-moe-calculator/" TargetMode="External"/></Relationships>
</file>

<file path=xl/worksheets/_rels/sheet39.xml.rels><?xml version="1.0" encoding="UTF-8" standalone="yes"?>
<Relationships xmlns="http://schemas.openxmlformats.org/package/2006/relationships"><Relationship Id="rId8" Type="http://schemas.openxmlformats.org/officeDocument/2006/relationships/table" Target="../tables/table252.xml"/><Relationship Id="rId3" Type="http://schemas.openxmlformats.org/officeDocument/2006/relationships/printerSettings" Target="../printerSettings/printerSettings39.bin"/><Relationship Id="rId7" Type="http://schemas.openxmlformats.org/officeDocument/2006/relationships/table" Target="../tables/table251.xml"/><Relationship Id="rId12" Type="http://schemas.openxmlformats.org/officeDocument/2006/relationships/table" Target="../tables/table256.xml"/><Relationship Id="rId2" Type="http://schemas.openxmlformats.org/officeDocument/2006/relationships/hyperlink" Target="https://cifr.wested.org/resource/lea-moe-calculator/" TargetMode="Externa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50.xml"/><Relationship Id="rId11" Type="http://schemas.openxmlformats.org/officeDocument/2006/relationships/table" Target="../tables/table255.xml"/><Relationship Id="rId5" Type="http://schemas.openxmlformats.org/officeDocument/2006/relationships/table" Target="../tables/table249.xml"/><Relationship Id="rId10" Type="http://schemas.openxmlformats.org/officeDocument/2006/relationships/table" Target="../tables/table254.xml"/><Relationship Id="rId4" Type="http://schemas.openxmlformats.org/officeDocument/2006/relationships/table" Target="../tables/table248.xml"/><Relationship Id="rId9" Type="http://schemas.openxmlformats.org/officeDocument/2006/relationships/table" Target="../tables/table25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s://cifr.wested.org/resource/lea-moe-calculator/"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257.xml"/><Relationship Id="rId2" Type="http://schemas.openxmlformats.org/officeDocument/2006/relationships/printerSettings" Target="../printerSettings/printerSettings40.bin"/><Relationship Id="rId1" Type="http://schemas.openxmlformats.org/officeDocument/2006/relationships/hyperlink" Target="https://cifr.wested.org/resource/lea-moe-calculator/" TargetMode="External"/><Relationship Id="rId5" Type="http://schemas.openxmlformats.org/officeDocument/2006/relationships/table" Target="../tables/table259.xml"/><Relationship Id="rId4" Type="http://schemas.openxmlformats.org/officeDocument/2006/relationships/table" Target="../tables/table258.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265.xml"/><Relationship Id="rId13" Type="http://schemas.openxmlformats.org/officeDocument/2006/relationships/table" Target="../tables/table270.xml"/><Relationship Id="rId18" Type="http://schemas.openxmlformats.org/officeDocument/2006/relationships/table" Target="../tables/table275.xml"/><Relationship Id="rId3" Type="http://schemas.openxmlformats.org/officeDocument/2006/relationships/table" Target="../tables/table260.xml"/><Relationship Id="rId21" Type="http://schemas.openxmlformats.org/officeDocument/2006/relationships/table" Target="../tables/table278.xml"/><Relationship Id="rId7" Type="http://schemas.openxmlformats.org/officeDocument/2006/relationships/table" Target="../tables/table264.xml"/><Relationship Id="rId12" Type="http://schemas.openxmlformats.org/officeDocument/2006/relationships/table" Target="../tables/table269.xml"/><Relationship Id="rId17" Type="http://schemas.openxmlformats.org/officeDocument/2006/relationships/table" Target="../tables/table274.xml"/><Relationship Id="rId2" Type="http://schemas.openxmlformats.org/officeDocument/2006/relationships/printerSettings" Target="../printerSettings/printerSettings41.bin"/><Relationship Id="rId16" Type="http://schemas.openxmlformats.org/officeDocument/2006/relationships/table" Target="../tables/table273.xml"/><Relationship Id="rId20" Type="http://schemas.openxmlformats.org/officeDocument/2006/relationships/table" Target="../tables/table277.xml"/><Relationship Id="rId1" Type="http://schemas.openxmlformats.org/officeDocument/2006/relationships/hyperlink" Target="https://cifr.wested.org/resource/lea-moe-calculator/" TargetMode="External"/><Relationship Id="rId6" Type="http://schemas.openxmlformats.org/officeDocument/2006/relationships/table" Target="../tables/table263.xml"/><Relationship Id="rId11" Type="http://schemas.openxmlformats.org/officeDocument/2006/relationships/table" Target="../tables/table268.xml"/><Relationship Id="rId24" Type="http://schemas.openxmlformats.org/officeDocument/2006/relationships/table" Target="../tables/table281.xml"/><Relationship Id="rId5" Type="http://schemas.openxmlformats.org/officeDocument/2006/relationships/table" Target="../tables/table262.xml"/><Relationship Id="rId15" Type="http://schemas.openxmlformats.org/officeDocument/2006/relationships/table" Target="../tables/table272.xml"/><Relationship Id="rId23" Type="http://schemas.openxmlformats.org/officeDocument/2006/relationships/table" Target="../tables/table280.xml"/><Relationship Id="rId10" Type="http://schemas.openxmlformats.org/officeDocument/2006/relationships/table" Target="../tables/table267.xml"/><Relationship Id="rId19" Type="http://schemas.openxmlformats.org/officeDocument/2006/relationships/table" Target="../tables/table276.xml"/><Relationship Id="rId4" Type="http://schemas.openxmlformats.org/officeDocument/2006/relationships/table" Target="../tables/table261.xml"/><Relationship Id="rId9" Type="http://schemas.openxmlformats.org/officeDocument/2006/relationships/table" Target="../tables/table266.xml"/><Relationship Id="rId14" Type="http://schemas.openxmlformats.org/officeDocument/2006/relationships/table" Target="../tables/table271.xml"/><Relationship Id="rId22" Type="http://schemas.openxmlformats.org/officeDocument/2006/relationships/table" Target="../tables/table279.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287.xml"/><Relationship Id="rId13" Type="http://schemas.openxmlformats.org/officeDocument/2006/relationships/table" Target="../tables/table292.xml"/><Relationship Id="rId18" Type="http://schemas.openxmlformats.org/officeDocument/2006/relationships/table" Target="../tables/table297.xml"/><Relationship Id="rId3" Type="http://schemas.openxmlformats.org/officeDocument/2006/relationships/table" Target="../tables/table282.xml"/><Relationship Id="rId21" Type="http://schemas.openxmlformats.org/officeDocument/2006/relationships/table" Target="../tables/table300.xml"/><Relationship Id="rId7" Type="http://schemas.openxmlformats.org/officeDocument/2006/relationships/table" Target="../tables/table286.xml"/><Relationship Id="rId12" Type="http://schemas.openxmlformats.org/officeDocument/2006/relationships/table" Target="../tables/table291.xml"/><Relationship Id="rId17" Type="http://schemas.openxmlformats.org/officeDocument/2006/relationships/table" Target="../tables/table296.xml"/><Relationship Id="rId2" Type="http://schemas.openxmlformats.org/officeDocument/2006/relationships/printerSettings" Target="../printerSettings/printerSettings42.bin"/><Relationship Id="rId16" Type="http://schemas.openxmlformats.org/officeDocument/2006/relationships/table" Target="../tables/table295.xml"/><Relationship Id="rId20" Type="http://schemas.openxmlformats.org/officeDocument/2006/relationships/table" Target="../tables/table299.xml"/><Relationship Id="rId1" Type="http://schemas.openxmlformats.org/officeDocument/2006/relationships/hyperlink" Target="https://cifr.wested.org/resource/lea-moe-calculator/" TargetMode="External"/><Relationship Id="rId6" Type="http://schemas.openxmlformats.org/officeDocument/2006/relationships/table" Target="../tables/table285.xml"/><Relationship Id="rId11" Type="http://schemas.openxmlformats.org/officeDocument/2006/relationships/table" Target="../tables/table290.xml"/><Relationship Id="rId24" Type="http://schemas.openxmlformats.org/officeDocument/2006/relationships/table" Target="../tables/table303.xml"/><Relationship Id="rId5" Type="http://schemas.openxmlformats.org/officeDocument/2006/relationships/table" Target="../tables/table284.xml"/><Relationship Id="rId15" Type="http://schemas.openxmlformats.org/officeDocument/2006/relationships/table" Target="../tables/table294.xml"/><Relationship Id="rId23" Type="http://schemas.openxmlformats.org/officeDocument/2006/relationships/table" Target="../tables/table302.xml"/><Relationship Id="rId10" Type="http://schemas.openxmlformats.org/officeDocument/2006/relationships/table" Target="../tables/table289.xml"/><Relationship Id="rId19" Type="http://schemas.openxmlformats.org/officeDocument/2006/relationships/table" Target="../tables/table298.xml"/><Relationship Id="rId4" Type="http://schemas.openxmlformats.org/officeDocument/2006/relationships/table" Target="../tables/table283.xml"/><Relationship Id="rId9" Type="http://schemas.openxmlformats.org/officeDocument/2006/relationships/table" Target="../tables/table288.xml"/><Relationship Id="rId14" Type="http://schemas.openxmlformats.org/officeDocument/2006/relationships/table" Target="../tables/table293.xml"/><Relationship Id="rId22" Type="http://schemas.openxmlformats.org/officeDocument/2006/relationships/table" Target="../tables/table301.xml"/></Relationships>
</file>

<file path=xl/worksheets/_rels/sheet43.xml.rels><?xml version="1.0" encoding="UTF-8" standalone="yes"?>
<Relationships xmlns="http://schemas.openxmlformats.org/package/2006/relationships"><Relationship Id="rId8" Type="http://schemas.openxmlformats.org/officeDocument/2006/relationships/table" Target="../tables/table309.xml"/><Relationship Id="rId13" Type="http://schemas.openxmlformats.org/officeDocument/2006/relationships/table" Target="../tables/table314.xml"/><Relationship Id="rId18" Type="http://schemas.openxmlformats.org/officeDocument/2006/relationships/table" Target="../tables/table319.xml"/><Relationship Id="rId3" Type="http://schemas.openxmlformats.org/officeDocument/2006/relationships/table" Target="../tables/table304.xml"/><Relationship Id="rId21" Type="http://schemas.openxmlformats.org/officeDocument/2006/relationships/table" Target="../tables/table322.xml"/><Relationship Id="rId7" Type="http://schemas.openxmlformats.org/officeDocument/2006/relationships/table" Target="../tables/table308.xml"/><Relationship Id="rId12" Type="http://schemas.openxmlformats.org/officeDocument/2006/relationships/table" Target="../tables/table313.xml"/><Relationship Id="rId17" Type="http://schemas.openxmlformats.org/officeDocument/2006/relationships/table" Target="../tables/table318.xml"/><Relationship Id="rId2" Type="http://schemas.openxmlformats.org/officeDocument/2006/relationships/printerSettings" Target="../printerSettings/printerSettings43.bin"/><Relationship Id="rId16" Type="http://schemas.openxmlformats.org/officeDocument/2006/relationships/table" Target="../tables/table317.xml"/><Relationship Id="rId20" Type="http://schemas.openxmlformats.org/officeDocument/2006/relationships/table" Target="../tables/table321.xml"/><Relationship Id="rId1" Type="http://schemas.openxmlformats.org/officeDocument/2006/relationships/hyperlink" Target="https://cifr.wested.org/resource/lea-moe-calculator/" TargetMode="External"/><Relationship Id="rId6" Type="http://schemas.openxmlformats.org/officeDocument/2006/relationships/table" Target="../tables/table307.xml"/><Relationship Id="rId11" Type="http://schemas.openxmlformats.org/officeDocument/2006/relationships/table" Target="../tables/table312.xml"/><Relationship Id="rId24" Type="http://schemas.openxmlformats.org/officeDocument/2006/relationships/table" Target="../tables/table325.xml"/><Relationship Id="rId5" Type="http://schemas.openxmlformats.org/officeDocument/2006/relationships/table" Target="../tables/table306.xml"/><Relationship Id="rId15" Type="http://schemas.openxmlformats.org/officeDocument/2006/relationships/table" Target="../tables/table316.xml"/><Relationship Id="rId23" Type="http://schemas.openxmlformats.org/officeDocument/2006/relationships/table" Target="../tables/table324.xml"/><Relationship Id="rId10" Type="http://schemas.openxmlformats.org/officeDocument/2006/relationships/table" Target="../tables/table311.xml"/><Relationship Id="rId19" Type="http://schemas.openxmlformats.org/officeDocument/2006/relationships/table" Target="../tables/table320.xml"/><Relationship Id="rId4" Type="http://schemas.openxmlformats.org/officeDocument/2006/relationships/table" Target="../tables/table305.xml"/><Relationship Id="rId9" Type="http://schemas.openxmlformats.org/officeDocument/2006/relationships/table" Target="../tables/table310.xml"/><Relationship Id="rId14" Type="http://schemas.openxmlformats.org/officeDocument/2006/relationships/table" Target="../tables/table315.xml"/><Relationship Id="rId22" Type="http://schemas.openxmlformats.org/officeDocument/2006/relationships/table" Target="../tables/table323.xml"/></Relationships>
</file>

<file path=xl/worksheets/_rels/sheet44.xml.rels><?xml version="1.0" encoding="UTF-8" standalone="yes"?>
<Relationships xmlns="http://schemas.openxmlformats.org/package/2006/relationships"><Relationship Id="rId8" Type="http://schemas.openxmlformats.org/officeDocument/2006/relationships/table" Target="../tables/table331.xml"/><Relationship Id="rId13" Type="http://schemas.openxmlformats.org/officeDocument/2006/relationships/table" Target="../tables/table336.xml"/><Relationship Id="rId18" Type="http://schemas.openxmlformats.org/officeDocument/2006/relationships/table" Target="../tables/table341.xml"/><Relationship Id="rId3" Type="http://schemas.openxmlformats.org/officeDocument/2006/relationships/table" Target="../tables/table326.xml"/><Relationship Id="rId21" Type="http://schemas.openxmlformats.org/officeDocument/2006/relationships/table" Target="../tables/table344.xml"/><Relationship Id="rId7" Type="http://schemas.openxmlformats.org/officeDocument/2006/relationships/table" Target="../tables/table330.xml"/><Relationship Id="rId12" Type="http://schemas.openxmlformats.org/officeDocument/2006/relationships/table" Target="../tables/table335.xml"/><Relationship Id="rId17" Type="http://schemas.openxmlformats.org/officeDocument/2006/relationships/table" Target="../tables/table340.xml"/><Relationship Id="rId2" Type="http://schemas.openxmlformats.org/officeDocument/2006/relationships/printerSettings" Target="../printerSettings/printerSettings44.bin"/><Relationship Id="rId16" Type="http://schemas.openxmlformats.org/officeDocument/2006/relationships/table" Target="../tables/table339.xml"/><Relationship Id="rId20" Type="http://schemas.openxmlformats.org/officeDocument/2006/relationships/table" Target="../tables/table343.xml"/><Relationship Id="rId1" Type="http://schemas.openxmlformats.org/officeDocument/2006/relationships/hyperlink" Target="https://cifr.wested.org/resource/lea-moe-calculator/" TargetMode="External"/><Relationship Id="rId6" Type="http://schemas.openxmlformats.org/officeDocument/2006/relationships/table" Target="../tables/table329.xml"/><Relationship Id="rId11" Type="http://schemas.openxmlformats.org/officeDocument/2006/relationships/table" Target="../tables/table334.xml"/><Relationship Id="rId24" Type="http://schemas.openxmlformats.org/officeDocument/2006/relationships/table" Target="../tables/table347.xml"/><Relationship Id="rId5" Type="http://schemas.openxmlformats.org/officeDocument/2006/relationships/table" Target="../tables/table328.xml"/><Relationship Id="rId15" Type="http://schemas.openxmlformats.org/officeDocument/2006/relationships/table" Target="../tables/table338.xml"/><Relationship Id="rId23" Type="http://schemas.openxmlformats.org/officeDocument/2006/relationships/table" Target="../tables/table346.xml"/><Relationship Id="rId10" Type="http://schemas.openxmlformats.org/officeDocument/2006/relationships/table" Target="../tables/table333.xml"/><Relationship Id="rId19" Type="http://schemas.openxmlformats.org/officeDocument/2006/relationships/table" Target="../tables/table342.xml"/><Relationship Id="rId4" Type="http://schemas.openxmlformats.org/officeDocument/2006/relationships/table" Target="../tables/table327.xml"/><Relationship Id="rId9" Type="http://schemas.openxmlformats.org/officeDocument/2006/relationships/table" Target="../tables/table332.xml"/><Relationship Id="rId14" Type="http://schemas.openxmlformats.org/officeDocument/2006/relationships/table" Target="../tables/table337.xml"/><Relationship Id="rId22" Type="http://schemas.openxmlformats.org/officeDocument/2006/relationships/table" Target="../tables/table34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5.bin"/><Relationship Id="rId1" Type="http://schemas.openxmlformats.org/officeDocument/2006/relationships/hyperlink" Target="https://cifr.wested.org/resource/lea-moe-calculator/"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6.bin"/><Relationship Id="rId1" Type="http://schemas.openxmlformats.org/officeDocument/2006/relationships/hyperlink" Target="https://cifr.wested.org/resource/lea-moe-calculator/"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hyperlink" Target="https://cifr.wested.org/resource/lea-moe-calculator/" TargetMode="External"/><Relationship Id="rId5" Type="http://schemas.openxmlformats.org/officeDocument/2006/relationships/comments" Target="../comments1.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8.bin"/><Relationship Id="rId1" Type="http://schemas.openxmlformats.org/officeDocument/2006/relationships/hyperlink" Target="https://cifr.wested.org/resource/lea-moe-calculator/" TargetMode="Externa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2.xml"/><Relationship Id="rId13" Type="http://schemas.openxmlformats.org/officeDocument/2006/relationships/table" Target="../tables/table17.xml"/><Relationship Id="rId18" Type="http://schemas.openxmlformats.org/officeDocument/2006/relationships/table" Target="../tables/table22.xml"/><Relationship Id="rId3" Type="http://schemas.openxmlformats.org/officeDocument/2006/relationships/hyperlink" Target="https://cifr.wested.org/resource/lea-moe-calculator/" TargetMode="External"/><Relationship Id="rId21" Type="http://schemas.openxmlformats.org/officeDocument/2006/relationships/table" Target="../tables/table25.xml"/><Relationship Id="rId7" Type="http://schemas.openxmlformats.org/officeDocument/2006/relationships/table" Target="../tables/table11.xml"/><Relationship Id="rId12" Type="http://schemas.openxmlformats.org/officeDocument/2006/relationships/table" Target="../tables/table16.xml"/><Relationship Id="rId17" Type="http://schemas.openxmlformats.org/officeDocument/2006/relationships/table" Target="../tables/table2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0.xml"/><Relationship Id="rId20" Type="http://schemas.openxmlformats.org/officeDocument/2006/relationships/table" Target="../tables/table2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5" Type="http://schemas.openxmlformats.org/officeDocument/2006/relationships/table" Target="../tables/table19.xml"/><Relationship Id="rId10" Type="http://schemas.openxmlformats.org/officeDocument/2006/relationships/table" Target="../tables/table14.xml"/><Relationship Id="rId19" Type="http://schemas.openxmlformats.org/officeDocument/2006/relationships/table" Target="../tables/table23.xml"/><Relationship Id="rId4" Type="http://schemas.openxmlformats.org/officeDocument/2006/relationships/printerSettings" Target="../printerSettings/printerSettings9.bin"/><Relationship Id="rId9" Type="http://schemas.openxmlformats.org/officeDocument/2006/relationships/table" Target="../tables/table13.xml"/><Relationship Id="rId14" Type="http://schemas.openxmlformats.org/officeDocument/2006/relationships/table" Target="../tables/table18.xml"/><Relationship Id="rId22"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A10"/>
  <sheetViews>
    <sheetView showGridLines="0" zoomScaleNormal="100" workbookViewId="0">
      <selection activeCell="A5" sqref="A5"/>
    </sheetView>
  </sheetViews>
  <sheetFormatPr defaultColWidth="0" defaultRowHeight="14.5" zeroHeight="1"/>
  <cols>
    <col min="1" max="1" width="140.54296875" customWidth="1"/>
    <col min="2" max="16384" width="9.1796875" hidden="1"/>
  </cols>
  <sheetData>
    <row r="1" spans="1:1" ht="184">
      <c r="A1" s="287" t="s">
        <v>1372</v>
      </c>
    </row>
    <row r="2" spans="1:1" ht="51" customHeight="1">
      <c r="A2" s="378" t="s">
        <v>169</v>
      </c>
    </row>
    <row r="3" spans="1:1" ht="58">
      <c r="A3" s="288" t="s">
        <v>136</v>
      </c>
    </row>
    <row r="4" spans="1:1"/>
    <row r="5" spans="1:1" ht="101.5">
      <c r="A5" s="339" t="s">
        <v>172</v>
      </c>
    </row>
    <row r="6" spans="1:1" ht="158.25" customHeight="1">
      <c r="A6" s="357" t="s">
        <v>181</v>
      </c>
    </row>
    <row r="7" spans="1:1" ht="15.5">
      <c r="A7" s="359" t="s">
        <v>24</v>
      </c>
    </row>
    <row r="8" spans="1:1" ht="15.5" hidden="1">
      <c r="A8" s="356"/>
    </row>
    <row r="9" spans="1:1" ht="15.5" hidden="1">
      <c r="A9" s="356"/>
    </row>
    <row r="10" spans="1:1" ht="15.5" hidden="1">
      <c r="A10" s="356"/>
    </row>
  </sheetData>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70C0"/>
  </sheetPr>
  <dimension ref="A1:F43"/>
  <sheetViews>
    <sheetView showGridLines="0" workbookViewId="0">
      <selection activeCell="A5" sqref="A5"/>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4: State Fiscal Year ",'2. Getting Started'!B6+3)</f>
        <v>Summary of Year 4: State Fiscal Year 2024</v>
      </c>
      <c r="B1" s="299"/>
      <c r="C1" s="299"/>
      <c r="D1" s="21" t="s">
        <v>14</v>
      </c>
      <c r="E1" s="20" t="str">
        <f>IF('2. Getting Started'!B2="","",'2. Getting Started'!B2)</f>
        <v/>
      </c>
    </row>
    <row r="2" spans="1:5" ht="18.5">
      <c r="A2" s="2" t="str">
        <f>CONCATENATE("State fiscal year ",'2. Getting Started'!B6+3," covers the period ",'2. Getting Started'!B4,", ",'2. Getting Started'!B6+2," through ",'2. Getting Started'!B5,", ",'2. Getting Started'!B6+3)</f>
        <v>State fiscal year 2024 covers the period July 1, 2023 through June 30, 2024</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Funds'!$F22="Met",'2. Getting Started'!$B$6+1,IF('38. Total Local Funds'!$F14="Met",'2. Getting Started'!$B$6,'2. Getting Started'!$B10)))</f>
        <v>#N/A</v>
      </c>
      <c r="C6" s="3" t="e">
        <f>IF('2. Getting Started'!B11="","",IF('39. Total State &amp; Local Funds'!$F22="Met",'2. Getting Started'!$B$6+1,IF('39. Total State &amp; Local Funds'!$F14="Met",'2. Getting Started'!$B$6,'2. Getting Started'!$B11)))</f>
        <v>#N/A</v>
      </c>
      <c r="D6" s="3" t="e">
        <f>IF('2. Getting Started'!B12="","",IF('40. Local Funds Per Capita'!$F23="Met",'2. Getting Started'!$B$6+1,IF('40. Local Funds Per Capita'!$F15="Met",'2. Getting Started'!$B$6,'2. Getting Started'!$B12)))</f>
        <v>#N/A</v>
      </c>
      <c r="E6" s="257" t="e">
        <f>IF('2. Getting Started'!B13="","",IF('41. State &amp; Local Funds Per Cap'!$F23="Met",'2. Getting Started'!$B$6+1,IF('41. State &amp; Local Funds Per Cap'!$F15="Met",'2. Getting Started'!$B$6,'2. Getting Started'!$B13)))</f>
        <v>#N/A</v>
      </c>
    </row>
    <row r="7" spans="1:5">
      <c r="A7" s="243" t="s">
        <v>45</v>
      </c>
      <c r="B7" s="205" t="e">
        <f>IF(B6="","",IF(B6='2. Getting Started'!$B$6+1,'8. Year 2 Amounts'!K30,IF(B6='2. Getting Started'!$B$6,'5. Year 1 Amounts'!K30,'2. Getting Started'!$C10)))</f>
        <v>#N/A</v>
      </c>
      <c r="C7" s="205" t="e">
        <f>IF(C6="","",IF(C6='2. Getting Started'!$B$6+1,'8. Year 2 Amounts'!M30,IF(C6='2. Getting Started'!$B$6,'5. Year 1 Amounts'!M30,'2. Getting Started'!$C11)))</f>
        <v>#N/A</v>
      </c>
      <c r="D7" s="205" t="e">
        <f>IF(D6="","",IF(D6='2. Getting Started'!$B$6+1,'8. Year 2 Amounts'!K31,IF(D6='2. Getting Started'!$B$6,'5. Year 1 Amounts'!K31,'2. Getting Started'!$C12)))</f>
        <v>#N/A</v>
      </c>
      <c r="E7" s="267" t="e">
        <f>IF(E6="","",IF(E6='2. Getting Started'!$B$6+1,'8. Year 2 Amounts'!M31,IF(E6='2. Getting Started'!$B$6,'5. Year 1 Amounts'!M31,'2. Getting Started'!$C13)))</f>
        <v>#N/A</v>
      </c>
    </row>
    <row r="8" spans="1:5">
      <c r="A8" s="243" t="s">
        <v>9</v>
      </c>
      <c r="B8" s="205" t="str">
        <f>'14. Year 4 Amounts'!D30</f>
        <v/>
      </c>
      <c r="C8" s="205" t="str">
        <f>'14. Year 4 Amounts'!F30</f>
        <v/>
      </c>
      <c r="D8" s="205" t="str">
        <f>'14. Year 4 Amounts'!D31</f>
        <v/>
      </c>
      <c r="E8" s="267" t="str">
        <f>'14. Year 4 Amounts'!F31</f>
        <v/>
      </c>
    </row>
    <row r="9" spans="1:5">
      <c r="A9" s="243" t="s">
        <v>117</v>
      </c>
      <c r="B9" s="201" t="str">
        <f>IF(B8="","",IF(B8&gt;=B7,"Met",IF(AND(B8&lt;B7,'38. Total Local Funds'!$B38="Met"),"Met with Exceptions &amp; Adjustments","Did Not Meet")))</f>
        <v/>
      </c>
      <c r="C9" s="201" t="str">
        <f>IF(C8="","",IF(C8&gt;=C7,"Met",IF(AND(C8&lt;C7,'39. Total State &amp; Local Funds'!$B38="Met"),"Met with Exceptions &amp; Adjustments","Did Not Meet")))</f>
        <v/>
      </c>
      <c r="D9" s="201" t="str">
        <f>IF(D8="","",IF(D8&gt;=D7,"Met",IF(AND(D8&lt;D7,'40. Local Funds Per Capita'!$B39="Met"),"Met with Exceptions &amp; Adjustments","Did Not Meet")))</f>
        <v/>
      </c>
      <c r="E9" s="259" t="str">
        <f>IF(E8="","",IF(E8&gt;=E7,"Met",IF(AND(E8&lt;E7,'41. State &amp; Local Funds Per Cap'!$B39="Met"),"Met with Exceptions &amp; Adjustments","Did Not Meet")))</f>
        <v/>
      </c>
    </row>
    <row r="10" spans="1:5">
      <c r="A10" s="246" t="s">
        <v>46</v>
      </c>
      <c r="B10" s="256" t="str">
        <f>IF(B9="","",IF(B9="Did Not Meet",'38. Total Local Funds'!$B36-'38. Total Local Funds'!$B37,0))</f>
        <v/>
      </c>
      <c r="C10" s="256" t="str">
        <f>IF(C9="","",IF(C9="Did Not Meet",'39. Total State &amp; Local Funds'!$B36-'39. Total State &amp; Local Funds'!$B37,0))</f>
        <v/>
      </c>
      <c r="D10" s="256" t="str">
        <f>IF(D9="","",IF(D9="Did Not Meet",(('40. Local Funds Per Capita'!$B37-'40. Local Funds Per Capita'!$B38)*'14. Year 4 Amounts'!B1),0))</f>
        <v/>
      </c>
      <c r="E10" s="261" t="str">
        <f>IF(E9="","",IF(E9="Did Not Meet",(('41. State &amp; Local Funds Per Cap'!$B37-'41. State &amp; Local Funds Per Cap'!$B38)*'14. Year 4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Funds'!F30="Met",'2. Getting Started'!$B$6+2,IF('38. Total Local Funds'!F22="Met",'2. Getting Started'!$B$6+1,IF('38. Total Local Funds'!$F14="Met",'2. Getting Started'!$B$6,'2. Getting Started'!$B10))))</f>
        <v>#N/A</v>
      </c>
      <c r="C14" s="3" t="e">
        <f>IF('2. Getting Started'!B11="","",IF('39. Total State &amp; Local Funds'!F30="Met",'2. Getting Started'!$B$6+2,IF('39. Total State &amp; Local Funds'!F22="Met",'2. Getting Started'!$B$6+1,IF('39. Total State &amp; Local Funds'!$F14="Met",'2. Getting Started'!$B$6,'2. Getting Started'!$B11))))</f>
        <v>#N/A</v>
      </c>
      <c r="D14" s="3" t="e">
        <f>IF('2. Getting Started'!B12="","",IF('40. Local Funds Per Capita'!F31="Met",'2. Getting Started'!$B$6+2,IF('40. Local Funds Per Capita'!F23="Met",'2. Getting Started'!$B$6+1,IF('40. Local Funds Per Capita'!$F15="Met",'2. Getting Started'!$B$6,'2. Getting Started'!$B12))))</f>
        <v>#N/A</v>
      </c>
      <c r="E14" s="257" t="e">
        <f>IF('2. Getting Started'!B13="","",IF('41.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Started'!$B$6+2,'11. Year 3 Amounts'!K30,IF(B14='2. Getting Started'!$B$6+1,'8. Year 2 Amounts'!K30,IF(B14='2. Getting Started'!$B$6,'5. Year 1 Amounts'!K30,'2. Getting Started'!$C10))))</f>
        <v>#N/A</v>
      </c>
      <c r="C15" s="17" t="e">
        <f>IF(C14="","",IF(C14='2. Getting Started'!$B$6+2,'11. Year 3 Amounts'!M30,IF(C14='2. Getting Started'!$B$6+1,'8. Year 2 Amounts'!M30,IF(C14='2. Getting Started'!$B$6,'5. Year 1 Amounts'!M30,'2. Getting Started'!$C11))))</f>
        <v>#N/A</v>
      </c>
      <c r="D15" s="17" t="e">
        <f>IF(D14="","",IF(D14='2. Getting Started'!$B$6+2,'11. Year 3 Amounts'!K31,IF(D14='2. Getting Started'!$B$6+1,'8. Year 2 Amounts'!K31,IF(D14='2. Getting Started'!$B$6,'5. Year 1 Amounts'!K31,'2. Getting Started'!$C12))))</f>
        <v>#N/A</v>
      </c>
      <c r="E15" s="258" t="e">
        <f>IF(E14="","",IF(E14='2. Getting Started'!$B$6+2,'11. Year 3 Amounts'!M31,IF(E14='2. Getting Started'!$B$6+1,'8. Year 2 Amounts'!M31,IF(E14='2. Getting Started'!$B$6,'5. Year 1 Amounts'!M31,'2. Getting Started'!$C13))))</f>
        <v>#N/A</v>
      </c>
    </row>
    <row r="16" spans="1:5">
      <c r="A16" s="243" t="s">
        <v>11</v>
      </c>
      <c r="B16" s="17" t="str">
        <f>'14. Year 4 Amounts'!K30</f>
        <v/>
      </c>
      <c r="C16" s="17" t="str">
        <f>'14. Year 4 Amounts'!M30</f>
        <v/>
      </c>
      <c r="D16" s="17" t="str">
        <f>'14. Year 4 Amounts'!K31</f>
        <v/>
      </c>
      <c r="E16" s="258" t="str">
        <f>'14. Year 4 Amounts'!M31</f>
        <v/>
      </c>
    </row>
    <row r="17" spans="1:5">
      <c r="A17" s="243" t="s">
        <v>117</v>
      </c>
      <c r="B17" s="201" t="str">
        <f>IF(B16="","",IF(B16&gt;=B15,"Met",IF(AND(B16&lt;B15,'38. Total Local Funds'!F38="Met"),"Met with Exceptions &amp; Adjustments","Did Not Meet")))</f>
        <v/>
      </c>
      <c r="C17" s="201" t="str">
        <f>IF(C16="","",IF(C16&gt;=C15,"Met",IF(AND(C16&lt;C15,'39. Total State &amp; Local Funds'!F38="Met"),"Met with Exceptions &amp; Adjustments","Did Not Meet")))</f>
        <v/>
      </c>
      <c r="D17" s="201" t="str">
        <f>IF(D16="","",IF(D16&gt;=D15,"Met",IF(AND(D16&lt;D15,'40. Local Funds Per Capita'!F39="Met"),"Met with Exceptions &amp; Adjustments","Did Not Meet")))</f>
        <v/>
      </c>
      <c r="E17" s="259" t="str">
        <f>IF(E16="","",IF(E16&gt;=E15,"Met",IF(AND(E16&lt;E15,'41. State &amp; Local Funds Per Cap'!F39="Met"),"Met with Exceptions &amp; Adjustments","Did Not Meet")))</f>
        <v/>
      </c>
    </row>
    <row r="18" spans="1:5">
      <c r="A18" s="246" t="s">
        <v>46</v>
      </c>
      <c r="B18" s="256" t="str">
        <f>IF(B17="","",IF(B17="Did Not Meet",'38. Total Local Funds'!F36-'38. Total Local Funds'!F37,0))</f>
        <v/>
      </c>
      <c r="C18" s="256" t="str">
        <f>IF(C17="","",IF(C17="Did Not Meet",'39. Total State &amp; Local Funds'!F36-'39. Total State &amp; Local Funds'!F37,0))</f>
        <v/>
      </c>
      <c r="D18" s="256" t="str">
        <f>IF(D17="","",IF(D17="Did Not Meet",(('40. Local Funds Per Capita'!F37-'40. Local Funds Per Capita'!F38)*'14. Year 4 Amounts'!I1),0))</f>
        <v/>
      </c>
      <c r="E18" s="261" t="str">
        <f>IF(E17="","",IF(E17="Did Not Meet",(('41. State &amp; Local Funds Per Cap'!F37-'41. State &amp; Local Funds Per Cap'!F38)*'14. Year 4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130</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Started'!B6+3)</f>
        <v>Exceptions and Adjustment Claimed for State Fiscal Year 2024</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'15. Year 4 Exc &amp; Adj'!F22</f>
        <v>0</v>
      </c>
      <c r="C34" s="258">
        <f>'15. Year 4 Exc &amp; Adj'!F22</f>
        <v>0</v>
      </c>
      <c r="D34" s="326">
        <f>'15. Year 4 Exc &amp; Adj'!M22</f>
        <v>0</v>
      </c>
      <c r="E34" s="17">
        <f>'15. Year 4 Exc &amp; Adj'!M22</f>
        <v>0</v>
      </c>
    </row>
    <row r="35" spans="1:5">
      <c r="A35" s="224" t="s">
        <v>140</v>
      </c>
      <c r="B35" s="17" t="str">
        <f>'15. Year 4 Exc &amp; Adj'!B32</f>
        <v/>
      </c>
      <c r="C35" s="258" t="str">
        <f>'15. Year 4 Exc &amp; Adj'!C32</f>
        <v/>
      </c>
      <c r="D35" s="326" t="str">
        <f>'15. Year 4 Exc &amp; Adj'!I32</f>
        <v/>
      </c>
      <c r="E35" s="258" t="str">
        <f>'15. Year 4 Exc &amp; Adj'!J32</f>
        <v/>
      </c>
    </row>
    <row r="36" spans="1:5">
      <c r="A36" s="224" t="s">
        <v>141</v>
      </c>
      <c r="B36" s="17">
        <f>'15. Year 4 Exc &amp; Adj'!C43</f>
        <v>0</v>
      </c>
      <c r="C36" s="258">
        <f>'15. Year 4 Exc &amp; Adj'!C43</f>
        <v>0</v>
      </c>
      <c r="D36" s="326">
        <f>'15. Year 4 Exc &amp; Adj'!J43</f>
        <v>0</v>
      </c>
      <c r="E36" s="17">
        <f>'15. Year 4 Exc &amp; Adj'!J43</f>
        <v>0</v>
      </c>
    </row>
    <row r="37" spans="1:5">
      <c r="A37" s="224" t="s">
        <v>142</v>
      </c>
      <c r="B37" s="17">
        <f>'15. Year 4 Exc &amp; Adj'!B53</f>
        <v>0</v>
      </c>
      <c r="C37" s="258">
        <f>'15. Year 4 Exc &amp; Adj'!B53</f>
        <v>0</v>
      </c>
      <c r="D37" s="326">
        <f>'15. Year 4 Exc &amp; Adj'!I53</f>
        <v>0</v>
      </c>
      <c r="E37" s="17">
        <f>'15. Year 4 Exc &amp; Adj'!I53</f>
        <v>0</v>
      </c>
    </row>
    <row r="38" spans="1:5">
      <c r="A38" s="224" t="str">
        <f>IF('3b. High Cost Fund'!B6="No","This exception is not valid for your state.","Exception (e)")</f>
        <v>Exception (e)</v>
      </c>
      <c r="B38" s="331">
        <f>IF('3b. High Cost Fund'!B6="No","",'15. Year 4 Exc &amp; Adj'!B63)</f>
        <v>0</v>
      </c>
      <c r="C38" s="332">
        <f>IF('3b. High Cost Fund'!B6="No","",'15. Year 4 Exc &amp; Adj'!B63)</f>
        <v>0</v>
      </c>
      <c r="D38" s="326">
        <f>IF('3b. High Cost Fund'!B6="No","",'15. Year 4 Exc &amp; Adj'!I63)</f>
        <v>0</v>
      </c>
      <c r="E38" s="331">
        <f>IF('3b. High Cost Fund'!B6="No","",'15. Year 4 Exc &amp; Adj'!I63)</f>
        <v>0</v>
      </c>
    </row>
    <row r="39" spans="1:5">
      <c r="A39" s="224" t="s">
        <v>143</v>
      </c>
      <c r="B39" s="17">
        <f>AdjDataYear4Budget[Projected Adjustment]</f>
        <v>0</v>
      </c>
      <c r="C39" s="17">
        <f>AdjDataYear4Budget[Projected Adjustment]</f>
        <v>0</v>
      </c>
      <c r="D39" s="327">
        <f>AdjDataYear4Expenditures[[Adjustment ]]</f>
        <v>0</v>
      </c>
      <c r="E39" s="17">
        <f>AdjDataYear4Expenditures[[Adjustment ]]</f>
        <v>0</v>
      </c>
    </row>
    <row r="40" spans="1:5">
      <c r="A40" s="246" t="s">
        <v>124</v>
      </c>
      <c r="B40" s="328">
        <f>SUM(B34:B39)</f>
        <v>0</v>
      </c>
      <c r="C40" s="329">
        <f>SUM(C34:C39)</f>
        <v>0</v>
      </c>
      <c r="D40" s="330">
        <f>SUM(D34:D39)</f>
        <v>0</v>
      </c>
      <c r="E40" s="329">
        <f>SUM(E34:E39)</f>
        <v>0</v>
      </c>
    </row>
    <row r="41" spans="1:5" ht="29.25"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pLnL6X0h2/b8GIyta1xOkEtnaruUAv2AzP5PnjxQkZuHHhiHnaBcCpGaOtm1Syjx631KP7+z8JsVlGkAGhC+7Q==" saltValue="jL91m9kEHzPBjzVDs4ceQw==" spinCount="100000" sheet="1" objects="1" scenarios="1" formatColumns="0" formatRows="0"/>
  <mergeCells count="5">
    <mergeCell ref="A11:E11"/>
    <mergeCell ref="A19:E19"/>
    <mergeCell ref="A28:E28"/>
    <mergeCell ref="A30:E30"/>
    <mergeCell ref="A43:E43"/>
  </mergeCells>
  <conditionalFormatting sqref="B9:E9">
    <cfRule type="containsText" dxfId="218" priority="1" operator="containsText" text="Did Not Meet">
      <formula>NOT(ISERROR(SEARCH("Did Not Meet",B9)))</formula>
    </cfRule>
    <cfRule type="containsText" dxfId="217" priority="2" operator="containsText" text="Met">
      <formula>NOT(ISERROR(SEARCH("Met",B9)))</formula>
    </cfRule>
  </conditionalFormatting>
  <conditionalFormatting sqref="B17:E17">
    <cfRule type="containsText" dxfId="216" priority="3" operator="containsText" text="Did Not Meet">
      <formula>NOT(ISERROR(SEARCH("Did Not Meet",B17)))</formula>
    </cfRule>
    <cfRule type="containsText" dxfId="215" priority="4" operator="containsText" text="Met">
      <formula>NOT(ISERROR(SEARCH("Met",B17)))</formula>
    </cfRule>
  </conditionalFormatting>
  <hyperlinks>
    <hyperlink ref="A29" location="'4. Multi-Year MOE Summary'!A7" display="Go to the Multi-Year MOE Summary" xr:uid="{00000000-0004-0000-1100-000000000000}"/>
    <hyperlink ref="A42" r:id="rId1" xr:uid="{00000000-0004-0000-11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0000"/>
    <pageSetUpPr autoPageBreaks="0"/>
  </sheetPr>
  <dimension ref="A1:N35"/>
  <sheetViews>
    <sheetView showGridLines="0" workbookViewId="0">
      <pane ySplit="4" topLeftCell="A5" activePane="bottomLeft" state="frozen"/>
      <selection activeCell="K5" sqref="K5"/>
      <selection pane="bottomLeft" activeCell="K5" sqref="K5"/>
    </sheetView>
  </sheetViews>
  <sheetFormatPr defaultColWidth="0" defaultRowHeight="15.75"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f>IFERROR(VLOOKUP('2. Getting Started'!B3,'42. SEA or LEA Worksheet'!A4:AZ318,30,0),0)</f>
        <v>0</v>
      </c>
      <c r="D1" s="21" t="s">
        <v>14</v>
      </c>
      <c r="E1" s="20" t="str">
        <f>IF('2. Getting Started'!B2="","",'2. Getting Started'!B2)</f>
        <v/>
      </c>
      <c r="G1" s="467" t="s">
        <v>22</v>
      </c>
      <c r="H1" s="19" t="s">
        <v>49</v>
      </c>
      <c r="I1" s="48">
        <f>IFERROR(VLOOKUP('2. Getting Started'!B3,'42. SEA or LEA Worksheet'!A4:AZ318,30,0),0)</f>
        <v>0</v>
      </c>
      <c r="K1" s="21" t="s">
        <v>14</v>
      </c>
      <c r="L1" s="20" t="str">
        <f>IF('2. Getting Started'!B2="","",'2. Getting Started'!B2)</f>
        <v/>
      </c>
    </row>
    <row r="2" spans="1:13" s="25" customFormat="1" ht="37.9" customHeight="1" thickBot="1">
      <c r="A2" s="22" t="str">
        <f>CONCATENATE("Eligibility Standard - State Fiscal Year ",'2. Getting Started'!B6+2," -  LEA Effort - Budgeted Amounts")</f>
        <v>Eligibility Standard - State Fiscal Year 2023 -  LEA Effort - Budgeted Amounts</v>
      </c>
      <c r="B2" s="23"/>
      <c r="C2" s="23"/>
      <c r="D2" s="23"/>
      <c r="E2" s="23"/>
      <c r="F2" s="24"/>
      <c r="G2" s="467"/>
      <c r="H2" s="22" t="str">
        <f>CONCATENATE("Compliance Standard - State Fiscal Year ",'2. Getting Started'!B6+2," - LEA Effort - Final Expenditures")</f>
        <v>Compliance Standard - State Fiscal Year 2023 - LEA Effort - Final Expenditures</v>
      </c>
      <c r="I2" s="23"/>
      <c r="J2" s="23"/>
      <c r="K2" s="23"/>
      <c r="L2" s="23"/>
      <c r="M2" s="24"/>
    </row>
    <row r="3" spans="1:13" s="25" customFormat="1" ht="24" customHeight="1">
      <c r="A3" s="26"/>
      <c r="B3" s="27"/>
      <c r="D3" s="28" t="str">
        <f>CONCATENATE("SFY ",'2. Getting Started'!$B6+2," Budget")</f>
        <v>SFY 2023 Budget</v>
      </c>
      <c r="E3" s="29"/>
      <c r="F3" s="30"/>
      <c r="G3" s="467"/>
      <c r="H3" s="26"/>
      <c r="I3" s="27"/>
      <c r="J3" s="31"/>
      <c r="K3" s="28" t="str">
        <f>CONCATENATE("SFY ",'2. Getting Started'!$B6+2," Final Expenditures")</f>
        <v>SFY 2023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arLUtEUD7wCweIAH1RDZopqUaRAHo722NrVnwtNduNu2bV57PLBOvEmFds8l8DXUX92K8F+gSuOJyLwIqT7/pw==" saltValue="g29bdPqOzKxKFSxgj7pat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C00-000000000000}"/>
    <dataValidation allowBlank="1" showInputMessage="1" showErrorMessage="1" prompt="Don't forget to enter Child Count in Cell I1." sqref="H5" xr:uid="{00000000-0002-0000-0C00-000001000000}"/>
  </dataValidations>
  <hyperlinks>
    <hyperlink ref="A33" r:id="rId1" xr:uid="{00000000-0004-0000-0C00-000000000000}"/>
  </hyperlinks>
  <pageMargins left="0.75" right="0.75" top="1" bottom="1" header="0.5" footer="0.5"/>
  <pageSetup orientation="portrait" horizontalDpi="4294967292" verticalDpi="4294967292"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pageSetUpPr autoPageBreaks="0"/>
  </sheetPr>
  <dimension ref="A1:AB75"/>
  <sheetViews>
    <sheetView showGridLines="0" zoomScale="90" zoomScaleNormal="90" zoomScalePageLayoutView="90" workbookViewId="0">
      <pane ySplit="3" topLeftCell="A4" activePane="bottomLeft" state="frozen"/>
      <selection activeCell="K5" sqref="K5"/>
      <selection pane="bottomLeft" activeCell="K5" sqref="K5"/>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174</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Started'!B6+2," Budget")</f>
        <v>Eligibility Standard -- Exceptions to MOE as Permitted by 34 CFR §300.204 and Adjustment to MOE as Permitted by 34 CFR §300.205 -- Projections for State Fiscal Year 2023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Started'!B6+2)</f>
        <v>Compliance Standard -- Exceptions to MOE as Permitted by 34 CFR §300.204 and Adjustment to MOE as Permitted by 34 CFR §300.205 -- Final Expenditures for  State Fiscal Year 2023</v>
      </c>
      <c r="I3" s="61"/>
      <c r="J3" s="61"/>
      <c r="K3" s="61"/>
      <c r="L3" s="61"/>
      <c r="M3" s="62"/>
      <c r="O3" s="64"/>
      <c r="P3" s="64"/>
      <c r="Q3" s="64"/>
      <c r="R3" s="64"/>
      <c r="S3" s="64"/>
      <c r="T3" s="64"/>
    </row>
    <row r="4" spans="1:20">
      <c r="A4" s="65" t="s">
        <v>59</v>
      </c>
      <c r="B4" s="66"/>
      <c r="C4" s="67"/>
      <c r="D4" s="67"/>
      <c r="E4" s="67"/>
      <c r="F4" s="68"/>
      <c r="G4" s="473"/>
      <c r="H4" s="65" t="s">
        <v>59</v>
      </c>
      <c r="I4" s="66"/>
      <c r="J4" s="67"/>
      <c r="K4" s="67"/>
      <c r="L4" s="67"/>
      <c r="M4" s="68"/>
      <c r="N4" s="70"/>
      <c r="O4" s="70"/>
      <c r="P4" s="70"/>
      <c r="Q4" s="70"/>
      <c r="R4" s="70"/>
      <c r="S4" s="70"/>
    </row>
    <row r="5" spans="1:20">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c r="A8" s="186"/>
      <c r="B8" s="187"/>
      <c r="C8" s="187"/>
      <c r="D8" s="188"/>
      <c r="E8" s="188">
        <v>0</v>
      </c>
      <c r="F8" s="84">
        <f>D8+E8</f>
        <v>0</v>
      </c>
      <c r="G8" s="473"/>
      <c r="H8" s="186"/>
      <c r="I8" s="187"/>
      <c r="J8" s="187"/>
      <c r="K8" s="188"/>
      <c r="L8" s="188"/>
      <c r="M8" s="84">
        <f>K8+L8</f>
        <v>0</v>
      </c>
      <c r="N8" s="85"/>
      <c r="O8" s="85"/>
    </row>
    <row r="9" spans="1:20">
      <c r="A9" s="186"/>
      <c r="B9" s="187"/>
      <c r="C9" s="187"/>
      <c r="D9" s="188"/>
      <c r="E9" s="188"/>
      <c r="F9" s="84">
        <f>D9+E9</f>
        <v>0</v>
      </c>
      <c r="G9" s="473"/>
      <c r="H9" s="186"/>
      <c r="I9" s="187"/>
      <c r="J9" s="187"/>
      <c r="K9" s="188"/>
      <c r="L9" s="188"/>
      <c r="M9" s="84">
        <f>K9+L9</f>
        <v>0</v>
      </c>
      <c r="N9" s="85"/>
      <c r="O9" s="85"/>
    </row>
    <row r="10" spans="1:20">
      <c r="A10" s="186"/>
      <c r="B10" s="187"/>
      <c r="C10" s="187"/>
      <c r="D10" s="188"/>
      <c r="E10" s="188"/>
      <c r="F10" s="84">
        <f>D10+E10</f>
        <v>0</v>
      </c>
      <c r="G10" s="473"/>
      <c r="H10" s="186"/>
      <c r="I10" s="187"/>
      <c r="J10" s="187"/>
      <c r="K10" s="188"/>
      <c r="L10" s="188"/>
      <c r="M10" s="84">
        <f>K10+L10</f>
        <v>0</v>
      </c>
      <c r="N10" s="85"/>
      <c r="O10" s="85"/>
    </row>
    <row r="11" spans="1:20">
      <c r="A11" s="186"/>
      <c r="B11" s="187"/>
      <c r="C11" s="187"/>
      <c r="D11" s="188"/>
      <c r="E11" s="188"/>
      <c r="F11" s="84">
        <f>D11+E11</f>
        <v>0</v>
      </c>
      <c r="G11" s="473"/>
      <c r="H11" s="186"/>
      <c r="I11" s="187"/>
      <c r="J11" s="187"/>
      <c r="K11" s="188"/>
      <c r="L11" s="188"/>
      <c r="M11" s="84">
        <f>K11+L11</f>
        <v>0</v>
      </c>
      <c r="N11" s="85"/>
      <c r="O11" s="85"/>
    </row>
    <row r="12" spans="1:20">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3"/>
      <c r="H16" s="189"/>
      <c r="I16" s="190"/>
      <c r="J16" s="100"/>
      <c r="K16" s="188"/>
      <c r="L16" s="188"/>
      <c r="M16" s="84">
        <f t="shared" ref="M16:M20" si="3">K16+L16</f>
        <v>0</v>
      </c>
      <c r="N16" s="85"/>
      <c r="O16" s="85"/>
    </row>
    <row r="17" spans="1:19">
      <c r="A17" s="189"/>
      <c r="B17" s="190"/>
      <c r="C17" s="100"/>
      <c r="D17" s="188"/>
      <c r="E17" s="188"/>
      <c r="F17" s="84">
        <f t="shared" si="2"/>
        <v>0</v>
      </c>
      <c r="G17" s="473"/>
      <c r="H17" s="189"/>
      <c r="I17" s="190"/>
      <c r="J17" s="100"/>
      <c r="K17" s="188"/>
      <c r="L17" s="188"/>
      <c r="M17" s="84">
        <f t="shared" si="3"/>
        <v>0</v>
      </c>
      <c r="N17" s="85"/>
      <c r="O17" s="85"/>
    </row>
    <row r="18" spans="1:19">
      <c r="A18" s="189"/>
      <c r="B18" s="190"/>
      <c r="C18" s="100"/>
      <c r="D18" s="188"/>
      <c r="E18" s="188"/>
      <c r="F18" s="84">
        <f t="shared" si="2"/>
        <v>0</v>
      </c>
      <c r="G18" s="473"/>
      <c r="H18" s="189"/>
      <c r="I18" s="190"/>
      <c r="J18" s="100"/>
      <c r="K18" s="188"/>
      <c r="L18" s="188"/>
      <c r="M18" s="84">
        <f t="shared" si="3"/>
        <v>0</v>
      </c>
      <c r="N18" s="85"/>
      <c r="O18" s="85"/>
    </row>
    <row r="19" spans="1:19">
      <c r="A19" s="189"/>
      <c r="B19" s="190"/>
      <c r="C19" s="100"/>
      <c r="D19" s="188"/>
      <c r="E19" s="188"/>
      <c r="F19" s="84">
        <f t="shared" si="2"/>
        <v>0</v>
      </c>
      <c r="G19" s="473"/>
      <c r="H19" s="189"/>
      <c r="I19" s="190"/>
      <c r="J19" s="100"/>
      <c r="K19" s="188"/>
      <c r="L19" s="188"/>
      <c r="M19" s="84">
        <f t="shared" si="3"/>
        <v>0</v>
      </c>
      <c r="N19" s="85"/>
      <c r="O19" s="85"/>
    </row>
    <row r="20" spans="1:19">
      <c r="A20" s="189"/>
      <c r="B20" s="190"/>
      <c r="C20" s="100"/>
      <c r="D20" s="188"/>
      <c r="E20" s="188"/>
      <c r="F20" s="84">
        <f t="shared" si="2"/>
        <v>0</v>
      </c>
      <c r="G20" s="473"/>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c r="A24" s="112" t="s">
        <v>105</v>
      </c>
      <c r="B24" s="113"/>
      <c r="C24" s="113"/>
      <c r="D24" s="63"/>
      <c r="E24" s="120"/>
      <c r="F24" s="120"/>
      <c r="G24" s="473"/>
      <c r="H24" s="112" t="s">
        <v>105</v>
      </c>
      <c r="I24" s="113"/>
      <c r="J24" s="113"/>
      <c r="K24" s="63"/>
      <c r="L24" s="120"/>
      <c r="M24" s="120"/>
      <c r="N24" s="119"/>
      <c r="O24" s="119"/>
      <c r="P24" s="119"/>
      <c r="Q24" s="119"/>
    </row>
    <row r="25" spans="1:19">
      <c r="A25" s="121" t="s">
        <v>71</v>
      </c>
      <c r="B25" s="122" t="s">
        <v>77</v>
      </c>
      <c r="C25" s="123"/>
      <c r="D25" s="124"/>
      <c r="E25" s="123"/>
      <c r="F25" s="123"/>
      <c r="G25" s="473"/>
      <c r="H25" s="121" t="s">
        <v>71</v>
      </c>
      <c r="I25" s="122" t="s">
        <v>77</v>
      </c>
      <c r="J25" s="123"/>
      <c r="K25" s="124"/>
      <c r="L25" s="123"/>
      <c r="M25" s="123"/>
      <c r="N25" s="119"/>
      <c r="O25" s="119"/>
      <c r="P25" s="119"/>
      <c r="Q25" s="119"/>
    </row>
    <row r="26" spans="1:19">
      <c r="A26" s="125" t="str">
        <f>CONCATENATE("SFY ",'2. Getting Started'!B6+2," Projected Child Count")</f>
        <v>SFY 2023 Projected Child Count</v>
      </c>
      <c r="B26" s="126">
        <f>IF('11. Year 3 Amounts'!B1="","",'11. Year 3 Amounts'!B1)</f>
        <v>0</v>
      </c>
      <c r="C26" s="123"/>
      <c r="D26" s="124"/>
      <c r="E26" s="123"/>
      <c r="F26" s="123"/>
      <c r="G26" s="473"/>
      <c r="H26" s="125" t="str">
        <f>CONCATENATE("SFY ",'2. Getting Started'!B6+2," Child Count")</f>
        <v>SFY 2023 Child Count</v>
      </c>
      <c r="I26" s="126">
        <f>IF('11. Year 3 Amounts'!I1="","",'11. Year 3 Amounts'!I1)</f>
        <v>0</v>
      </c>
      <c r="J26" s="123"/>
      <c r="K26" s="124"/>
      <c r="L26" s="123"/>
      <c r="M26" s="123"/>
      <c r="N26" s="119"/>
      <c r="O26" s="119"/>
      <c r="P26" s="119"/>
      <c r="Q26" s="119"/>
    </row>
    <row r="27" spans="1:19">
      <c r="A27" s="125" t="str">
        <f>CONCATENATE("SFY ",'2. Getting Started'!B6+1," Projected Child Count")</f>
        <v>SFY 2022 Projected Child Count</v>
      </c>
      <c r="B27" s="126" t="e">
        <f>IF('8. Year 2 Amounts'!B1="","",'8. Year 2 Amounts'!B1)</f>
        <v>#N/A</v>
      </c>
      <c r="C27" s="119"/>
      <c r="D27" s="128"/>
      <c r="E27" s="119"/>
      <c r="F27" s="123"/>
      <c r="G27" s="473"/>
      <c r="H27" s="125" t="str">
        <f>CONCATENATE("SFY ",'2. Getting Started'!B6+1," Child Count")</f>
        <v>SFY 2022 Child Count</v>
      </c>
      <c r="I27" s="126" t="e">
        <f>IF('8. Year 2 Amounts'!I1="","",'8. Year 2 Amounts'!I1)</f>
        <v>#N/A</v>
      </c>
      <c r="J27" s="119"/>
      <c r="K27" s="128"/>
      <c r="L27" s="119"/>
      <c r="M27" s="123"/>
      <c r="N27" s="129"/>
      <c r="O27" s="129"/>
      <c r="P27" s="129"/>
      <c r="Q27" s="129"/>
    </row>
    <row r="28" spans="1:19">
      <c r="A28" s="127" t="s">
        <v>78</v>
      </c>
      <c r="B28" s="130" t="e">
        <f>IF(B26="","",B26-B27)</f>
        <v>#N/A</v>
      </c>
      <c r="C28" s="123" t="e">
        <f>IF(B28="","",IF(B28&gt;=0,"Not eligible for this exception",""))</f>
        <v>#N/A</v>
      </c>
      <c r="D28" s="124"/>
      <c r="E28" s="123"/>
      <c r="F28" s="123"/>
      <c r="G28" s="473"/>
      <c r="H28" s="127" t="s">
        <v>78</v>
      </c>
      <c r="I28" s="130" t="e">
        <f>IF(I26="","",I26-I27)</f>
        <v>#N/A</v>
      </c>
      <c r="J28" s="123" t="e">
        <f>IF(I28="","",IF(I28&gt;=0,"Not eligible for this exception",""))</f>
        <v>#N/A</v>
      </c>
      <c r="K28" s="124"/>
      <c r="L28" s="123"/>
      <c r="M28" s="123"/>
      <c r="N28" s="132"/>
      <c r="O28" s="132"/>
      <c r="P28" s="132"/>
      <c r="Q28" s="132"/>
    </row>
    <row r="29" spans="1:19">
      <c r="A29" s="133" t="s">
        <v>79</v>
      </c>
      <c r="B29" s="134" t="e">
        <f>IF(B26="","",IF(B28&lt;=0,ABS(B28/B27),""))</f>
        <v>#N/A</v>
      </c>
      <c r="C29" s="135"/>
      <c r="D29" s="136"/>
      <c r="E29" s="135"/>
      <c r="F29" s="10"/>
      <c r="G29" s="473"/>
      <c r="H29" s="133" t="s">
        <v>79</v>
      </c>
      <c r="I29" s="134" t="e">
        <f>IF(I26="","",IF(I28&lt;=0,ABS(I28/I27),""))</f>
        <v>#N/A</v>
      </c>
      <c r="J29" s="135"/>
      <c r="K29" s="136"/>
      <c r="L29" s="135"/>
      <c r="M29" s="10"/>
      <c r="N29" s="137"/>
      <c r="O29" s="137"/>
      <c r="P29" s="138"/>
      <c r="Q29" s="138"/>
    </row>
    <row r="30" spans="1:19">
      <c r="A30" s="115" t="s">
        <v>71</v>
      </c>
      <c r="B30" s="116" t="s">
        <v>0</v>
      </c>
      <c r="C30" s="116" t="s">
        <v>2</v>
      </c>
      <c r="D30" s="10"/>
      <c r="E30" s="72"/>
      <c r="F30" s="72"/>
      <c r="G30" s="473"/>
      <c r="H30" s="115" t="s">
        <v>71</v>
      </c>
      <c r="I30" s="116" t="s">
        <v>75</v>
      </c>
      <c r="J30" s="116" t="s">
        <v>76</v>
      </c>
      <c r="K30" s="10"/>
      <c r="L30" s="72"/>
      <c r="M30" s="72"/>
      <c r="N30" s="138"/>
      <c r="O30" s="138"/>
    </row>
    <row r="31" spans="1:19">
      <c r="A31" s="139" t="str">
        <f>CONCATENATE("SFY ",'2. Getting Started'!B6+1," Budget")</f>
        <v>SFY 2022 Budget</v>
      </c>
      <c r="B31" s="140">
        <f>IF('8. Year 2 Amounts'!D30="","",'8. Year 2 Amounts'!D30)</f>
        <v>0</v>
      </c>
      <c r="C31" s="140">
        <f>IF('8. Year 2 Amounts'!F30="","",'8. Year 2 Amounts'!F30)</f>
        <v>0</v>
      </c>
      <c r="D31" s="141"/>
      <c r="E31" s="74"/>
      <c r="F31" s="74"/>
      <c r="G31" s="473"/>
      <c r="H31" s="139" t="str">
        <f>CONCATENATE("SFY ",'2. Getting Started'!B6+1," Final Expenditures")</f>
        <v>SFY 2022 Final Expenditures</v>
      </c>
      <c r="I31" s="140">
        <f>IF('8. Year 2 Amounts'!K30="","",'8. Year 2 Amounts'!K30)</f>
        <v>0</v>
      </c>
      <c r="J31" s="140">
        <f>IF('8. Year 2 Amounts'!M30="","",'8. Year 2 Amounts'!M30)</f>
        <v>0</v>
      </c>
      <c r="K31" s="142"/>
      <c r="L31" s="74"/>
      <c r="M31" s="74"/>
    </row>
    <row r="32" spans="1:19">
      <c r="A32" s="117" t="s">
        <v>80</v>
      </c>
      <c r="B32" s="143" t="e">
        <f>IF(OR($B26="",B29="",B31=""),"",($B29*B31))</f>
        <v>#N/A</v>
      </c>
      <c r="C32" s="143" t="e">
        <f>IF(OR($B26="",B29="",C31=""),"",($B29*C31))</f>
        <v>#N/A</v>
      </c>
      <c r="D32" s="142"/>
      <c r="E32" s="118"/>
      <c r="F32" s="118"/>
      <c r="G32" s="473"/>
      <c r="H32" s="117" t="s">
        <v>81</v>
      </c>
      <c r="I32" s="143" t="e">
        <f>IF(OR($I26="",I29="",I31=""),"",($I29*I31))</f>
        <v>#N/A</v>
      </c>
      <c r="J32" s="143" t="e">
        <f>IF(OR($I26="",I29="",J31=""),"",($I29*J31))</f>
        <v>#N/A</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c r="A55" s="167" t="str">
        <f>IF('3b. High Cost Fund'!B5="No","This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Fund'!B5="No","This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Fund'!B5="No","","SEA under §300.704. MUST be explicitly permitted by the SEA.")</f>
        <v>SEA under §300.704. MUST be explicitly permitted by the SEA.</v>
      </c>
      <c r="B56" s="168"/>
      <c r="C56" s="169"/>
      <c r="D56" s="170"/>
      <c r="E56" s="163"/>
      <c r="F56" s="144"/>
      <c r="G56" s="473"/>
      <c r="H56" s="71" t="str">
        <f>IF('3b. High Cost Fund'!B5="No","","SEA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Fund'!$B5="No"),"Invalid entry. This exception is valid only in states with high-cost funds. If your state has a high-cost fund, please indicate that on tab 3b.","")</f>
        <v/>
      </c>
      <c r="D58" s="144"/>
      <c r="E58" s="144"/>
      <c r="F58" s="10"/>
      <c r="G58" s="473"/>
      <c r="H58" s="196"/>
      <c r="I58" s="197"/>
      <c r="J58" s="337" t="str">
        <f>IF(AND(I58&lt;&gt;"",'3b. High Cost Fund'!$B5="No"),"Invalid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3"/>
      <c r="H59" s="196"/>
      <c r="I59" s="197"/>
      <c r="J59" s="144"/>
      <c r="K59" s="10"/>
      <c r="L59" s="10"/>
      <c r="M59" s="10"/>
    </row>
    <row r="60" spans="1:26">
      <c r="A60" s="196"/>
      <c r="B60" s="197"/>
      <c r="C60" s="144"/>
      <c r="D60" s="10"/>
      <c r="E60" s="10"/>
      <c r="F60" s="10"/>
      <c r="G60" s="473"/>
      <c r="H60" s="196"/>
      <c r="I60" s="197"/>
      <c r="J60" s="144"/>
      <c r="K60" s="10"/>
      <c r="L60" s="10"/>
      <c r="M60" s="10"/>
    </row>
    <row r="61" spans="1:26">
      <c r="A61" s="196"/>
      <c r="B61" s="197"/>
      <c r="C61" s="144"/>
      <c r="D61" s="10"/>
      <c r="E61" s="10"/>
      <c r="F61" s="10"/>
      <c r="G61" s="473"/>
      <c r="H61" s="196"/>
      <c r="I61" s="197"/>
      <c r="J61" s="144"/>
      <c r="K61" s="10"/>
      <c r="L61" s="10"/>
      <c r="M61" s="10"/>
    </row>
    <row r="62" spans="1:26">
      <c r="A62" s="196"/>
      <c r="B62" s="197"/>
      <c r="C62" s="144"/>
      <c r="D62" s="10"/>
      <c r="E62" s="10"/>
      <c r="F62" s="10"/>
      <c r="G62" s="473"/>
      <c r="H62" s="196"/>
      <c r="I62" s="197"/>
      <c r="J62" s="144"/>
      <c r="K62" s="10"/>
      <c r="L62" s="10"/>
      <c r="M62" s="10"/>
    </row>
    <row r="63" spans="1:26">
      <c r="A63" s="173" t="s">
        <v>89</v>
      </c>
      <c r="B63" s="174">
        <f>IF('3b. High Cost Fund'!B5="No",0,SUM(B58:B62))</f>
        <v>0</v>
      </c>
      <c r="C63" s="144"/>
      <c r="D63" s="10"/>
      <c r="E63" s="10"/>
      <c r="F63" s="10"/>
      <c r="G63" s="473"/>
      <c r="H63" s="175" t="s">
        <v>90</v>
      </c>
      <c r="I63" s="174">
        <f>IF('3b. High Cost Fund'!B5="No",0,SUM(I58:I62))</f>
        <v>0</v>
      </c>
      <c r="J63" s="144"/>
      <c r="K63" s="10"/>
      <c r="L63" s="10"/>
      <c r="M63" s="10"/>
    </row>
    <row r="64" spans="1:26" ht="16" thickBot="1">
      <c r="A64" s="475" t="s">
        <v>22</v>
      </c>
      <c r="B64" s="475"/>
      <c r="C64" s="144"/>
      <c r="D64" s="10"/>
      <c r="E64" s="10"/>
      <c r="F64" s="10"/>
      <c r="G64" s="473"/>
      <c r="H64" s="475" t="s">
        <v>22</v>
      </c>
      <c r="I64" s="475"/>
      <c r="J64" s="144"/>
      <c r="K64" s="10"/>
      <c r="L64" s="10"/>
      <c r="M64" s="10"/>
    </row>
    <row r="65" spans="1:13">
      <c r="A65" s="347" t="s">
        <v>107</v>
      </c>
      <c r="B65" s="348"/>
      <c r="C65" s="144"/>
      <c r="D65" s="10"/>
      <c r="E65" s="10"/>
      <c r="F65" s="10"/>
      <c r="G65" s="473"/>
      <c r="H65" s="347" t="s">
        <v>106</v>
      </c>
      <c r="I65" s="348"/>
      <c r="J65" s="144"/>
      <c r="K65" s="10"/>
      <c r="L65" s="10"/>
      <c r="M65" s="10"/>
    </row>
    <row r="66" spans="1:13">
      <c r="A66" s="242" t="s">
        <v>123</v>
      </c>
      <c r="B66" s="265" t="s">
        <v>124</v>
      </c>
      <c r="C66" s="144"/>
      <c r="D66" s="10"/>
      <c r="E66" s="10"/>
      <c r="F66" s="10"/>
      <c r="G66" s="473"/>
      <c r="H66" s="269" t="s">
        <v>123</v>
      </c>
      <c r="I66" s="270" t="s">
        <v>124</v>
      </c>
      <c r="J66" s="144"/>
      <c r="K66" s="10"/>
      <c r="L66" s="10"/>
      <c r="M66" s="10"/>
    </row>
    <row r="67" spans="1:13">
      <c r="A67" s="103" t="s">
        <v>0</v>
      </c>
      <c r="B67" s="240" t="e">
        <f>IF(B$28&gt;=0,(F$22+C$43+B$53+B$63),(F$22+C$43+B$53+B$63+B$32))</f>
        <v>#N/A</v>
      </c>
      <c r="C67" s="144"/>
      <c r="D67" s="10"/>
      <c r="E67" s="10"/>
      <c r="F67" s="10"/>
      <c r="G67" s="473"/>
      <c r="H67" s="103" t="s">
        <v>0</v>
      </c>
      <c r="I67" s="240" t="e">
        <f>IF(I$28&gt;=0,(M$22+J$43+I$53+I$63),(M$22+J$43+I$53+I$63+I$32))</f>
        <v>#N/A</v>
      </c>
      <c r="J67" s="144"/>
      <c r="K67" s="10"/>
      <c r="L67" s="10"/>
      <c r="M67" s="10"/>
    </row>
    <row r="68" spans="1:13">
      <c r="A68" s="241" t="s">
        <v>2</v>
      </c>
      <c r="B68" s="174" t="e">
        <f>IF(B$28&gt;=0,(F$22+C$43+B$53+B$63),(F$22+C$43+B$53+B$63+C$32))</f>
        <v>#N/A</v>
      </c>
      <c r="C68" s="144"/>
      <c r="D68" s="10"/>
      <c r="E68" s="10"/>
      <c r="F68" s="10"/>
      <c r="G68" s="473"/>
      <c r="H68" s="241" t="s">
        <v>2</v>
      </c>
      <c r="I68" s="174" t="e">
        <f>IF(I$28&gt;=0,(M$22+J$43+I$53+I$63),(M$22+J$43+I$53+I$63+J$32))</f>
        <v>#N/A</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c r="A71" s="179" t="s">
        <v>71</v>
      </c>
      <c r="B71" s="180" t="s">
        <v>99</v>
      </c>
      <c r="C71" s="11" t="s">
        <v>100</v>
      </c>
      <c r="E71" s="10"/>
      <c r="F71" s="10"/>
      <c r="G71" s="473"/>
      <c r="H71" s="179" t="s">
        <v>71</v>
      </c>
      <c r="I71" s="180" t="s">
        <v>101</v>
      </c>
      <c r="J71" s="11" t="s">
        <v>100</v>
      </c>
      <c r="K71" s="10"/>
      <c r="L71" s="10"/>
      <c r="M71" s="10"/>
    </row>
    <row r="72" spans="1:13">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c r="A74" s="358" t="s">
        <v>182</v>
      </c>
      <c r="B74" s="184"/>
      <c r="C74" s="184"/>
      <c r="D74" s="184"/>
      <c r="E74" s="184"/>
      <c r="F74" s="184"/>
      <c r="G74" s="473"/>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pw5KGpGKCJfk/4bkT8MmIAyHulRcTIM1u/CRIdb3vqZQMttvcU9rV7mHUKHGwXQD7iIxP3o0RVHB6oEf/zhelw==" saltValue="uQ3wFm14Lu73aULFoGKKkw=="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214" priority="2" operator="containsText" text="not valid">
      <formula>NOT(ISERROR(SEARCH("not valid",A55)))</formula>
    </cfRule>
  </conditionalFormatting>
  <conditionalFormatting sqref="H55">
    <cfRule type="containsText" dxfId="213" priority="1" operator="containsText" text="not valid">
      <formula>NOT(ISERROR(SEARCH("not valid",H55)))</formula>
    </cfRule>
  </conditionalFormatting>
  <dataValidations count="1">
    <dataValidation type="list" allowBlank="1" showInputMessage="1" showErrorMessage="1" sqref="B38:B42 I38:I42" xr:uid="{00000000-0002-0000-0D00-000000000000}">
      <formula1>Exception_c</formula1>
    </dataValidation>
  </dataValidations>
  <hyperlinks>
    <hyperlink ref="C72" r:id="rId1" xr:uid="{00000000-0004-0000-0D00-000000000000}"/>
    <hyperlink ref="J72" r:id="rId2" xr:uid="{00000000-0004-0000-0D00-000001000000}"/>
    <hyperlink ref="A74" r:id="rId3" xr:uid="{00000000-0004-0000-0D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pageSetUpPr autoPageBreaks="0"/>
  </sheetPr>
  <dimension ref="A1:N34"/>
  <sheetViews>
    <sheetView showGridLines="0" workbookViewId="0">
      <pane ySplit="4" topLeftCell="A5" activePane="bottomLeft" state="frozen"/>
      <selection activeCell="B2" sqref="B2"/>
      <selection pane="bottomLeft" activeCell="B2" sqref="B2"/>
    </sheetView>
  </sheetViews>
  <sheetFormatPr defaultColWidth="0" defaultRowHeight="15.5"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t="e">
        <f>VLOOKUP('2. Getting Started'!B3,'42. SEA or LEA Worksheet'!A4:Y318,25,0)</f>
        <v>#N/A</v>
      </c>
      <c r="D1" s="21" t="s">
        <v>14</v>
      </c>
      <c r="E1" s="20" t="str">
        <f>IF('2. Getting Started'!B2="","",'2. Getting Started'!B2)</f>
        <v/>
      </c>
      <c r="G1" s="467" t="s">
        <v>22</v>
      </c>
      <c r="H1" s="19" t="s">
        <v>49</v>
      </c>
      <c r="I1" s="48" t="e">
        <f>VLOOKUP('2. Getting Started'!B3,'42. SEA or LEA Worksheet'!A4:Y318,25,0)</f>
        <v>#N/A</v>
      </c>
      <c r="K1" s="21" t="s">
        <v>14</v>
      </c>
      <c r="L1" s="20" t="str">
        <f>IF('2. Getting Started'!B2="","",'2. Getting Started'!B2)</f>
        <v/>
      </c>
    </row>
    <row r="2" spans="1:13" s="25" customFormat="1" ht="37.9" customHeight="1" thickBot="1">
      <c r="A2" s="22" t="str">
        <f>CONCATENATE("Eligibility Standard - State Fiscal Year ",'2. Getting Started'!B6+1," -  LEA Effort - Budgeted Amounts")</f>
        <v>Eligibility Standard - State Fiscal Year 2022 -  LEA Effort - Budgeted Amounts</v>
      </c>
      <c r="B2" s="23"/>
      <c r="C2" s="23"/>
      <c r="D2" s="23"/>
      <c r="E2" s="23"/>
      <c r="F2" s="24"/>
      <c r="G2" s="467"/>
      <c r="H2" s="22" t="str">
        <f>CONCATENATE("Compliance Standard - State Fiscal Year ",'2. Getting Started'!B6+1," - LEA Effort - Final Expenditures")</f>
        <v>Compliance Standard - State Fiscal Year 2022 - LEA Effort - Final Expenditures</v>
      </c>
      <c r="I2" s="23"/>
      <c r="J2" s="23"/>
      <c r="K2" s="23"/>
      <c r="L2" s="23"/>
      <c r="M2" s="24"/>
    </row>
    <row r="3" spans="1:13" s="25" customFormat="1" ht="24" customHeight="1">
      <c r="A3" s="26"/>
      <c r="B3" s="27"/>
      <c r="D3" s="28" t="str">
        <f>CONCATENATE("SFY ",'2. Getting Started'!$B6+1," Budget")</f>
        <v>SFY 2022 Budget</v>
      </c>
      <c r="E3" s="29"/>
      <c r="F3" s="30"/>
      <c r="G3" s="467"/>
      <c r="H3" s="26"/>
      <c r="I3" s="27"/>
      <c r="J3" s="31"/>
      <c r="K3" s="28" t="str">
        <f>CONCATENATE("SFY ",'2. Getting Started'!$B6+1," Final Expenditures")</f>
        <v>SFY 2022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c r="A5" s="49"/>
      <c r="B5" s="50"/>
      <c r="C5" s="51"/>
      <c r="D5" s="52">
        <v>0</v>
      </c>
      <c r="E5" s="52">
        <v>0</v>
      </c>
      <c r="F5" s="38">
        <f>IF(AND(D5="",E5=""),"",SUM(D5:E5))</f>
        <v>0</v>
      </c>
      <c r="G5" s="467"/>
      <c r="H5" s="49"/>
      <c r="I5" s="50"/>
      <c r="J5" s="51"/>
      <c r="K5" s="52">
        <f>IFERROR(VLOOKUP('2. Getting Started'!B3,'42. SEA or LEA Worksheet'!A4:Z318,26,0),0)</f>
        <v>0</v>
      </c>
      <c r="L5" s="52">
        <f>IFERROR(VLOOKUP('2. Getting Started'!B3,'42. SEA or LEA Worksheet'!A4:AA318,27,0),0)</f>
        <v>0</v>
      </c>
      <c r="M5" s="38">
        <f>IF(AND(K5="",L5=""),"",SUM(K5:L5))</f>
        <v>0</v>
      </c>
    </row>
    <row r="6" spans="1:13">
      <c r="A6" s="49"/>
      <c r="B6" s="50"/>
      <c r="C6" s="51"/>
      <c r="D6" s="52"/>
      <c r="E6" s="52"/>
      <c r="F6" s="38" t="str">
        <f t="shared" ref="F6:F29" si="0">IF(AND(D6="",E6=""),"",SUM(D6:E6))</f>
        <v/>
      </c>
      <c r="G6" s="467"/>
      <c r="H6" s="49"/>
      <c r="I6" s="50"/>
      <c r="J6" s="51"/>
      <c r="K6" s="52"/>
      <c r="L6" s="52">
        <f>IFERROR(VLOOKUP('2. Getting Started'!B4,'42. SEA or LEA Worksheet'!A5:AA319,27,0),0)</f>
        <v>0</v>
      </c>
      <c r="M6" s="38">
        <f t="shared" ref="M6:M29" si="1">IF(AND(K6="",L6=""),"",SUM(K6:L6))</f>
        <v>0</v>
      </c>
    </row>
    <row r="7" spans="1:13">
      <c r="A7" s="49"/>
      <c r="B7" s="50"/>
      <c r="C7" s="51"/>
      <c r="D7" s="52"/>
      <c r="E7" s="52"/>
      <c r="F7" s="38" t="str">
        <f t="shared" si="0"/>
        <v/>
      </c>
      <c r="G7" s="467"/>
      <c r="H7" s="49"/>
      <c r="I7" s="50"/>
      <c r="J7" s="51"/>
      <c r="K7" s="52"/>
      <c r="L7" s="52">
        <f>IFERROR(VLOOKUP('2. Getting Started'!B5,'42. SEA or LEA Worksheet'!A6:AA320,27,0),0)</f>
        <v>0</v>
      </c>
      <c r="M7" s="38">
        <f t="shared" si="1"/>
        <v>0</v>
      </c>
    </row>
    <row r="8" spans="1:13">
      <c r="A8" s="49"/>
      <c r="B8" s="50"/>
      <c r="C8" s="51"/>
      <c r="D8" s="52"/>
      <c r="E8" s="52"/>
      <c r="F8" s="38" t="str">
        <f t="shared" si="0"/>
        <v/>
      </c>
      <c r="G8" s="467"/>
      <c r="H8" s="49"/>
      <c r="I8" s="50"/>
      <c r="J8" s="51"/>
      <c r="K8" s="52"/>
      <c r="L8" s="52">
        <f>IFERROR(VLOOKUP('2. Getting Started'!B6,'42. SEA or LEA Worksheet'!A7:AA321,27,0),0)</f>
        <v>0</v>
      </c>
      <c r="M8" s="38">
        <f t="shared" si="1"/>
        <v>0</v>
      </c>
    </row>
    <row r="9" spans="1:13">
      <c r="A9" s="49"/>
      <c r="B9" s="50"/>
      <c r="C9" s="51"/>
      <c r="D9" s="52"/>
      <c r="E9" s="52"/>
      <c r="F9" s="38" t="str">
        <f t="shared" si="0"/>
        <v/>
      </c>
      <c r="G9" s="467"/>
      <c r="H9" s="49"/>
      <c r="I9" s="50"/>
      <c r="J9" s="51"/>
      <c r="K9" s="52"/>
      <c r="L9" s="52">
        <f>IFERROR(VLOOKUP('2. Getting Started'!B7,'42. SEA or LEA Worksheet'!A8:AA322,27,0),0)</f>
        <v>0</v>
      </c>
      <c r="M9" s="38">
        <f t="shared" si="1"/>
        <v>0</v>
      </c>
    </row>
    <row r="10" spans="1:13">
      <c r="A10" s="49"/>
      <c r="B10" s="50"/>
      <c r="C10" s="51"/>
      <c r="D10" s="52"/>
      <c r="E10" s="52"/>
      <c r="F10" s="38" t="str">
        <f t="shared" si="0"/>
        <v/>
      </c>
      <c r="G10" s="467"/>
      <c r="H10" s="49"/>
      <c r="I10" s="50"/>
      <c r="J10" s="51"/>
      <c r="K10" s="52"/>
      <c r="L10" s="52">
        <f>IFERROR(VLOOKUP('2. Getting Started'!B8,'42. SEA or LEA Worksheet'!A9:AA323,27,0),0)</f>
        <v>0</v>
      </c>
      <c r="M10" s="38">
        <f t="shared" si="1"/>
        <v>0</v>
      </c>
    </row>
    <row r="11" spans="1:13">
      <c r="A11" s="49"/>
      <c r="B11" s="50"/>
      <c r="C11" s="51"/>
      <c r="D11" s="52"/>
      <c r="E11" s="52"/>
      <c r="F11" s="38" t="str">
        <f t="shared" si="0"/>
        <v/>
      </c>
      <c r="G11" s="467"/>
      <c r="H11" s="49"/>
      <c r="I11" s="50"/>
      <c r="J11" s="51"/>
      <c r="K11" s="52"/>
      <c r="L11" s="52">
        <f>IFERROR(VLOOKUP('2. Getting Started'!B9,'42. SEA or LEA Worksheet'!A10:AA324,27,0),0)</f>
        <v>0</v>
      </c>
      <c r="M11" s="38">
        <f t="shared" si="1"/>
        <v>0</v>
      </c>
    </row>
    <row r="12" spans="1:13">
      <c r="A12" s="49"/>
      <c r="B12" s="50"/>
      <c r="C12" s="51"/>
      <c r="D12" s="52"/>
      <c r="E12" s="52"/>
      <c r="F12" s="38" t="str">
        <f t="shared" si="0"/>
        <v/>
      </c>
      <c r="G12" s="467"/>
      <c r="H12" s="49"/>
      <c r="I12" s="50"/>
      <c r="J12" s="51"/>
      <c r="K12" s="52"/>
      <c r="L12" s="52">
        <f>IFERROR(VLOOKUP('2. Getting Started'!B10,'42. SEA or LEA Worksheet'!A11:AA325,27,0),0)</f>
        <v>0</v>
      </c>
      <c r="M12" s="38">
        <f t="shared" si="1"/>
        <v>0</v>
      </c>
    </row>
    <row r="13" spans="1:13">
      <c r="A13" s="49"/>
      <c r="B13" s="50"/>
      <c r="C13" s="51"/>
      <c r="D13" s="52"/>
      <c r="E13" s="52"/>
      <c r="F13" s="38" t="str">
        <f t="shared" si="0"/>
        <v/>
      </c>
      <c r="G13" s="467"/>
      <c r="H13" s="49"/>
      <c r="I13" s="50"/>
      <c r="J13" s="51"/>
      <c r="K13" s="52"/>
      <c r="L13" s="52">
        <f>IFERROR(VLOOKUP('2. Getting Started'!B11,'42. SEA or LEA Worksheet'!A12:AA326,27,0),0)</f>
        <v>0</v>
      </c>
      <c r="M13" s="38">
        <f t="shared" si="1"/>
        <v>0</v>
      </c>
    </row>
    <row r="14" spans="1:13">
      <c r="A14" s="49"/>
      <c r="B14" s="50"/>
      <c r="C14" s="51"/>
      <c r="D14" s="52"/>
      <c r="E14" s="52"/>
      <c r="F14" s="38" t="str">
        <f t="shared" si="0"/>
        <v/>
      </c>
      <c r="G14" s="467"/>
      <c r="H14" s="49"/>
      <c r="I14" s="50"/>
      <c r="J14" s="51"/>
      <c r="K14" s="52"/>
      <c r="L14" s="52">
        <f>IFERROR(VLOOKUP('2. Getting Started'!B12,'42. SEA or LEA Worksheet'!A13:AA327,27,0),0)</f>
        <v>0</v>
      </c>
      <c r="M14" s="38">
        <f t="shared" si="1"/>
        <v>0</v>
      </c>
    </row>
    <row r="15" spans="1:13">
      <c r="A15" s="49"/>
      <c r="B15" s="50"/>
      <c r="C15" s="51"/>
      <c r="D15" s="52"/>
      <c r="E15" s="52"/>
      <c r="F15" s="38" t="str">
        <f t="shared" si="0"/>
        <v/>
      </c>
      <c r="G15" s="467"/>
      <c r="H15" s="49"/>
      <c r="I15" s="50"/>
      <c r="J15" s="51"/>
      <c r="K15" s="52"/>
      <c r="L15" s="52">
        <f>IFERROR(VLOOKUP('2. Getting Started'!B13,'42. SEA or LEA Worksheet'!A14:AA328,27,0),0)</f>
        <v>0</v>
      </c>
      <c r="M15" s="38">
        <f t="shared" si="1"/>
        <v>0</v>
      </c>
    </row>
    <row r="16" spans="1:13">
      <c r="A16" s="49"/>
      <c r="B16" s="50"/>
      <c r="C16" s="51"/>
      <c r="D16" s="52"/>
      <c r="E16" s="52"/>
      <c r="F16" s="38" t="str">
        <f t="shared" si="0"/>
        <v/>
      </c>
      <c r="G16" s="467"/>
      <c r="H16" s="49"/>
      <c r="I16" s="50"/>
      <c r="J16" s="51"/>
      <c r="K16" s="52"/>
      <c r="L16" s="52">
        <f>IFERROR(VLOOKUP('2. Getting Started'!B14,'42. SEA or LEA Worksheet'!A15:AA329,27,0),0)</f>
        <v>0</v>
      </c>
      <c r="M16" s="38">
        <f t="shared" si="1"/>
        <v>0</v>
      </c>
    </row>
    <row r="17" spans="1:13">
      <c r="A17" s="49"/>
      <c r="B17" s="50"/>
      <c r="C17" s="51"/>
      <c r="D17" s="52"/>
      <c r="E17" s="52"/>
      <c r="F17" s="38" t="str">
        <f t="shared" si="0"/>
        <v/>
      </c>
      <c r="G17" s="467"/>
      <c r="H17" s="49"/>
      <c r="I17" s="50"/>
      <c r="J17" s="51"/>
      <c r="K17" s="52"/>
      <c r="L17" s="52">
        <f>IFERROR(VLOOKUP('2. Getting Started'!B15,'42. SEA or LEA Worksheet'!A16:AA330,27,0),0)</f>
        <v>0</v>
      </c>
      <c r="M17" s="38">
        <f t="shared" si="1"/>
        <v>0</v>
      </c>
    </row>
    <row r="18" spans="1:13">
      <c r="A18" s="49"/>
      <c r="B18" s="50"/>
      <c r="C18" s="51"/>
      <c r="D18" s="52"/>
      <c r="E18" s="52"/>
      <c r="F18" s="38" t="str">
        <f t="shared" si="0"/>
        <v/>
      </c>
      <c r="G18" s="467"/>
      <c r="H18" s="49"/>
      <c r="I18" s="50"/>
      <c r="J18" s="51"/>
      <c r="K18" s="52"/>
      <c r="L18" s="52">
        <f>IFERROR(VLOOKUP('2. Getting Started'!B16,'42. SEA or LEA Worksheet'!A17:AA331,27,0),0)</f>
        <v>0</v>
      </c>
      <c r="M18" s="38">
        <f t="shared" si="1"/>
        <v>0</v>
      </c>
    </row>
    <row r="19" spans="1:13">
      <c r="A19" s="49"/>
      <c r="B19" s="50"/>
      <c r="C19" s="51"/>
      <c r="D19" s="52"/>
      <c r="E19" s="52"/>
      <c r="F19" s="38" t="str">
        <f t="shared" si="0"/>
        <v/>
      </c>
      <c r="G19" s="467"/>
      <c r="H19" s="49"/>
      <c r="I19" s="50"/>
      <c r="J19" s="51"/>
      <c r="K19" s="52"/>
      <c r="L19" s="52">
        <f>IFERROR(VLOOKUP('2. Getting Started'!B17,'42. SEA or LEA Worksheet'!A18:AA332,27,0),0)</f>
        <v>0</v>
      </c>
      <c r="M19" s="38">
        <f t="shared" si="1"/>
        <v>0</v>
      </c>
    </row>
    <row r="20" spans="1:13">
      <c r="A20" s="49"/>
      <c r="B20" s="50"/>
      <c r="C20" s="51"/>
      <c r="D20" s="52"/>
      <c r="E20" s="52"/>
      <c r="F20" s="38" t="str">
        <f t="shared" si="0"/>
        <v/>
      </c>
      <c r="G20" s="467"/>
      <c r="H20" s="49"/>
      <c r="I20" s="50"/>
      <c r="J20" s="51"/>
      <c r="K20" s="52"/>
      <c r="L20" s="52">
        <f>IFERROR(VLOOKUP('2. Getting Started'!B18,'42. SEA or LEA Worksheet'!A19:AA333,27,0),0)</f>
        <v>0</v>
      </c>
      <c r="M20" s="38">
        <f t="shared" si="1"/>
        <v>0</v>
      </c>
    </row>
    <row r="21" spans="1:13">
      <c r="A21" s="49"/>
      <c r="B21" s="50"/>
      <c r="C21" s="51"/>
      <c r="D21" s="52"/>
      <c r="E21" s="52"/>
      <c r="F21" s="38" t="str">
        <f t="shared" si="0"/>
        <v/>
      </c>
      <c r="G21" s="467"/>
      <c r="H21" s="49"/>
      <c r="I21" s="50"/>
      <c r="J21" s="51"/>
      <c r="K21" s="52"/>
      <c r="L21" s="52">
        <f>IFERROR(VLOOKUP('2. Getting Started'!B19,'42. SEA or LEA Worksheet'!A20:AA334,27,0),0)</f>
        <v>0</v>
      </c>
      <c r="M21" s="38">
        <f t="shared" si="1"/>
        <v>0</v>
      </c>
    </row>
    <row r="22" spans="1:13">
      <c r="A22" s="49"/>
      <c r="B22" s="50"/>
      <c r="C22" s="51"/>
      <c r="D22" s="52"/>
      <c r="E22" s="52"/>
      <c r="F22" s="38" t="str">
        <f t="shared" si="0"/>
        <v/>
      </c>
      <c r="G22" s="467"/>
      <c r="H22" s="49"/>
      <c r="I22" s="50"/>
      <c r="J22" s="51"/>
      <c r="K22" s="52"/>
      <c r="L22" s="52">
        <f>IFERROR(VLOOKUP('2. Getting Started'!B20,'42. SEA or LEA Worksheet'!A21:AA335,27,0),0)</f>
        <v>0</v>
      </c>
      <c r="M22" s="38">
        <f t="shared" si="1"/>
        <v>0</v>
      </c>
    </row>
    <row r="23" spans="1:13">
      <c r="A23" s="49"/>
      <c r="B23" s="50"/>
      <c r="C23" s="51"/>
      <c r="D23" s="52"/>
      <c r="E23" s="52"/>
      <c r="F23" s="38" t="str">
        <f t="shared" si="0"/>
        <v/>
      </c>
      <c r="G23" s="467"/>
      <c r="H23" s="49"/>
      <c r="I23" s="50"/>
      <c r="J23" s="51"/>
      <c r="K23" s="52"/>
      <c r="L23" s="52">
        <f>IFERROR(VLOOKUP('2. Getting Started'!B21,'42. SEA or LEA Worksheet'!A22:AA336,27,0),0)</f>
        <v>0</v>
      </c>
      <c r="M23" s="38">
        <f t="shared" si="1"/>
        <v>0</v>
      </c>
    </row>
    <row r="24" spans="1:13">
      <c r="A24" s="49"/>
      <c r="B24" s="50"/>
      <c r="C24" s="51"/>
      <c r="D24" s="52"/>
      <c r="E24" s="52"/>
      <c r="F24" s="38" t="str">
        <f t="shared" si="0"/>
        <v/>
      </c>
      <c r="G24" s="467"/>
      <c r="H24" s="49"/>
      <c r="I24" s="50"/>
      <c r="J24" s="51"/>
      <c r="K24" s="52"/>
      <c r="L24" s="52">
        <f>IFERROR(VLOOKUP('2. Getting Started'!B22,'42. SEA or LEA Worksheet'!A23:AA337,27,0),0)</f>
        <v>0</v>
      </c>
      <c r="M24" s="38">
        <f t="shared" si="1"/>
        <v>0</v>
      </c>
    </row>
    <row r="25" spans="1:13">
      <c r="A25" s="49"/>
      <c r="B25" s="50"/>
      <c r="C25" s="51"/>
      <c r="D25" s="52"/>
      <c r="E25" s="52"/>
      <c r="F25" s="38" t="str">
        <f t="shared" si="0"/>
        <v/>
      </c>
      <c r="G25" s="467"/>
      <c r="H25" s="49"/>
      <c r="I25" s="50"/>
      <c r="J25" s="51"/>
      <c r="K25" s="52"/>
      <c r="L25" s="52">
        <f>IFERROR(VLOOKUP('2. Getting Started'!B23,'42. SEA or LEA Worksheet'!A24:AA338,27,0),0)</f>
        <v>0</v>
      </c>
      <c r="M25" s="38">
        <f t="shared" si="1"/>
        <v>0</v>
      </c>
    </row>
    <row r="26" spans="1:13">
      <c r="A26" s="49"/>
      <c r="B26" s="50"/>
      <c r="C26" s="51"/>
      <c r="D26" s="52"/>
      <c r="E26" s="52"/>
      <c r="F26" s="38" t="str">
        <f t="shared" si="0"/>
        <v/>
      </c>
      <c r="G26" s="467"/>
      <c r="H26" s="49"/>
      <c r="I26" s="50"/>
      <c r="J26" s="51"/>
      <c r="K26" s="52"/>
      <c r="L26" s="52">
        <f>IFERROR(VLOOKUP('2. Getting Started'!B24,'42. SEA or LEA Worksheet'!A25:AA339,27,0),0)</f>
        <v>0</v>
      </c>
      <c r="M26" s="38">
        <f t="shared" si="1"/>
        <v>0</v>
      </c>
    </row>
    <row r="27" spans="1:13">
      <c r="A27" s="49"/>
      <c r="B27" s="50"/>
      <c r="C27" s="51"/>
      <c r="D27" s="52"/>
      <c r="E27" s="52"/>
      <c r="F27" s="38" t="str">
        <f t="shared" si="0"/>
        <v/>
      </c>
      <c r="G27" s="467"/>
      <c r="H27" s="49"/>
      <c r="I27" s="50"/>
      <c r="J27" s="51"/>
      <c r="K27" s="52"/>
      <c r="L27" s="52">
        <f>IFERROR(VLOOKUP('2. Getting Started'!B25,'42. SEA or LEA Worksheet'!A26:AA340,27,0),0)</f>
        <v>0</v>
      </c>
      <c r="M27" s="38">
        <f t="shared" si="1"/>
        <v>0</v>
      </c>
    </row>
    <row r="28" spans="1:13">
      <c r="A28" s="49"/>
      <c r="B28" s="50"/>
      <c r="C28" s="51"/>
      <c r="D28" s="52"/>
      <c r="E28" s="52"/>
      <c r="F28" s="38" t="str">
        <f t="shared" si="0"/>
        <v/>
      </c>
      <c r="G28" s="467"/>
      <c r="H28" s="49"/>
      <c r="I28" s="50"/>
      <c r="J28" s="51"/>
      <c r="K28" s="52"/>
      <c r="L28" s="52">
        <f>IFERROR(VLOOKUP('2. Getting Started'!B26,'42. SEA or LEA Worksheet'!A27:AA341,27,0),0)</f>
        <v>0</v>
      </c>
      <c r="M28" s="38">
        <f t="shared" si="1"/>
        <v>0</v>
      </c>
    </row>
    <row r="29" spans="1:13" ht="16" thickBot="1">
      <c r="A29" s="53"/>
      <c r="B29" s="54"/>
      <c r="C29" s="55"/>
      <c r="D29" s="56"/>
      <c r="E29" s="56"/>
      <c r="F29" s="38" t="str">
        <f t="shared" si="0"/>
        <v/>
      </c>
      <c r="G29" s="467"/>
      <c r="H29" s="53"/>
      <c r="I29" s="54"/>
      <c r="J29" s="55"/>
      <c r="K29" s="56"/>
      <c r="L29" s="56">
        <f>IFERROR(VLOOKUP('2. Getting Started'!B27,'42. SEA or LEA Worksheet'!A28:AA342,27,0),0)</f>
        <v>0</v>
      </c>
      <c r="M29" s="38">
        <f t="shared" si="1"/>
        <v>0</v>
      </c>
    </row>
    <row r="30" spans="1:13" ht="19" thickBot="1">
      <c r="A30" s="39"/>
      <c r="B30" s="40"/>
      <c r="C30" s="41" t="s">
        <v>56</v>
      </c>
      <c r="D30" s="42">
        <f>IF(AND(D5="",D6="",D7="",D8="",D9="",D10="",D11="",D12="",D13="",D14="",D15="",D16="",D17="",D18="",D19="",D20="",D21="",D22="",D23="",D24="",D25="",D26="",D27="",D28="",D29=""),"",SUM(D5:D29))</f>
        <v>0</v>
      </c>
      <c r="E30" s="43"/>
      <c r="F30" s="42">
        <f>IF(AND(F5="",F6="",F7="",F8="",F9="",F10="",F11="",F12="",F13="",F14="",F15="",F16="",F17="",F18="",F19="",F20="",F21="",F22="",F23="",F24="",F25="",F26="",F27="",F28="",F29=""),"",SUM(F5:F29))</f>
        <v>0</v>
      </c>
      <c r="G30" s="467"/>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 thickBot="1">
      <c r="A31" s="39"/>
      <c r="B31" s="39"/>
      <c r="C31" s="44" t="s">
        <v>57</v>
      </c>
      <c r="D31" s="42" t="e">
        <f>IF(OR($B1="",D30=""),"",(D30/$B1))</f>
        <v>#N/A</v>
      </c>
      <c r="E31" s="39"/>
      <c r="F31" s="42" t="e">
        <f>IF(OR($B1="",F30=""),"",(F30/$B1))</f>
        <v>#N/A</v>
      </c>
      <c r="G31" s="467"/>
      <c r="H31" s="39"/>
      <c r="I31" s="39"/>
      <c r="J31" s="44" t="s">
        <v>57</v>
      </c>
      <c r="K31" s="42" t="e">
        <f>IF(OR($I1="",K30=""),"",(K30/$I1))</f>
        <v>#N/A</v>
      </c>
      <c r="L31" s="39"/>
      <c r="M31" s="42" t="e">
        <f>IF(OR($I1="",M30=""),"",(M30/$I1))</f>
        <v>#N/A</v>
      </c>
    </row>
    <row r="32" spans="1:13" s="25" customFormat="1" ht="18.5">
      <c r="A32" s="345" t="s">
        <v>183</v>
      </c>
      <c r="B32" s="45"/>
      <c r="C32" s="45"/>
      <c r="D32" s="45"/>
      <c r="E32" s="45"/>
      <c r="F32" s="45"/>
      <c r="G32" s="45"/>
      <c r="H32" s="45"/>
      <c r="I32" s="45"/>
      <c r="J32" s="45"/>
      <c r="K32" s="45"/>
      <c r="L32" s="45"/>
      <c r="M32" s="45"/>
    </row>
    <row r="33" spans="1:13" s="47" customFormat="1">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sheetData>
  <sheetProtection algorithmName="SHA-512" hashValue="Mq2UZGip0P4LBf4u8mHJfSebKdHadLKMrPJ0Czpt7/dyF1a4iGwkhFoa6WY27rn6FZIYwk3KQD4HNDSZ7jG1gw==" saltValue="TEgk09RFmo3I8Q6OitG/p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900-000000000000}"/>
    <dataValidation allowBlank="1" showInputMessage="1" showErrorMessage="1" prompt="Don't forget to enter Child Count in Cell I1." sqref="H5" xr:uid="{00000000-0002-0000-0900-000001000000}"/>
  </dataValidations>
  <hyperlinks>
    <hyperlink ref="A33" r:id="rId1" xr:uid="{00000000-0004-0000-0900-000000000000}"/>
  </hyperlinks>
  <pageMargins left="0.75" right="0.75" top="1" bottom="1" header="0.5" footer="0.5"/>
  <pageSetup orientation="portrait" horizontalDpi="4294967292" verticalDpi="4294967292"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5"/>
    <pageSetUpPr autoPageBreaks="0"/>
  </sheetPr>
  <dimension ref="A1:AB75"/>
  <sheetViews>
    <sheetView showGridLines="0" zoomScale="90" zoomScaleNormal="90" zoomScalePageLayoutView="90" workbookViewId="0">
      <pane ySplit="3" topLeftCell="A8" activePane="bottomLeft" state="frozen"/>
      <selection activeCell="B2" sqref="B2"/>
      <selection pane="bottomLeft" activeCell="B2" sqref="B2"/>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174</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Started'!B6+1," Budget")</f>
        <v>Eligibility Standard -- Exceptions to MOE as Permitted by 34 CFR §300.204 and Adjustment to MOE as Permitted by 34 CFR §300.205 -- Projections for State Fiscal Year 2022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Started'!B6+1)</f>
        <v>Compliance Standard -- Exceptions to MOE as Permitted by 34 CFR §300.204 and Adjustment to MOE as Permitted by 34 CFR §300.205 -- Final Expenditures for  State Fiscal Year 2022</v>
      </c>
      <c r="I3" s="61"/>
      <c r="J3" s="61"/>
      <c r="K3" s="61"/>
      <c r="L3" s="61"/>
      <c r="M3" s="62"/>
      <c r="O3" s="64"/>
      <c r="P3" s="64"/>
      <c r="Q3" s="64"/>
      <c r="R3" s="64"/>
      <c r="S3" s="64"/>
      <c r="T3" s="64"/>
    </row>
    <row r="4" spans="1:20">
      <c r="A4" s="65" t="s">
        <v>59</v>
      </c>
      <c r="B4" s="66"/>
      <c r="C4" s="67"/>
      <c r="D4" s="67"/>
      <c r="E4" s="67"/>
      <c r="F4" s="68"/>
      <c r="G4" s="473"/>
      <c r="H4" s="65" t="s">
        <v>59</v>
      </c>
      <c r="I4" s="66"/>
      <c r="J4" s="67"/>
      <c r="K4" s="67"/>
      <c r="L4" s="67"/>
      <c r="M4" s="68"/>
      <c r="N4" s="70"/>
      <c r="O4" s="70"/>
      <c r="P4" s="70"/>
      <c r="Q4" s="70"/>
      <c r="R4" s="70"/>
      <c r="S4" s="70"/>
    </row>
    <row r="5" spans="1:20">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c r="A8" s="186"/>
      <c r="B8" s="187"/>
      <c r="C8" s="187"/>
      <c r="D8" s="188"/>
      <c r="E8" s="188"/>
      <c r="F8" s="84">
        <f>D8+E8</f>
        <v>0</v>
      </c>
      <c r="G8" s="473"/>
      <c r="H8" s="186"/>
      <c r="I8" s="187"/>
      <c r="J8" s="187"/>
      <c r="K8" s="188"/>
      <c r="L8" s="188"/>
      <c r="M8" s="84">
        <f>K8+L8</f>
        <v>0</v>
      </c>
      <c r="N8" s="85"/>
      <c r="O8" s="85"/>
    </row>
    <row r="9" spans="1:20">
      <c r="A9" s="186"/>
      <c r="B9" s="187"/>
      <c r="C9" s="187"/>
      <c r="D9" s="188"/>
      <c r="E9" s="188"/>
      <c r="F9" s="84">
        <f>D9+E9</f>
        <v>0</v>
      </c>
      <c r="G9" s="473"/>
      <c r="H9" s="186"/>
      <c r="I9" s="187"/>
      <c r="J9" s="187"/>
      <c r="K9" s="188"/>
      <c r="L9" s="188"/>
      <c r="M9" s="84">
        <f>K9+L9</f>
        <v>0</v>
      </c>
      <c r="N9" s="85"/>
      <c r="O9" s="85"/>
    </row>
    <row r="10" spans="1:20">
      <c r="A10" s="186"/>
      <c r="B10" s="187"/>
      <c r="C10" s="187"/>
      <c r="D10" s="188"/>
      <c r="E10" s="188"/>
      <c r="F10" s="84">
        <f>D10+E10</f>
        <v>0</v>
      </c>
      <c r="G10" s="473"/>
      <c r="H10" s="186"/>
      <c r="I10" s="187"/>
      <c r="J10" s="187"/>
      <c r="K10" s="188"/>
      <c r="L10" s="188"/>
      <c r="M10" s="84">
        <f>K10+L10</f>
        <v>0</v>
      </c>
      <c r="N10" s="85"/>
      <c r="O10" s="85"/>
    </row>
    <row r="11" spans="1:20">
      <c r="A11" s="186"/>
      <c r="B11" s="187"/>
      <c r="C11" s="187"/>
      <c r="D11" s="188"/>
      <c r="E11" s="188"/>
      <c r="F11" s="84">
        <f>D11+E11</f>
        <v>0</v>
      </c>
      <c r="G11" s="473"/>
      <c r="H11" s="186"/>
      <c r="I11" s="187"/>
      <c r="J11" s="187"/>
      <c r="K11" s="188"/>
      <c r="L11" s="188"/>
      <c r="M11" s="84">
        <f>K11+L11</f>
        <v>0</v>
      </c>
      <c r="N11" s="85"/>
      <c r="O11" s="85"/>
    </row>
    <row r="12" spans="1:20">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3"/>
      <c r="H16" s="189"/>
      <c r="I16" s="190"/>
      <c r="J16" s="100"/>
      <c r="K16" s="188"/>
      <c r="L16" s="188"/>
      <c r="M16" s="84">
        <f t="shared" ref="M16:M20" si="3">K16+L16</f>
        <v>0</v>
      </c>
      <c r="N16" s="85"/>
      <c r="O16" s="85"/>
    </row>
    <row r="17" spans="1:19">
      <c r="A17" s="189"/>
      <c r="B17" s="190"/>
      <c r="C17" s="100"/>
      <c r="D17" s="188"/>
      <c r="E17" s="188"/>
      <c r="F17" s="84">
        <f t="shared" si="2"/>
        <v>0</v>
      </c>
      <c r="G17" s="473"/>
      <c r="H17" s="189"/>
      <c r="I17" s="190"/>
      <c r="J17" s="100"/>
      <c r="K17" s="188"/>
      <c r="L17" s="188"/>
      <c r="M17" s="84">
        <f t="shared" si="3"/>
        <v>0</v>
      </c>
      <c r="N17" s="85"/>
      <c r="O17" s="85"/>
    </row>
    <row r="18" spans="1:19">
      <c r="A18" s="189"/>
      <c r="B18" s="190"/>
      <c r="C18" s="100"/>
      <c r="D18" s="188"/>
      <c r="E18" s="188"/>
      <c r="F18" s="84">
        <f t="shared" si="2"/>
        <v>0</v>
      </c>
      <c r="G18" s="473"/>
      <c r="H18" s="189"/>
      <c r="I18" s="190"/>
      <c r="J18" s="100"/>
      <c r="K18" s="188"/>
      <c r="L18" s="188"/>
      <c r="M18" s="84">
        <f t="shared" si="3"/>
        <v>0</v>
      </c>
      <c r="N18" s="85"/>
      <c r="O18" s="85"/>
    </row>
    <row r="19" spans="1:19">
      <c r="A19" s="189"/>
      <c r="B19" s="190"/>
      <c r="C19" s="100"/>
      <c r="D19" s="188"/>
      <c r="E19" s="188"/>
      <c r="F19" s="84">
        <f t="shared" si="2"/>
        <v>0</v>
      </c>
      <c r="G19" s="473"/>
      <c r="H19" s="189"/>
      <c r="I19" s="190"/>
      <c r="J19" s="100"/>
      <c r="K19" s="188"/>
      <c r="L19" s="188"/>
      <c r="M19" s="84">
        <f t="shared" si="3"/>
        <v>0</v>
      </c>
      <c r="N19" s="85"/>
      <c r="O19" s="85"/>
    </row>
    <row r="20" spans="1:19">
      <c r="A20" s="189"/>
      <c r="B20" s="190"/>
      <c r="C20" s="100"/>
      <c r="D20" s="188"/>
      <c r="E20" s="188"/>
      <c r="F20" s="84">
        <f t="shared" si="2"/>
        <v>0</v>
      </c>
      <c r="G20" s="473"/>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c r="A24" s="112" t="s">
        <v>105</v>
      </c>
      <c r="B24" s="113"/>
      <c r="C24" s="113"/>
      <c r="D24" s="63"/>
      <c r="E24" s="120"/>
      <c r="F24" s="120"/>
      <c r="G24" s="473"/>
      <c r="H24" s="112" t="s">
        <v>105</v>
      </c>
      <c r="I24" s="113"/>
      <c r="J24" s="113"/>
      <c r="K24" s="63"/>
      <c r="L24" s="120"/>
      <c r="M24" s="120"/>
      <c r="N24" s="119"/>
      <c r="O24" s="119"/>
      <c r="P24" s="119"/>
      <c r="Q24" s="119"/>
    </row>
    <row r="25" spans="1:19">
      <c r="A25" s="121" t="s">
        <v>71</v>
      </c>
      <c r="B25" s="122" t="s">
        <v>77</v>
      </c>
      <c r="C25" s="123"/>
      <c r="D25" s="124"/>
      <c r="E25" s="123"/>
      <c r="F25" s="123"/>
      <c r="G25" s="473"/>
      <c r="H25" s="121" t="s">
        <v>71</v>
      </c>
      <c r="I25" s="122" t="s">
        <v>77</v>
      </c>
      <c r="J25" s="123"/>
      <c r="K25" s="124"/>
      <c r="L25" s="123"/>
      <c r="M25" s="123"/>
      <c r="N25" s="119"/>
      <c r="O25" s="119"/>
      <c r="P25" s="119"/>
      <c r="Q25" s="119"/>
    </row>
    <row r="26" spans="1:19">
      <c r="A26" s="125" t="str">
        <f>CONCATENATE("SFY ",'2. Getting Started'!B6+1," Projected Child Count")</f>
        <v>SFY 2022 Projected Child Count</v>
      </c>
      <c r="B26" s="126" t="e">
        <f>IF('8. Year 2 Amounts'!B1="","",'8. Year 2 Amounts'!B1)</f>
        <v>#N/A</v>
      </c>
      <c r="C26" s="123"/>
      <c r="D26" s="124"/>
      <c r="E26" s="123"/>
      <c r="F26" s="123"/>
      <c r="G26" s="473"/>
      <c r="H26" s="125" t="str">
        <f>CONCATENATE("SFY ",'2. Getting Started'!B6+1," Child Count")</f>
        <v>SFY 2022 Child Count</v>
      </c>
      <c r="I26" s="126" t="e">
        <f>IF('8. Year 2 Amounts'!I1="","",'8. Year 2 Amounts'!I1)</f>
        <v>#N/A</v>
      </c>
      <c r="J26" s="123"/>
      <c r="K26" s="124"/>
      <c r="L26" s="123"/>
      <c r="M26" s="123"/>
      <c r="N26" s="119"/>
      <c r="O26" s="119"/>
      <c r="P26" s="119"/>
      <c r="Q26" s="119"/>
    </row>
    <row r="27" spans="1:19">
      <c r="A27" s="125" t="str">
        <f>CONCATENATE("SFY ",'2. Getting Started'!B6," Projected Child Count")</f>
        <v>SFY 2021 Projected Child Count</v>
      </c>
      <c r="B27" s="126">
        <f>IF('5. Year 1 Amounts'!B1="","",'5. Year 1 Amounts'!B1)</f>
        <v>0</v>
      </c>
      <c r="C27" s="119"/>
      <c r="D27" s="128"/>
      <c r="E27" s="119"/>
      <c r="F27" s="123"/>
      <c r="G27" s="473"/>
      <c r="H27" s="125" t="str">
        <f>CONCATENATE("SFY ",'2. Getting Started'!B6," Child Count")</f>
        <v>SFY 2021 Child Count</v>
      </c>
      <c r="I27" s="126">
        <f>IF('5. Year 1 Amounts'!I1="","",'5. Year 1 Amounts'!I1)</f>
        <v>0</v>
      </c>
      <c r="J27" s="119"/>
      <c r="K27" s="128"/>
      <c r="L27" s="119"/>
      <c r="M27" s="123"/>
      <c r="N27" s="129"/>
      <c r="O27" s="129"/>
      <c r="P27" s="129"/>
      <c r="Q27" s="129"/>
    </row>
    <row r="28" spans="1:19">
      <c r="A28" s="127" t="s">
        <v>78</v>
      </c>
      <c r="B28" s="130" t="e">
        <f>IF(B26="","",B26-B27)</f>
        <v>#N/A</v>
      </c>
      <c r="C28" s="123" t="e">
        <f>IF(B28="","",IF(B28&gt;=0,"Not eligible for this exception",""))</f>
        <v>#N/A</v>
      </c>
      <c r="D28" s="124"/>
      <c r="E28" s="123"/>
      <c r="F28" s="123"/>
      <c r="G28" s="473"/>
      <c r="H28" s="127" t="s">
        <v>78</v>
      </c>
      <c r="I28" s="130" t="e">
        <f>IF(I26="","",I26-I27)</f>
        <v>#N/A</v>
      </c>
      <c r="J28" s="123" t="e">
        <f>IF(I28="","",IF(I28&gt;=0,"Not eligible for this exception",""))</f>
        <v>#N/A</v>
      </c>
      <c r="K28" s="124"/>
      <c r="L28" s="123"/>
      <c r="M28" s="123"/>
      <c r="N28" s="132"/>
      <c r="O28" s="132"/>
      <c r="P28" s="132"/>
      <c r="Q28" s="132"/>
    </row>
    <row r="29" spans="1:19">
      <c r="A29" s="133" t="s">
        <v>79</v>
      </c>
      <c r="B29" s="134" t="e">
        <f>IF(B26="","",IF(B28&lt;=0,ABS(B28/B27),""))</f>
        <v>#N/A</v>
      </c>
      <c r="C29" s="135"/>
      <c r="D29" s="136"/>
      <c r="E29" s="135"/>
      <c r="F29" s="10"/>
      <c r="G29" s="473"/>
      <c r="H29" s="133" t="s">
        <v>79</v>
      </c>
      <c r="I29" s="134" t="e">
        <f>IF(I26="","",IF(I28&lt;=0,ABS(I28/I27),""))</f>
        <v>#N/A</v>
      </c>
      <c r="J29" s="135"/>
      <c r="K29" s="136"/>
      <c r="L29" s="135"/>
      <c r="M29" s="10"/>
      <c r="N29" s="137"/>
      <c r="O29" s="137"/>
      <c r="P29" s="138"/>
      <c r="Q29" s="138"/>
    </row>
    <row r="30" spans="1:19">
      <c r="A30" s="115" t="s">
        <v>71</v>
      </c>
      <c r="B30" s="116" t="s">
        <v>0</v>
      </c>
      <c r="C30" s="116" t="s">
        <v>2</v>
      </c>
      <c r="D30" s="10"/>
      <c r="E30" s="72"/>
      <c r="F30" s="72"/>
      <c r="G30" s="473"/>
      <c r="H30" s="115" t="s">
        <v>71</v>
      </c>
      <c r="I30" s="116" t="s">
        <v>75</v>
      </c>
      <c r="J30" s="116" t="s">
        <v>76</v>
      </c>
      <c r="K30" s="10"/>
      <c r="L30" s="72"/>
      <c r="M30" s="72"/>
      <c r="N30" s="138"/>
      <c r="O30" s="138"/>
    </row>
    <row r="31" spans="1:19">
      <c r="A31" s="139" t="str">
        <f>CONCATENATE("SFY ",'2. Getting Started'!B6," Budget")</f>
        <v>SFY 2021 Budget</v>
      </c>
      <c r="B31" s="140">
        <f>IF('5. Year 1 Amounts'!D30="","",'5. Year 1 Amounts'!D30)</f>
        <v>0</v>
      </c>
      <c r="C31" s="140">
        <f>IF('5. Year 1 Amounts'!F30="","",'5. Year 1 Amounts'!F30)</f>
        <v>0</v>
      </c>
      <c r="D31" s="141"/>
      <c r="E31" s="74"/>
      <c r="F31" s="74"/>
      <c r="G31" s="473"/>
      <c r="H31" s="139" t="str">
        <f>CONCATENATE("SFY ",'2. Getting Started'!B6," Final Expenditures")</f>
        <v>SFY 2021 Final Expenditures</v>
      </c>
      <c r="I31" s="140">
        <f>IF('5. Year 1 Amounts'!K30="","",'5. Year 1 Amounts'!K30)</f>
        <v>0</v>
      </c>
      <c r="J31" s="140">
        <f>IF('5. Year 1 Amounts'!M30="","",'5. Year 1 Amounts'!M30)</f>
        <v>0</v>
      </c>
      <c r="K31" s="142"/>
      <c r="L31" s="74"/>
      <c r="M31" s="74"/>
    </row>
    <row r="32" spans="1:19">
      <c r="A32" s="117" t="s">
        <v>80</v>
      </c>
      <c r="B32" s="143" t="e">
        <f>IF(OR($B26="",B29="",B31=""),"",($B29*B31))</f>
        <v>#N/A</v>
      </c>
      <c r="C32" s="143" t="e">
        <f>IF(OR($B26="",B29="",C31=""),"",($B29*C31))</f>
        <v>#N/A</v>
      </c>
      <c r="D32" s="142"/>
      <c r="E32" s="118"/>
      <c r="F32" s="118"/>
      <c r="G32" s="473"/>
      <c r="H32" s="117" t="s">
        <v>81</v>
      </c>
      <c r="I32" s="143" t="e">
        <f>IF(OR($I26="",I29="",I31=""),"",($I29*I31))</f>
        <v>#N/A</v>
      </c>
      <c r="J32" s="143" t="e">
        <f>IF(OR($I26="",I29="",J31=""),"",($I29*J31))</f>
        <v>#N/A</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c r="A55" s="167" t="str">
        <f>IF('3b. High Cost Fund'!B4="No","This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Fund'!B4="No","This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Fund'!B4="No","","SEA under §300.704. MUST be explicitly permitted by the SEA.")</f>
        <v>SEA under §300.704. MUST be explicitly permitted by the SEA.</v>
      </c>
      <c r="B56" s="168"/>
      <c r="C56" s="169"/>
      <c r="D56" s="170"/>
      <c r="E56" s="163"/>
      <c r="F56" s="144"/>
      <c r="G56" s="473"/>
      <c r="H56" s="71" t="str">
        <f>IF('3b. High Cost Fund'!B4="No","","SEA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Fund'!$B4="No"),"Invalid entry. This exception is valid only in states with high-cost funds. If your state has a high-cost fund, please indicate that on tab 3b.","")</f>
        <v/>
      </c>
      <c r="D58" s="144"/>
      <c r="E58" s="144"/>
      <c r="F58" s="10"/>
      <c r="G58" s="473"/>
      <c r="H58" s="196"/>
      <c r="I58" s="197"/>
      <c r="J58" s="337" t="str">
        <f>IF(AND(I58&lt;&gt;"",'3b. High Cost Fund'!$B4="No"),"Invalid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3"/>
      <c r="H59" s="196"/>
      <c r="I59" s="197"/>
      <c r="J59" s="144"/>
      <c r="K59" s="10"/>
      <c r="L59" s="10"/>
      <c r="M59" s="10"/>
    </row>
    <row r="60" spans="1:26">
      <c r="A60" s="196"/>
      <c r="B60" s="197"/>
      <c r="C60" s="144"/>
      <c r="D60" s="10"/>
      <c r="E60" s="10"/>
      <c r="F60" s="10"/>
      <c r="G60" s="473"/>
      <c r="H60" s="196"/>
      <c r="I60" s="197"/>
      <c r="J60" s="144"/>
      <c r="K60" s="10"/>
      <c r="L60" s="10"/>
      <c r="M60" s="10"/>
    </row>
    <row r="61" spans="1:26">
      <c r="A61" s="196"/>
      <c r="B61" s="197"/>
      <c r="C61" s="144"/>
      <c r="D61" s="10"/>
      <c r="E61" s="10"/>
      <c r="F61" s="10"/>
      <c r="G61" s="473"/>
      <c r="H61" s="196"/>
      <c r="I61" s="197"/>
      <c r="J61" s="144"/>
      <c r="K61" s="10"/>
      <c r="L61" s="10"/>
      <c r="M61" s="10"/>
    </row>
    <row r="62" spans="1:26">
      <c r="A62" s="196"/>
      <c r="B62" s="197"/>
      <c r="C62" s="144"/>
      <c r="D62" s="10"/>
      <c r="E62" s="10"/>
      <c r="F62" s="10"/>
      <c r="G62" s="473"/>
      <c r="H62" s="196"/>
      <c r="I62" s="197"/>
      <c r="J62" s="144"/>
      <c r="K62" s="10"/>
      <c r="L62" s="10"/>
      <c r="M62" s="10"/>
    </row>
    <row r="63" spans="1:26">
      <c r="A63" s="173" t="s">
        <v>89</v>
      </c>
      <c r="B63" s="174">
        <f>IF('3b. High Cost Fund'!B4="No",0,SUM(B58:B62))</f>
        <v>0</v>
      </c>
      <c r="C63" s="144"/>
      <c r="D63" s="10"/>
      <c r="E63" s="10"/>
      <c r="F63" s="10"/>
      <c r="G63" s="473"/>
      <c r="H63" s="175" t="s">
        <v>90</v>
      </c>
      <c r="I63" s="174">
        <f>IF('3b. High Cost Fund'!B4="No",0,SUM(I58:I62))</f>
        <v>0</v>
      </c>
      <c r="J63" s="144"/>
      <c r="K63" s="10"/>
      <c r="L63" s="10"/>
      <c r="M63" s="10"/>
    </row>
    <row r="64" spans="1:26" ht="16" thickBot="1">
      <c r="A64" s="70"/>
      <c r="B64" s="200"/>
      <c r="C64" s="144"/>
      <c r="D64" s="10"/>
      <c r="E64" s="10"/>
      <c r="F64" s="10"/>
      <c r="G64" s="473"/>
      <c r="H64" s="163"/>
      <c r="I64" s="200"/>
      <c r="J64" s="144"/>
      <c r="K64" s="10"/>
      <c r="L64" s="10"/>
      <c r="M64" s="10"/>
    </row>
    <row r="65" spans="1:13">
      <c r="A65" s="347" t="s">
        <v>107</v>
      </c>
      <c r="B65" s="348"/>
      <c r="C65" s="144"/>
      <c r="D65" s="10"/>
      <c r="E65" s="10"/>
      <c r="F65" s="10"/>
      <c r="G65" s="473"/>
      <c r="H65" s="349" t="s">
        <v>106</v>
      </c>
      <c r="I65" s="350"/>
      <c r="J65" s="144"/>
      <c r="K65" s="10"/>
      <c r="L65" s="10"/>
      <c r="M65" s="10"/>
    </row>
    <row r="66" spans="1:13">
      <c r="A66" s="242" t="s">
        <v>123</v>
      </c>
      <c r="B66" s="265" t="s">
        <v>124</v>
      </c>
      <c r="C66" s="144"/>
      <c r="D66" s="10"/>
      <c r="E66" s="10"/>
      <c r="F66" s="10"/>
      <c r="G66" s="473"/>
      <c r="H66" s="269" t="s">
        <v>123</v>
      </c>
      <c r="I66" s="270" t="s">
        <v>124</v>
      </c>
      <c r="J66" s="144"/>
      <c r="K66" s="10"/>
      <c r="L66" s="10"/>
      <c r="M66" s="10"/>
    </row>
    <row r="67" spans="1:13">
      <c r="A67" s="103" t="s">
        <v>0</v>
      </c>
      <c r="B67" s="240" t="e">
        <f>IF(B$28&gt;=0,(F$22+C$43+B$53+B$63),(F$22+C$43+B$53+B$63+B$32))</f>
        <v>#N/A</v>
      </c>
      <c r="C67" s="144"/>
      <c r="D67" s="10"/>
      <c r="E67" s="10"/>
      <c r="F67" s="10"/>
      <c r="G67" s="473"/>
      <c r="H67" s="103" t="s">
        <v>0</v>
      </c>
      <c r="I67" s="240" t="e">
        <f>IF(I$28&gt;=0,(M$22+J$43+I$53+I$63),(M$22+J$43+I$53+I$63+I$32))</f>
        <v>#N/A</v>
      </c>
      <c r="J67" s="144"/>
      <c r="K67" s="10"/>
      <c r="L67" s="10"/>
      <c r="M67" s="10"/>
    </row>
    <row r="68" spans="1:13">
      <c r="A68" s="241" t="s">
        <v>2</v>
      </c>
      <c r="B68" s="174" t="e">
        <f>IF(B$28&gt;=0,(F$22+C$43+B$53+B$63),(F$22+C$43+B$53+B$63+C$32))</f>
        <v>#N/A</v>
      </c>
      <c r="C68" s="144"/>
      <c r="D68" s="10"/>
      <c r="E68" s="10"/>
      <c r="F68" s="10"/>
      <c r="G68" s="473"/>
      <c r="H68" s="241" t="s">
        <v>2</v>
      </c>
      <c r="I68" s="174" t="e">
        <f>IF(I$28&gt;=0,(M$22+J$43+I$53+I$63),(M$22+J$43+I$53+I$63+J$32))</f>
        <v>#N/A</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c r="A71" s="179" t="s">
        <v>71</v>
      </c>
      <c r="B71" s="180" t="s">
        <v>99</v>
      </c>
      <c r="C71" s="11" t="s">
        <v>100</v>
      </c>
      <c r="E71" s="10"/>
      <c r="F71" s="10"/>
      <c r="G71" s="473"/>
      <c r="H71" s="179" t="s">
        <v>71</v>
      </c>
      <c r="I71" s="180" t="s">
        <v>101</v>
      </c>
      <c r="J71" s="11" t="s">
        <v>100</v>
      </c>
      <c r="K71" s="10"/>
      <c r="L71" s="10"/>
      <c r="M71" s="10"/>
    </row>
    <row r="72" spans="1:13">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c r="A74" s="358" t="s">
        <v>182</v>
      </c>
      <c r="B74" s="184"/>
      <c r="C74" s="184"/>
      <c r="D74" s="184"/>
      <c r="E74" s="184"/>
      <c r="F74" s="184"/>
      <c r="G74" s="184"/>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vA23RtHv4DiqNWy1APMoNLSVEuZaIr2OB9JRjNyWEYFUQQ58r/5Mo5jMeiiG+HuPGDtUZ4JDf9ULR+8xfyZPXA==" saltValue="4Tm5vjYdVmmQdi0N0DEM3g==" spinCount="100000" sheet="1" formatColumns="0" formatRows="0"/>
  <mergeCells count="12">
    <mergeCell ref="A54:B54"/>
    <mergeCell ref="H54:I54"/>
    <mergeCell ref="A69:B69"/>
    <mergeCell ref="H69:I69"/>
    <mergeCell ref="A75:M75"/>
    <mergeCell ref="G1:G73"/>
    <mergeCell ref="A23:F23"/>
    <mergeCell ref="H23:M23"/>
    <mergeCell ref="A33:C33"/>
    <mergeCell ref="H33:J33"/>
    <mergeCell ref="A44:C44"/>
    <mergeCell ref="H44:J44"/>
  </mergeCells>
  <conditionalFormatting sqref="A55">
    <cfRule type="containsText" dxfId="212" priority="2" operator="containsText" text="not valid">
      <formula>NOT(ISERROR(SEARCH("not valid",A55)))</formula>
    </cfRule>
  </conditionalFormatting>
  <conditionalFormatting sqref="H55">
    <cfRule type="containsText" dxfId="211" priority="1" operator="containsText" text="not valid">
      <formula>NOT(ISERROR(SEARCH("not valid",H55)))</formula>
    </cfRule>
  </conditionalFormatting>
  <dataValidations count="1">
    <dataValidation type="list" allowBlank="1" showInputMessage="1" showErrorMessage="1" sqref="B38:B42 I38:I42" xr:uid="{00000000-0002-0000-0A00-000000000000}">
      <formula1>Exception_c</formula1>
    </dataValidation>
  </dataValidations>
  <hyperlinks>
    <hyperlink ref="C72" r:id="rId1" xr:uid="{00000000-0004-0000-0A00-000000000000}"/>
    <hyperlink ref="J72" r:id="rId2" xr:uid="{00000000-0004-0000-0A00-000001000000}"/>
    <hyperlink ref="A74" r:id="rId3" xr:uid="{00000000-0004-0000-0A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pageSetUpPr autoPageBreaks="0"/>
  </sheetPr>
  <dimension ref="A1:N34"/>
  <sheetViews>
    <sheetView showGridLines="0" workbookViewId="0">
      <pane ySplit="4" topLeftCell="A5" activePane="bottomLeft" state="frozen"/>
      <selection activeCell="H5" sqref="H5"/>
      <selection pane="bottomLeft" activeCell="K5" sqref="K5"/>
    </sheetView>
  </sheetViews>
  <sheetFormatPr defaultColWidth="0" defaultRowHeight="15.5"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9.1796875" style="20" hidden="1"/>
  </cols>
  <sheetData>
    <row r="1" spans="1:13" ht="16" thickBot="1">
      <c r="A1" s="19" t="s">
        <v>48</v>
      </c>
      <c r="B1" s="48">
        <f>IFERROR(VLOOKUP('2. Getting Started'!B3,'42. SEA or LEA Worksheet'!A4:T318,20,0),0)</f>
        <v>0</v>
      </c>
      <c r="D1" s="21" t="s">
        <v>14</v>
      </c>
      <c r="E1" s="20" t="str">
        <f>IF('2. Getting Started'!B2="","",'2. Getting Started'!B2)</f>
        <v/>
      </c>
      <c r="G1" s="467" t="s">
        <v>22</v>
      </c>
      <c r="H1" s="19" t="s">
        <v>49</v>
      </c>
      <c r="I1" s="48">
        <f>IFERROR(VLOOKUP('2. Getting Started'!B3,'42. SEA or LEA Worksheet'!A4:T318,20,0),0)</f>
        <v>0</v>
      </c>
      <c r="K1" s="21" t="s">
        <v>14</v>
      </c>
      <c r="L1" s="20" t="str">
        <f>IF('2. Getting Started'!B2="","",'2. Getting Started'!B2)</f>
        <v/>
      </c>
    </row>
    <row r="2" spans="1:13" s="25" customFormat="1" ht="37.9" customHeight="1" thickBot="1">
      <c r="A2" s="22" t="str">
        <f>CONCATENATE("Eligibility Standard - State Fiscal Year ",'2. Getting Started'!B6," -  LEA Effort - Budgeted Amounts")</f>
        <v>Eligibility Standard - State Fiscal Year 2021 -  LEA Effort - Budgeted Amounts</v>
      </c>
      <c r="B2" s="23"/>
      <c r="C2" s="23"/>
      <c r="D2" s="23"/>
      <c r="E2" s="23"/>
      <c r="F2" s="24"/>
      <c r="G2" s="467"/>
      <c r="H2" s="22" t="str">
        <f>CONCATENATE("Compliance Standard - State Fiscal Year ",'2. Getting Started'!B6," - LEA Effort - Final Expenditures")</f>
        <v>Compliance Standard - State Fiscal Year 2021 - LEA Effort - Final Expenditures</v>
      </c>
      <c r="I2" s="23"/>
      <c r="J2" s="23"/>
      <c r="K2" s="23"/>
      <c r="L2" s="23"/>
      <c r="M2" s="24"/>
    </row>
    <row r="3" spans="1:13" s="25" customFormat="1" ht="24" customHeight="1">
      <c r="A3" s="26"/>
      <c r="B3" s="27"/>
      <c r="D3" s="28" t="str">
        <f>CONCATENATE("SFY ",'2. Getting Started'!$B6," Budget")</f>
        <v>SFY 2021 Budget</v>
      </c>
      <c r="E3" s="29"/>
      <c r="F3" s="30"/>
      <c r="G3" s="467"/>
      <c r="H3" s="26"/>
      <c r="I3" s="27"/>
      <c r="J3" s="31"/>
      <c r="K3" s="28" t="str">
        <f>CONCATENATE("SFY ",'2. Getting Started'!$B6," Final Expenditures")</f>
        <v>SFY 2021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c r="A5" s="49"/>
      <c r="B5" s="50"/>
      <c r="C5" s="51"/>
      <c r="D5" s="52">
        <v>0</v>
      </c>
      <c r="E5" s="52">
        <v>0</v>
      </c>
      <c r="F5" s="38">
        <f>IF(AND(D5="",E5=""),"",SUM(D5:E5))</f>
        <v>0</v>
      </c>
      <c r="G5" s="467"/>
      <c r="H5" s="49"/>
      <c r="I5" s="50"/>
      <c r="J5" s="51"/>
      <c r="K5" s="52">
        <f>IFERROR(VLOOKUP('2. Getting Started'!B3,'42. SEA or LEA Worksheet'!A4:U318,21,0),0)</f>
        <v>0</v>
      </c>
      <c r="L5" s="52">
        <f>IFERROR(VLOOKUP('2. Getting Started'!B3,'42. SEA or LEA Worksheet'!A4:V318,22,0),0)</f>
        <v>0</v>
      </c>
      <c r="M5" s="38">
        <f>IF(AND(K5="",L5=""),"",SUM(K5:L5))</f>
        <v>0</v>
      </c>
    </row>
    <row r="6" spans="1:13">
      <c r="A6" s="49"/>
      <c r="B6" s="50"/>
      <c r="C6" s="51"/>
      <c r="D6" s="52"/>
      <c r="E6" s="52"/>
      <c r="F6" s="38" t="str">
        <f t="shared" ref="F6:F29" si="0">IF(AND(D6="",E6=""),"",SUM(D6:E6))</f>
        <v/>
      </c>
      <c r="G6" s="467"/>
      <c r="H6" s="49"/>
      <c r="I6" s="50"/>
      <c r="J6" s="51"/>
      <c r="K6" s="52"/>
      <c r="L6" s="52">
        <f>IFERROR(VLOOKUP('2. Getting Started'!B4,'42. SEA or LEA Worksheet'!A5:V319,22,0),0)</f>
        <v>0</v>
      </c>
      <c r="M6" s="38">
        <f t="shared" ref="M6:M29" si="1">IF(AND(K6="",L6=""),"",SUM(K6:L6))</f>
        <v>0</v>
      </c>
    </row>
    <row r="7" spans="1:13">
      <c r="A7" s="49"/>
      <c r="B7" s="50"/>
      <c r="C7" s="51"/>
      <c r="D7" s="52"/>
      <c r="E7" s="52"/>
      <c r="F7" s="38" t="str">
        <f t="shared" si="0"/>
        <v/>
      </c>
      <c r="G7" s="467"/>
      <c r="H7" s="49"/>
      <c r="I7" s="50"/>
      <c r="J7" s="51"/>
      <c r="K7" s="52"/>
      <c r="L7" s="52">
        <f>IFERROR(VLOOKUP('2. Getting Started'!B5,'42. SEA or LEA Worksheet'!A6:V320,22,0),0)</f>
        <v>0</v>
      </c>
      <c r="M7" s="38">
        <f t="shared" si="1"/>
        <v>0</v>
      </c>
    </row>
    <row r="8" spans="1:13">
      <c r="A8" s="49"/>
      <c r="B8" s="50"/>
      <c r="C8" s="51"/>
      <c r="D8" s="52"/>
      <c r="E8" s="52"/>
      <c r="F8" s="38" t="str">
        <f t="shared" si="0"/>
        <v/>
      </c>
      <c r="G8" s="467"/>
      <c r="H8" s="49"/>
      <c r="I8" s="50"/>
      <c r="J8" s="51"/>
      <c r="K8" s="52"/>
      <c r="L8" s="52">
        <f>IFERROR(VLOOKUP('2. Getting Started'!B6,'42. SEA or LEA Worksheet'!A7:V321,22,0),0)</f>
        <v>0</v>
      </c>
      <c r="M8" s="38">
        <f t="shared" si="1"/>
        <v>0</v>
      </c>
    </row>
    <row r="9" spans="1:13">
      <c r="A9" s="49"/>
      <c r="B9" s="50"/>
      <c r="C9" s="51"/>
      <c r="D9" s="52"/>
      <c r="E9" s="52"/>
      <c r="F9" s="38" t="str">
        <f t="shared" si="0"/>
        <v/>
      </c>
      <c r="G9" s="467"/>
      <c r="H9" s="49"/>
      <c r="I9" s="50"/>
      <c r="J9" s="51"/>
      <c r="K9" s="52"/>
      <c r="L9" s="52">
        <f>IFERROR(VLOOKUP('2. Getting Started'!B7,'42. SEA or LEA Worksheet'!A8:V322,22,0),0)</f>
        <v>0</v>
      </c>
      <c r="M9" s="38">
        <f t="shared" si="1"/>
        <v>0</v>
      </c>
    </row>
    <row r="10" spans="1:13">
      <c r="A10" s="49"/>
      <c r="B10" s="50"/>
      <c r="C10" s="51"/>
      <c r="D10" s="52"/>
      <c r="E10" s="52"/>
      <c r="F10" s="38" t="str">
        <f t="shared" si="0"/>
        <v/>
      </c>
      <c r="G10" s="467"/>
      <c r="H10" s="49"/>
      <c r="I10" s="50"/>
      <c r="J10" s="51"/>
      <c r="K10" s="52"/>
      <c r="L10" s="52">
        <f>IFERROR(VLOOKUP('2. Getting Started'!B8,'42. SEA or LEA Worksheet'!A9:V323,22,0),0)</f>
        <v>0</v>
      </c>
      <c r="M10" s="38">
        <f t="shared" si="1"/>
        <v>0</v>
      </c>
    </row>
    <row r="11" spans="1:13">
      <c r="A11" s="49"/>
      <c r="B11" s="50"/>
      <c r="C11" s="51"/>
      <c r="D11" s="52"/>
      <c r="E11" s="52"/>
      <c r="F11" s="38" t="str">
        <f t="shared" si="0"/>
        <v/>
      </c>
      <c r="G11" s="467"/>
      <c r="H11" s="49"/>
      <c r="I11" s="50"/>
      <c r="J11" s="51"/>
      <c r="K11" s="52"/>
      <c r="L11" s="52">
        <f>IFERROR(VLOOKUP('2. Getting Started'!B9,'42. SEA or LEA Worksheet'!A10:V324,22,0),0)</f>
        <v>0</v>
      </c>
      <c r="M11" s="38">
        <f t="shared" si="1"/>
        <v>0</v>
      </c>
    </row>
    <row r="12" spans="1:13">
      <c r="A12" s="49"/>
      <c r="B12" s="50"/>
      <c r="C12" s="51"/>
      <c r="D12" s="52"/>
      <c r="E12" s="52"/>
      <c r="F12" s="38" t="str">
        <f t="shared" si="0"/>
        <v/>
      </c>
      <c r="G12" s="467"/>
      <c r="H12" s="49"/>
      <c r="I12" s="50"/>
      <c r="J12" s="51"/>
      <c r="K12" s="52"/>
      <c r="L12" s="52">
        <f>IFERROR(VLOOKUP('2. Getting Started'!B10,'42. SEA or LEA Worksheet'!A11:V325,22,0),0)</f>
        <v>0</v>
      </c>
      <c r="M12" s="38">
        <f t="shared" si="1"/>
        <v>0</v>
      </c>
    </row>
    <row r="13" spans="1:13">
      <c r="A13" s="49"/>
      <c r="B13" s="50"/>
      <c r="C13" s="51"/>
      <c r="D13" s="52"/>
      <c r="E13" s="52"/>
      <c r="F13" s="38" t="str">
        <f t="shared" si="0"/>
        <v/>
      </c>
      <c r="G13" s="467"/>
      <c r="H13" s="49"/>
      <c r="I13" s="50"/>
      <c r="J13" s="51"/>
      <c r="K13" s="52"/>
      <c r="L13" s="52">
        <f>IFERROR(VLOOKUP('2. Getting Started'!B11,'42. SEA or LEA Worksheet'!A12:V326,22,0),0)</f>
        <v>0</v>
      </c>
      <c r="M13" s="38">
        <f t="shared" si="1"/>
        <v>0</v>
      </c>
    </row>
    <row r="14" spans="1:13">
      <c r="A14" s="49"/>
      <c r="B14" s="50"/>
      <c r="C14" s="51"/>
      <c r="D14" s="52"/>
      <c r="E14" s="52"/>
      <c r="F14" s="38" t="str">
        <f t="shared" si="0"/>
        <v/>
      </c>
      <c r="G14" s="467"/>
      <c r="H14" s="49"/>
      <c r="I14" s="50"/>
      <c r="J14" s="51"/>
      <c r="K14" s="52"/>
      <c r="L14" s="52">
        <f>IFERROR(VLOOKUP('2. Getting Started'!B12,'42. SEA or LEA Worksheet'!A13:V327,22,0),0)</f>
        <v>0</v>
      </c>
      <c r="M14" s="38">
        <f t="shared" si="1"/>
        <v>0</v>
      </c>
    </row>
    <row r="15" spans="1:13">
      <c r="A15" s="49"/>
      <c r="B15" s="50"/>
      <c r="C15" s="51"/>
      <c r="D15" s="52"/>
      <c r="E15" s="52"/>
      <c r="F15" s="38" t="str">
        <f t="shared" si="0"/>
        <v/>
      </c>
      <c r="G15" s="467"/>
      <c r="H15" s="49"/>
      <c r="I15" s="50"/>
      <c r="J15" s="51"/>
      <c r="K15" s="52"/>
      <c r="L15" s="52">
        <f>IFERROR(VLOOKUP('2. Getting Started'!B13,'42. SEA or LEA Worksheet'!A14:V328,22,0),0)</f>
        <v>0</v>
      </c>
      <c r="M15" s="38">
        <f t="shared" si="1"/>
        <v>0</v>
      </c>
    </row>
    <row r="16" spans="1:13">
      <c r="A16" s="49"/>
      <c r="B16" s="50"/>
      <c r="C16" s="51"/>
      <c r="D16" s="52"/>
      <c r="E16" s="52"/>
      <c r="F16" s="38" t="str">
        <f t="shared" si="0"/>
        <v/>
      </c>
      <c r="G16" s="467"/>
      <c r="H16" s="49"/>
      <c r="I16" s="50"/>
      <c r="J16" s="51"/>
      <c r="K16" s="52"/>
      <c r="L16" s="52">
        <f>IFERROR(VLOOKUP('2. Getting Started'!B14,'42. SEA or LEA Worksheet'!A15:V329,22,0),0)</f>
        <v>0</v>
      </c>
      <c r="M16" s="38">
        <f t="shared" si="1"/>
        <v>0</v>
      </c>
    </row>
    <row r="17" spans="1:13">
      <c r="A17" s="49"/>
      <c r="B17" s="50"/>
      <c r="C17" s="51"/>
      <c r="D17" s="52"/>
      <c r="E17" s="52"/>
      <c r="F17" s="38" t="str">
        <f t="shared" si="0"/>
        <v/>
      </c>
      <c r="G17" s="467"/>
      <c r="H17" s="49"/>
      <c r="I17" s="50"/>
      <c r="J17" s="51"/>
      <c r="K17" s="52"/>
      <c r="L17" s="52">
        <f>IFERROR(VLOOKUP('2. Getting Started'!B15,'42. SEA or LEA Worksheet'!A16:V330,22,0),0)</f>
        <v>0</v>
      </c>
      <c r="M17" s="38">
        <f t="shared" si="1"/>
        <v>0</v>
      </c>
    </row>
    <row r="18" spans="1:13">
      <c r="A18" s="49"/>
      <c r="B18" s="50"/>
      <c r="C18" s="51"/>
      <c r="D18" s="52"/>
      <c r="E18" s="52"/>
      <c r="F18" s="38" t="str">
        <f t="shared" si="0"/>
        <v/>
      </c>
      <c r="G18" s="467"/>
      <c r="H18" s="49"/>
      <c r="I18" s="50"/>
      <c r="J18" s="51"/>
      <c r="K18" s="52"/>
      <c r="L18" s="52">
        <f>IFERROR(VLOOKUP('2. Getting Started'!B16,'42. SEA or LEA Worksheet'!A17:V331,22,0),0)</f>
        <v>0</v>
      </c>
      <c r="M18" s="38">
        <f t="shared" si="1"/>
        <v>0</v>
      </c>
    </row>
    <row r="19" spans="1:13">
      <c r="A19" s="49"/>
      <c r="B19" s="50"/>
      <c r="C19" s="51"/>
      <c r="D19" s="52"/>
      <c r="E19" s="52"/>
      <c r="F19" s="38" t="str">
        <f t="shared" si="0"/>
        <v/>
      </c>
      <c r="G19" s="467"/>
      <c r="H19" s="49"/>
      <c r="I19" s="50"/>
      <c r="J19" s="51"/>
      <c r="K19" s="52"/>
      <c r="L19" s="52">
        <f>IFERROR(VLOOKUP('2. Getting Started'!B17,'42. SEA or LEA Worksheet'!A18:V332,22,0),0)</f>
        <v>0</v>
      </c>
      <c r="M19" s="38">
        <f t="shared" si="1"/>
        <v>0</v>
      </c>
    </row>
    <row r="20" spans="1:13">
      <c r="A20" s="49"/>
      <c r="B20" s="50"/>
      <c r="C20" s="51"/>
      <c r="D20" s="52"/>
      <c r="E20" s="52"/>
      <c r="F20" s="38" t="str">
        <f t="shared" si="0"/>
        <v/>
      </c>
      <c r="G20" s="467"/>
      <c r="H20" s="49"/>
      <c r="I20" s="50"/>
      <c r="J20" s="51"/>
      <c r="K20" s="52"/>
      <c r="L20" s="52">
        <f>IFERROR(VLOOKUP('2. Getting Started'!B18,'42. SEA or LEA Worksheet'!A19:V333,22,0),0)</f>
        <v>0</v>
      </c>
      <c r="M20" s="38">
        <f t="shared" si="1"/>
        <v>0</v>
      </c>
    </row>
    <row r="21" spans="1:13">
      <c r="A21" s="49"/>
      <c r="B21" s="50"/>
      <c r="C21" s="51"/>
      <c r="D21" s="52"/>
      <c r="E21" s="52"/>
      <c r="F21" s="38" t="str">
        <f t="shared" si="0"/>
        <v/>
      </c>
      <c r="G21" s="467"/>
      <c r="H21" s="49"/>
      <c r="I21" s="50"/>
      <c r="J21" s="51"/>
      <c r="K21" s="52"/>
      <c r="L21" s="52">
        <f>IFERROR(VLOOKUP('2. Getting Started'!B19,'42. SEA or LEA Worksheet'!A20:V334,22,0),0)</f>
        <v>0</v>
      </c>
      <c r="M21" s="38">
        <f t="shared" si="1"/>
        <v>0</v>
      </c>
    </row>
    <row r="22" spans="1:13">
      <c r="A22" s="49"/>
      <c r="B22" s="50"/>
      <c r="C22" s="51"/>
      <c r="D22" s="52"/>
      <c r="E22" s="52"/>
      <c r="F22" s="38" t="str">
        <f t="shared" si="0"/>
        <v/>
      </c>
      <c r="G22" s="467"/>
      <c r="H22" s="49"/>
      <c r="I22" s="50"/>
      <c r="J22" s="51"/>
      <c r="K22" s="52"/>
      <c r="L22" s="52">
        <f>IFERROR(VLOOKUP('2. Getting Started'!B20,'42. SEA or LEA Worksheet'!A21:V335,22,0),0)</f>
        <v>0</v>
      </c>
      <c r="M22" s="38">
        <f t="shared" si="1"/>
        <v>0</v>
      </c>
    </row>
    <row r="23" spans="1:13">
      <c r="A23" s="49"/>
      <c r="B23" s="50"/>
      <c r="C23" s="51"/>
      <c r="D23" s="52"/>
      <c r="E23" s="52"/>
      <c r="F23" s="38" t="str">
        <f t="shared" si="0"/>
        <v/>
      </c>
      <c r="G23" s="467"/>
      <c r="H23" s="49"/>
      <c r="I23" s="50"/>
      <c r="J23" s="51"/>
      <c r="K23" s="52"/>
      <c r="L23" s="52">
        <f>IFERROR(VLOOKUP('2. Getting Started'!B21,'42. SEA or LEA Worksheet'!A22:V336,22,0),0)</f>
        <v>0</v>
      </c>
      <c r="M23" s="38">
        <f t="shared" si="1"/>
        <v>0</v>
      </c>
    </row>
    <row r="24" spans="1:13">
      <c r="A24" s="49"/>
      <c r="B24" s="50"/>
      <c r="C24" s="51"/>
      <c r="D24" s="52"/>
      <c r="E24" s="52"/>
      <c r="F24" s="38" t="str">
        <f t="shared" si="0"/>
        <v/>
      </c>
      <c r="G24" s="467"/>
      <c r="H24" s="49"/>
      <c r="I24" s="50"/>
      <c r="J24" s="51"/>
      <c r="K24" s="52"/>
      <c r="L24" s="52">
        <f>IFERROR(VLOOKUP('2. Getting Started'!B22,'42. SEA or LEA Worksheet'!A23:V337,22,0),0)</f>
        <v>0</v>
      </c>
      <c r="M24" s="38">
        <f t="shared" si="1"/>
        <v>0</v>
      </c>
    </row>
    <row r="25" spans="1:13">
      <c r="A25" s="49"/>
      <c r="B25" s="50"/>
      <c r="C25" s="51"/>
      <c r="D25" s="52"/>
      <c r="E25" s="52"/>
      <c r="F25" s="38" t="str">
        <f t="shared" si="0"/>
        <v/>
      </c>
      <c r="G25" s="467"/>
      <c r="H25" s="49"/>
      <c r="I25" s="50"/>
      <c r="J25" s="51"/>
      <c r="K25" s="52"/>
      <c r="L25" s="52">
        <f>IFERROR(VLOOKUP('2. Getting Started'!B23,'42. SEA or LEA Worksheet'!A24:V338,22,0),0)</f>
        <v>0</v>
      </c>
      <c r="M25" s="38">
        <f t="shared" si="1"/>
        <v>0</v>
      </c>
    </row>
    <row r="26" spans="1:13">
      <c r="A26" s="49"/>
      <c r="B26" s="50"/>
      <c r="C26" s="51"/>
      <c r="D26" s="52"/>
      <c r="E26" s="52"/>
      <c r="F26" s="38" t="str">
        <f t="shared" si="0"/>
        <v/>
      </c>
      <c r="G26" s="467"/>
      <c r="H26" s="49"/>
      <c r="I26" s="50"/>
      <c r="J26" s="51"/>
      <c r="K26" s="52"/>
      <c r="L26" s="52">
        <f>IFERROR(VLOOKUP('2. Getting Started'!B24,'42. SEA or LEA Worksheet'!A25:V339,22,0),0)</f>
        <v>0</v>
      </c>
      <c r="M26" s="38">
        <f t="shared" si="1"/>
        <v>0</v>
      </c>
    </row>
    <row r="27" spans="1:13">
      <c r="A27" s="49"/>
      <c r="B27" s="50"/>
      <c r="C27" s="51"/>
      <c r="D27" s="52"/>
      <c r="E27" s="52"/>
      <c r="F27" s="38" t="str">
        <f t="shared" si="0"/>
        <v/>
      </c>
      <c r="G27" s="467"/>
      <c r="H27" s="49"/>
      <c r="I27" s="50"/>
      <c r="J27" s="51"/>
      <c r="K27" s="52"/>
      <c r="L27" s="52">
        <f>IFERROR(VLOOKUP('2. Getting Started'!B25,'42. SEA or LEA Worksheet'!A26:V340,22,0),0)</f>
        <v>0</v>
      </c>
      <c r="M27" s="38">
        <f t="shared" si="1"/>
        <v>0</v>
      </c>
    </row>
    <row r="28" spans="1:13">
      <c r="A28" s="49"/>
      <c r="B28" s="50"/>
      <c r="C28" s="51"/>
      <c r="D28" s="52"/>
      <c r="E28" s="52"/>
      <c r="F28" s="38" t="str">
        <f t="shared" si="0"/>
        <v/>
      </c>
      <c r="G28" s="467"/>
      <c r="H28" s="49"/>
      <c r="I28" s="50"/>
      <c r="J28" s="51"/>
      <c r="K28" s="52"/>
      <c r="L28" s="52">
        <f>IFERROR(VLOOKUP('2. Getting Started'!B26,'42. SEA or LEA Worksheet'!A27:V341,22,0),0)</f>
        <v>0</v>
      </c>
      <c r="M28" s="38">
        <f t="shared" si="1"/>
        <v>0</v>
      </c>
    </row>
    <row r="29" spans="1:13" ht="16" thickBot="1">
      <c r="A29" s="53"/>
      <c r="B29" s="54"/>
      <c r="C29" s="55"/>
      <c r="D29" s="56"/>
      <c r="E29" s="56"/>
      <c r="F29" s="38" t="str">
        <f t="shared" si="0"/>
        <v/>
      </c>
      <c r="G29" s="467"/>
      <c r="H29" s="53"/>
      <c r="I29" s="54"/>
      <c r="J29" s="55"/>
      <c r="K29" s="56"/>
      <c r="L29" s="56">
        <f>IFERROR(VLOOKUP('2. Getting Started'!B27,'42. SEA or LEA Worksheet'!A28:V342,22,0),0)</f>
        <v>0</v>
      </c>
      <c r="M29" s="38">
        <f t="shared" si="1"/>
        <v>0</v>
      </c>
    </row>
    <row r="30" spans="1:13" ht="19" thickBot="1">
      <c r="A30" s="39"/>
      <c r="B30" s="40"/>
      <c r="C30" s="41" t="s">
        <v>56</v>
      </c>
      <c r="D30" s="42">
        <f>IF(AND(D5="",D6="",D7="",D8="",D9="",D10="",D11="",D12="",D13="",D14="",D15="",D16="",D17="",D18="",D19="",D20="",D21="",D22="",D23="",D24="",D25="",D26="",D27="",D28="",D29=""),"",SUM(D5:D29))</f>
        <v>0</v>
      </c>
      <c r="E30" s="43"/>
      <c r="F30" s="42">
        <f>IF(AND(F5="",F6="",F7="",F8="",F9="",F10="",F11="",F12="",F13="",F14="",F15="",F16="",F17="",F18="",F19="",F20="",F21="",F22="",F23="",F24="",F25="",F26="",F27="",F28="",F29=""),"",SUM(F5:F29))</f>
        <v>0</v>
      </c>
      <c r="G30" s="467"/>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 thickBot="1">
      <c r="A31" s="39"/>
      <c r="B31" s="39"/>
      <c r="C31" s="44" t="s">
        <v>57</v>
      </c>
      <c r="D31" s="42" t="e">
        <f>IF(OR($B1="",D30=""),"",(D30/$B1))</f>
        <v>#DIV/0!</v>
      </c>
      <c r="E31" s="39"/>
      <c r="F31" s="42" t="e">
        <f>IF(OR($B1="",F30=""),"",(F30/$B1))</f>
        <v>#DIV/0!</v>
      </c>
      <c r="G31" s="467"/>
      <c r="H31" s="39"/>
      <c r="I31" s="39"/>
      <c r="J31" s="44" t="s">
        <v>57</v>
      </c>
      <c r="K31" s="42" t="e">
        <f>IF(OR($I1="",K30=""),"",(K30/$I1))</f>
        <v>#DIV/0!</v>
      </c>
      <c r="L31" s="39"/>
      <c r="M31" s="42" t="e">
        <f>IF(OR($I1="",M30=""),"",(M30/$I1))</f>
        <v>#DIV/0!</v>
      </c>
    </row>
    <row r="32" spans="1:13" s="25" customFormat="1" ht="18.5">
      <c r="A32" s="345" t="s">
        <v>183</v>
      </c>
      <c r="B32" s="45"/>
      <c r="C32" s="45"/>
      <c r="D32" s="45"/>
      <c r="E32" s="45"/>
      <c r="F32" s="45"/>
      <c r="G32" s="45"/>
      <c r="H32" s="45"/>
      <c r="I32" s="45"/>
      <c r="J32" s="45"/>
      <c r="K32" s="45"/>
      <c r="L32" s="45"/>
      <c r="M32" s="45"/>
    </row>
    <row r="33" spans="1:13" s="47" customFormat="1">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sheetData>
  <sheetProtection algorithmName="SHA-512" hashValue="5Yg0ZaHk64D1rmRPXnUtt54I3yZNap9ooFejKyVeZFkwk/I+sFBKXtQ3O/CbeZKkbKZvXdzLvvhhqzvwKpc7fA==" saltValue="Ii69p6Qu05RqWlcxE+Um9Q=="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600-000000000000}"/>
    <dataValidation allowBlank="1" showInputMessage="1" showErrorMessage="1" prompt="Don't forget to enter Child Count in Cell I1." sqref="H5" xr:uid="{00000000-0002-0000-0600-000001000000}"/>
  </dataValidations>
  <hyperlinks>
    <hyperlink ref="A33" r:id="rId1" xr:uid="{00000000-0004-0000-0600-000000000000}"/>
  </hyperlinks>
  <pageMargins left="0.75" right="0.75" top="1" bottom="1" header="0.5" footer="0.5"/>
  <pageSetup orientation="portrait" horizontalDpi="4294967292" verticalDpi="4294967292"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5"/>
    <pageSetUpPr autoPageBreaks="0"/>
  </sheetPr>
  <dimension ref="A1:AB75"/>
  <sheetViews>
    <sheetView showGridLines="0" topLeftCell="H1" zoomScale="90" zoomScaleNormal="90" zoomScalePageLayoutView="90" workbookViewId="0">
      <pane ySplit="3" topLeftCell="A4" activePane="bottomLeft" state="frozen"/>
      <selection activeCell="D21" sqref="D21"/>
      <selection pane="bottomLeft" activeCell="K1" sqref="K1"/>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8" width="12.26953125" style="58" hidden="1" customWidth="1"/>
    <col min="19" max="19" width="13.7265625" style="58" hidden="1" customWidth="1"/>
    <col min="20" max="28" width="0" style="58" hidden="1" customWidth="1"/>
    <col min="29" max="16384" width="12.26953125" style="58" hidden="1"/>
  </cols>
  <sheetData>
    <row r="1" spans="1:20" ht="25.9" customHeight="1">
      <c r="A1" s="57" t="s">
        <v>58</v>
      </c>
      <c r="D1" s="59" t="s">
        <v>14</v>
      </c>
      <c r="E1" s="10" t="str">
        <f>IF('2. Getting Started'!$B2="","",'2. Getting Started'!$B2)</f>
        <v/>
      </c>
      <c r="G1" s="476" t="s">
        <v>174</v>
      </c>
      <c r="K1" s="59" t="s">
        <v>14</v>
      </c>
      <c r="L1" s="10" t="str">
        <f>IF('2. Getting Started'!$B2="","",'2. Getting Started'!$B2)</f>
        <v/>
      </c>
    </row>
    <row r="2" spans="1:20" ht="25.5" customHeight="1" thickBot="1">
      <c r="A2" s="338" t="s">
        <v>170</v>
      </c>
      <c r="D2" s="59"/>
      <c r="E2" s="10"/>
      <c r="G2" s="476"/>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 Budget")</f>
        <v>Eligibility Standard -- Exceptions to MOE as Permitted by 34 CFR §300.204 and Adjustment to MOE as Permitted by 34 CFR §300.205 -- Projections for State Fiscal Year 2021 Budget</v>
      </c>
      <c r="B3" s="61"/>
      <c r="C3" s="61"/>
      <c r="D3" s="61"/>
      <c r="E3" s="61"/>
      <c r="F3" s="62"/>
      <c r="G3" s="476"/>
      <c r="H3" s="60" t="str">
        <f>CONCATENATE("Compliance Standard -- Exceptions to MOE as Permitted by 34 CFR §300.204 and Adjustment to MOE as Permitted by 34 CFR §300.205 -- Final Expenditures for  State Fiscal Year ",'2. Getting Started'!B6)</f>
        <v>Compliance Standard -- Exceptions to MOE as Permitted by 34 CFR §300.204 and Adjustment to MOE as Permitted by 34 CFR §300.205 -- Final Expenditures for  State Fiscal Year 2021</v>
      </c>
      <c r="I3" s="61"/>
      <c r="J3" s="61"/>
      <c r="K3" s="61"/>
      <c r="L3" s="61"/>
      <c r="M3" s="62"/>
      <c r="O3" s="64"/>
      <c r="P3" s="64"/>
      <c r="Q3" s="64"/>
      <c r="R3" s="64"/>
      <c r="S3" s="64"/>
      <c r="T3" s="64"/>
    </row>
    <row r="4" spans="1:20">
      <c r="A4" s="65" t="s">
        <v>59</v>
      </c>
      <c r="B4" s="66"/>
      <c r="C4" s="67"/>
      <c r="D4" s="67"/>
      <c r="E4" s="67"/>
      <c r="F4" s="68"/>
      <c r="G4" s="476"/>
      <c r="H4" s="65" t="s">
        <v>59</v>
      </c>
      <c r="I4" s="66"/>
      <c r="J4" s="67"/>
      <c r="K4" s="67"/>
      <c r="L4" s="67"/>
      <c r="M4" s="68"/>
      <c r="N4" s="70"/>
      <c r="O4" s="70"/>
      <c r="P4" s="70"/>
      <c r="Q4" s="70"/>
      <c r="R4" s="70"/>
      <c r="S4" s="70"/>
    </row>
    <row r="5" spans="1:20">
      <c r="A5" s="71" t="s">
        <v>60</v>
      </c>
      <c r="B5" s="72"/>
      <c r="C5" s="69"/>
      <c r="D5" s="69"/>
      <c r="E5" s="69"/>
      <c r="F5" s="73"/>
      <c r="G5" s="476"/>
      <c r="H5" s="71" t="s">
        <v>60</v>
      </c>
      <c r="I5" s="72"/>
      <c r="J5" s="69"/>
      <c r="K5" s="69"/>
      <c r="L5" s="69"/>
      <c r="M5" s="73"/>
      <c r="N5" s="74"/>
      <c r="O5" s="74"/>
      <c r="P5" s="74"/>
      <c r="Q5" s="74"/>
      <c r="R5" s="74"/>
    </row>
    <row r="6" spans="1:20" ht="35.65" customHeight="1" thickBot="1">
      <c r="A6" s="75" t="s">
        <v>61</v>
      </c>
      <c r="B6" s="76"/>
      <c r="C6" s="76"/>
      <c r="D6" s="76"/>
      <c r="E6" s="76"/>
      <c r="F6" s="77"/>
      <c r="G6" s="476"/>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6"/>
      <c r="H7" s="78" t="s">
        <v>62</v>
      </c>
      <c r="I7" s="79" t="s">
        <v>63</v>
      </c>
      <c r="J7" s="80" t="s">
        <v>64</v>
      </c>
      <c r="K7" s="80" t="s">
        <v>65</v>
      </c>
      <c r="L7" s="81" t="s">
        <v>66</v>
      </c>
      <c r="M7" s="82" t="s">
        <v>68</v>
      </c>
      <c r="N7" s="74"/>
      <c r="O7" s="74"/>
    </row>
    <row r="8" spans="1:20">
      <c r="A8" s="186"/>
      <c r="B8" s="187"/>
      <c r="C8" s="187"/>
      <c r="D8" s="188"/>
      <c r="E8" s="188"/>
      <c r="F8" s="84">
        <f>D8+E8</f>
        <v>0</v>
      </c>
      <c r="G8" s="476"/>
      <c r="H8" s="186"/>
      <c r="I8" s="187"/>
      <c r="J8" s="187"/>
      <c r="K8" s="188"/>
      <c r="L8" s="188"/>
      <c r="M8" s="84">
        <f>K8+L8</f>
        <v>0</v>
      </c>
      <c r="N8" s="85"/>
      <c r="O8" s="85"/>
    </row>
    <row r="9" spans="1:20">
      <c r="A9" s="186"/>
      <c r="B9" s="187"/>
      <c r="C9" s="187"/>
      <c r="D9" s="188"/>
      <c r="E9" s="188"/>
      <c r="F9" s="84">
        <f>D9+E9</f>
        <v>0</v>
      </c>
      <c r="G9" s="476"/>
      <c r="H9" s="186"/>
      <c r="I9" s="187"/>
      <c r="J9" s="187"/>
      <c r="K9" s="188"/>
      <c r="L9" s="188"/>
      <c r="M9" s="84">
        <f>K9+L9</f>
        <v>0</v>
      </c>
      <c r="N9" s="85"/>
      <c r="O9" s="85"/>
    </row>
    <row r="10" spans="1:20">
      <c r="A10" s="186"/>
      <c r="B10" s="187"/>
      <c r="C10" s="187"/>
      <c r="D10" s="188"/>
      <c r="E10" s="188"/>
      <c r="F10" s="84">
        <f>D10+E10</f>
        <v>0</v>
      </c>
      <c r="G10" s="476"/>
      <c r="H10" s="186"/>
      <c r="I10" s="187"/>
      <c r="J10" s="187"/>
      <c r="K10" s="188"/>
      <c r="L10" s="188"/>
      <c r="M10" s="84">
        <f>K10+L10</f>
        <v>0</v>
      </c>
      <c r="N10" s="85"/>
      <c r="O10" s="85"/>
    </row>
    <row r="11" spans="1:20">
      <c r="A11" s="186"/>
      <c r="B11" s="187"/>
      <c r="C11" s="187"/>
      <c r="D11" s="188"/>
      <c r="E11" s="188"/>
      <c r="F11" s="84">
        <f>D11+E11</f>
        <v>0</v>
      </c>
      <c r="G11" s="476"/>
      <c r="H11" s="186"/>
      <c r="I11" s="187"/>
      <c r="J11" s="187"/>
      <c r="K11" s="188"/>
      <c r="L11" s="188"/>
      <c r="M11" s="84">
        <f>K11+L11</f>
        <v>0</v>
      </c>
      <c r="N11" s="85"/>
      <c r="O11" s="85"/>
    </row>
    <row r="12" spans="1:20">
      <c r="A12" s="186"/>
      <c r="B12" s="187"/>
      <c r="C12" s="187"/>
      <c r="D12" s="188"/>
      <c r="E12" s="188"/>
      <c r="F12" s="84">
        <f>D12+E12</f>
        <v>0</v>
      </c>
      <c r="G12" s="476"/>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6"/>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6"/>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6"/>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6"/>
      <c r="H16" s="189"/>
      <c r="I16" s="190"/>
      <c r="J16" s="100"/>
      <c r="K16" s="188"/>
      <c r="L16" s="188"/>
      <c r="M16" s="84">
        <f t="shared" ref="M16:M20" si="3">K16+L16</f>
        <v>0</v>
      </c>
      <c r="N16" s="85"/>
      <c r="O16" s="85"/>
    </row>
    <row r="17" spans="1:19">
      <c r="A17" s="189"/>
      <c r="B17" s="190"/>
      <c r="C17" s="100"/>
      <c r="D17" s="188"/>
      <c r="E17" s="188"/>
      <c r="F17" s="84">
        <f t="shared" si="2"/>
        <v>0</v>
      </c>
      <c r="G17" s="476"/>
      <c r="H17" s="189"/>
      <c r="I17" s="190"/>
      <c r="J17" s="100"/>
      <c r="K17" s="188"/>
      <c r="L17" s="188"/>
      <c r="M17" s="84">
        <f t="shared" si="3"/>
        <v>0</v>
      </c>
      <c r="N17" s="85"/>
      <c r="O17" s="85"/>
    </row>
    <row r="18" spans="1:19">
      <c r="A18" s="189"/>
      <c r="B18" s="190"/>
      <c r="C18" s="100"/>
      <c r="D18" s="188"/>
      <c r="E18" s="188"/>
      <c r="F18" s="84">
        <f t="shared" si="2"/>
        <v>0</v>
      </c>
      <c r="G18" s="476"/>
      <c r="H18" s="189"/>
      <c r="I18" s="190"/>
      <c r="J18" s="100"/>
      <c r="K18" s="188"/>
      <c r="L18" s="188"/>
      <c r="M18" s="84">
        <f t="shared" si="3"/>
        <v>0</v>
      </c>
      <c r="N18" s="85"/>
      <c r="O18" s="85"/>
    </row>
    <row r="19" spans="1:19">
      <c r="A19" s="189"/>
      <c r="B19" s="190"/>
      <c r="C19" s="100"/>
      <c r="D19" s="188"/>
      <c r="E19" s="188"/>
      <c r="F19" s="84">
        <f t="shared" si="2"/>
        <v>0</v>
      </c>
      <c r="G19" s="476"/>
      <c r="H19" s="189"/>
      <c r="I19" s="190"/>
      <c r="J19" s="100"/>
      <c r="K19" s="188"/>
      <c r="L19" s="188"/>
      <c r="M19" s="84">
        <f t="shared" si="3"/>
        <v>0</v>
      </c>
      <c r="N19" s="85"/>
      <c r="O19" s="85"/>
    </row>
    <row r="20" spans="1:19">
      <c r="A20" s="189"/>
      <c r="B20" s="190"/>
      <c r="C20" s="100"/>
      <c r="D20" s="188"/>
      <c r="E20" s="188"/>
      <c r="F20" s="84">
        <f t="shared" si="2"/>
        <v>0</v>
      </c>
      <c r="G20" s="476"/>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6"/>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6"/>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6"/>
      <c r="H23" s="471" t="s">
        <v>22</v>
      </c>
      <c r="I23" s="471"/>
      <c r="J23" s="471"/>
      <c r="K23" s="471"/>
      <c r="L23" s="471"/>
      <c r="M23" s="471"/>
      <c r="N23" s="94"/>
      <c r="O23" s="94"/>
      <c r="P23" s="94"/>
      <c r="Q23" s="94"/>
      <c r="R23" s="94"/>
      <c r="S23" s="94"/>
    </row>
    <row r="24" spans="1:19">
      <c r="A24" s="112" t="s">
        <v>105</v>
      </c>
      <c r="B24" s="113"/>
      <c r="C24" s="113"/>
      <c r="D24" s="63"/>
      <c r="E24" s="120"/>
      <c r="F24" s="120"/>
      <c r="G24" s="476"/>
      <c r="H24" s="112" t="s">
        <v>105</v>
      </c>
      <c r="I24" s="113"/>
      <c r="J24" s="113"/>
      <c r="K24" s="63"/>
      <c r="L24" s="120"/>
      <c r="M24" s="120"/>
      <c r="N24" s="119"/>
      <c r="O24" s="119"/>
      <c r="P24" s="119"/>
      <c r="Q24" s="119"/>
    </row>
    <row r="25" spans="1:19">
      <c r="A25" s="121" t="s">
        <v>71</v>
      </c>
      <c r="B25" s="122" t="s">
        <v>77</v>
      </c>
      <c r="C25" s="123"/>
      <c r="D25" s="124"/>
      <c r="E25" s="123"/>
      <c r="F25" s="123"/>
      <c r="G25" s="476"/>
      <c r="H25" s="121" t="s">
        <v>71</v>
      </c>
      <c r="I25" s="122" t="s">
        <v>77</v>
      </c>
      <c r="J25" s="123"/>
      <c r="K25" s="124"/>
      <c r="L25" s="123"/>
      <c r="M25" s="123"/>
      <c r="N25" s="119"/>
      <c r="O25" s="119"/>
      <c r="P25" s="119"/>
      <c r="Q25" s="119"/>
    </row>
    <row r="26" spans="1:19">
      <c r="A26" s="125" t="str">
        <f>CONCATENATE("SFY ",'2. Getting Started'!B6," Projected Child Count")</f>
        <v>SFY 2021 Projected Child Count</v>
      </c>
      <c r="B26" s="126">
        <f>IF('5. Year 1 Amounts'!B1="","",'5. Year 1 Amounts'!B1)</f>
        <v>0</v>
      </c>
      <c r="C26" s="123"/>
      <c r="D26" s="124"/>
      <c r="E26" s="123"/>
      <c r="F26" s="123"/>
      <c r="G26" s="476"/>
      <c r="H26" s="125" t="str">
        <f>CONCATENATE("SFY ",'2. Getting Started'!B6," Child Count")</f>
        <v>SFY 2021 Child Count</v>
      </c>
      <c r="I26" s="126">
        <f>IF('5. Year 1 Amounts'!I1="","",'5. Year 1 Amounts'!I1)</f>
        <v>0</v>
      </c>
      <c r="J26" s="123"/>
      <c r="K26" s="124"/>
      <c r="L26" s="123"/>
      <c r="M26" s="123"/>
      <c r="N26" s="119"/>
      <c r="O26" s="119"/>
      <c r="P26" s="119"/>
      <c r="Q26" s="119"/>
    </row>
    <row r="27" spans="1:19">
      <c r="A27" s="125" t="str">
        <f>CONCATENATE("SFY ",'2. Getting Started'!B6-1," Projected Child Count")</f>
        <v>SFY 2020 Projected Child Count</v>
      </c>
      <c r="B27" s="351" t="e">
        <f>IF('2. Getting Started'!B19="","",'2. Getting Started'!B19)</f>
        <v>#N/A</v>
      </c>
      <c r="C27" s="119"/>
      <c r="D27" s="128"/>
      <c r="E27" s="119"/>
      <c r="F27" s="123"/>
      <c r="G27" s="476"/>
      <c r="H27" s="125" t="str">
        <f>CONCATENATE("SFY ",'2. Getting Started'!B6-1," Child Count")</f>
        <v>SFY 2020 Child Count</v>
      </c>
      <c r="I27" s="351">
        <f>IF('2. Getting Started'!C19="Please enter data","",'2. Getting Started'!C19)</f>
        <v>0</v>
      </c>
      <c r="J27" s="119"/>
      <c r="K27" s="128"/>
      <c r="L27" s="119"/>
      <c r="M27" s="123"/>
      <c r="N27" s="129"/>
      <c r="O27" s="129"/>
      <c r="P27" s="129"/>
      <c r="Q27" s="129"/>
    </row>
    <row r="28" spans="1:19">
      <c r="A28" s="127" t="s">
        <v>78</v>
      </c>
      <c r="B28" s="130" t="e">
        <f>IF(B26="","",B26-B27)</f>
        <v>#N/A</v>
      </c>
      <c r="C28" s="123" t="e">
        <f>IF(B28="","",IF(B28&gt;=0,"Not eligible for this exception",""))</f>
        <v>#N/A</v>
      </c>
      <c r="D28" s="124"/>
      <c r="E28" s="123"/>
      <c r="F28" s="123"/>
      <c r="G28" s="476"/>
      <c r="H28" s="127" t="s">
        <v>78</v>
      </c>
      <c r="I28" s="130">
        <f>IF(I26="","",I26-I27)</f>
        <v>0</v>
      </c>
      <c r="J28" s="123" t="str">
        <f>IF(I28="","",IF(I28&gt;=0,"Not eligible for this exception",""))</f>
        <v>Not eligible for this exception</v>
      </c>
      <c r="K28" s="124"/>
      <c r="L28" s="123"/>
      <c r="M28" s="123"/>
      <c r="N28" s="132"/>
      <c r="O28" s="132"/>
      <c r="P28" s="132"/>
      <c r="Q28" s="132"/>
    </row>
    <row r="29" spans="1:19">
      <c r="A29" s="133" t="s">
        <v>79</v>
      </c>
      <c r="B29" s="134" t="e">
        <f>IF(B26="","",IF(B28&lt;=0,ABS(B28/B27),""))</f>
        <v>#N/A</v>
      </c>
      <c r="C29" s="135"/>
      <c r="D29" s="136"/>
      <c r="E29" s="135"/>
      <c r="F29" s="10"/>
      <c r="G29" s="476"/>
      <c r="H29" s="133" t="s">
        <v>79</v>
      </c>
      <c r="I29" s="134" t="e">
        <f>IF(I26="","",IF(I28&lt;=0,ABS(I28/I27),""))</f>
        <v>#DIV/0!</v>
      </c>
      <c r="J29" s="135"/>
      <c r="K29" s="136"/>
      <c r="L29" s="135"/>
      <c r="M29" s="10"/>
      <c r="N29" s="137"/>
      <c r="O29" s="137"/>
      <c r="P29" s="138"/>
      <c r="Q29" s="138"/>
    </row>
    <row r="30" spans="1:19">
      <c r="A30" s="115" t="s">
        <v>71</v>
      </c>
      <c r="B30" s="116" t="s">
        <v>0</v>
      </c>
      <c r="C30" s="116" t="s">
        <v>2</v>
      </c>
      <c r="D30" s="10"/>
      <c r="E30" s="72"/>
      <c r="F30" s="72"/>
      <c r="G30" s="476"/>
      <c r="H30" s="115" t="s">
        <v>71</v>
      </c>
      <c r="I30" s="116" t="s">
        <v>75</v>
      </c>
      <c r="J30" s="116" t="s">
        <v>76</v>
      </c>
      <c r="K30" s="10"/>
      <c r="L30" s="72"/>
      <c r="M30" s="72"/>
      <c r="N30" s="138"/>
      <c r="O30" s="138"/>
    </row>
    <row r="31" spans="1:19">
      <c r="A31" s="139" t="str">
        <f>CONCATENATE("SFY ",'2. Getting Started'!B6-1," Budget")</f>
        <v>SFY 2020 Budget</v>
      </c>
      <c r="B31" s="140">
        <f>IF('2. Getting Started'!B17="Please enter data","",'2. Getting Started'!B17)</f>
        <v>0</v>
      </c>
      <c r="C31" s="140">
        <f>IF('2. Getting Started'!B18="Please enter data","",'2. Getting Started'!B18)</f>
        <v>0</v>
      </c>
      <c r="D31" s="141"/>
      <c r="E31" s="74"/>
      <c r="F31" s="74"/>
      <c r="G31" s="476"/>
      <c r="H31" s="139" t="str">
        <f>CONCATENATE("SFY ",'2. Getting Started'!B6-1," Final Expenditures")</f>
        <v>SFY 2020 Final Expenditures</v>
      </c>
      <c r="I31" s="140">
        <f>IF('2. Getting Started'!C17="Please enter data","",'2. Getting Started'!C17)</f>
        <v>0</v>
      </c>
      <c r="J31" s="140">
        <f>IF('2. Getting Started'!C18="Please enter data","",'2. Getting Started'!C18)</f>
        <v>0</v>
      </c>
      <c r="K31" s="142"/>
      <c r="L31" s="74"/>
      <c r="M31" s="74"/>
    </row>
    <row r="32" spans="1:19">
      <c r="A32" s="117" t="s">
        <v>80</v>
      </c>
      <c r="B32" s="143" t="e">
        <f>IF(OR($B26="",B29="",B31=""),"",($B29*B31))</f>
        <v>#N/A</v>
      </c>
      <c r="C32" s="143" t="e">
        <f>IF(OR($B26="",B29="",C31=""),"",($B29*C31))</f>
        <v>#N/A</v>
      </c>
      <c r="D32" s="142"/>
      <c r="E32" s="118"/>
      <c r="F32" s="118"/>
      <c r="G32" s="476"/>
      <c r="H32" s="117" t="s">
        <v>81</v>
      </c>
      <c r="I32" s="143" t="e">
        <f>IF(OR($I26="",I29="",I31=""),"",($I29*I31))</f>
        <v>#DIV/0!</v>
      </c>
      <c r="J32" s="143" t="e">
        <f>IF(OR($I26="",I29="",J31=""),"",($I29*J31))</f>
        <v>#DIV/0!</v>
      </c>
      <c r="K32" s="142"/>
      <c r="L32" s="118"/>
      <c r="M32" s="118"/>
    </row>
    <row r="33" spans="1:28" ht="16" thickBot="1">
      <c r="A33" s="470" t="s">
        <v>22</v>
      </c>
      <c r="B33" s="470"/>
      <c r="C33" s="470"/>
      <c r="D33" s="123"/>
      <c r="E33" s="123"/>
      <c r="F33" s="123"/>
      <c r="G33" s="476"/>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6"/>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6"/>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6"/>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6"/>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6"/>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6"/>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6"/>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6"/>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6"/>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6"/>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6"/>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6"/>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6"/>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6"/>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6"/>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6"/>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6"/>
      <c r="H50" s="194"/>
      <c r="I50" s="195"/>
      <c r="J50" s="144"/>
      <c r="K50" s="144"/>
      <c r="L50" s="72"/>
      <c r="M50" s="72"/>
    </row>
    <row r="51" spans="1:26" ht="60" customHeight="1">
      <c r="A51" s="194"/>
      <c r="B51" s="195"/>
      <c r="C51" s="144"/>
      <c r="D51" s="144"/>
      <c r="E51" s="162"/>
      <c r="F51" s="162"/>
      <c r="G51" s="476"/>
      <c r="H51" s="194"/>
      <c r="I51" s="195"/>
      <c r="J51" s="144"/>
      <c r="K51" s="144"/>
      <c r="L51" s="162"/>
      <c r="M51" s="162"/>
    </row>
    <row r="52" spans="1:26" ht="60" customHeight="1">
      <c r="A52" s="194"/>
      <c r="B52" s="195"/>
      <c r="C52" s="144"/>
      <c r="D52" s="144"/>
      <c r="E52" s="163"/>
      <c r="F52" s="163"/>
      <c r="G52" s="476"/>
      <c r="H52" s="194"/>
      <c r="I52" s="195"/>
      <c r="J52" s="144"/>
      <c r="K52" s="144"/>
      <c r="L52" s="163"/>
      <c r="M52" s="163"/>
    </row>
    <row r="53" spans="1:26">
      <c r="A53" s="164" t="s">
        <v>89</v>
      </c>
      <c r="B53" s="165">
        <f>SUM(B48:B52)</f>
        <v>0</v>
      </c>
      <c r="C53" s="144"/>
      <c r="D53" s="144"/>
      <c r="E53" s="74"/>
      <c r="G53" s="476"/>
      <c r="H53" s="166" t="s">
        <v>90</v>
      </c>
      <c r="I53" s="165">
        <f>SUM(I48:I52)</f>
        <v>0</v>
      </c>
      <c r="J53" s="144"/>
      <c r="K53" s="144"/>
      <c r="L53" s="74"/>
    </row>
    <row r="54" spans="1:26" ht="16" thickBot="1">
      <c r="A54" s="470" t="s">
        <v>22</v>
      </c>
      <c r="B54" s="470"/>
      <c r="C54" s="10"/>
      <c r="D54" s="72"/>
      <c r="E54" s="72"/>
      <c r="F54" s="72"/>
      <c r="G54" s="476"/>
      <c r="H54" s="470" t="s">
        <v>22</v>
      </c>
      <c r="I54" s="470"/>
      <c r="J54" s="10"/>
      <c r="K54" s="72"/>
      <c r="L54" s="72"/>
      <c r="M54" s="72"/>
    </row>
    <row r="55" spans="1:26">
      <c r="A55" s="167" t="str">
        <f>IF('3b. High Cost Fund'!B3="No","This exception is not valid in your state.","Exception (e) The assumption of cost by the high cost fund operated by the")</f>
        <v>Exception (e) The assumption of cost by the high cost fund operated by the</v>
      </c>
      <c r="B55" s="146"/>
      <c r="C55" s="147"/>
      <c r="D55" s="131"/>
      <c r="E55" s="131"/>
      <c r="F55" s="144"/>
      <c r="G55" s="476"/>
      <c r="H55" s="167" t="str">
        <f>IF('3b. High Cost Fund'!B3="No","This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Fund'!B3="No","","SEA under §300.704. MUST be explicitly permitted by the SEA.")</f>
        <v>SEA under §300.704. MUST be explicitly permitted by the SEA.</v>
      </c>
      <c r="B56" s="168"/>
      <c r="C56" s="169"/>
      <c r="D56" s="170"/>
      <c r="E56" s="163"/>
      <c r="F56" s="144"/>
      <c r="G56" s="476"/>
      <c r="H56" s="71" t="str">
        <f>IF('3b. High Cost Fund'!B3="No","","SEA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6"/>
      <c r="H57" s="171" t="s">
        <v>85</v>
      </c>
      <c r="I57" s="172" t="s">
        <v>97</v>
      </c>
      <c r="J57" s="118"/>
      <c r="K57" s="144"/>
      <c r="L57" s="144"/>
      <c r="M57" s="10"/>
    </row>
    <row r="58" spans="1:26" ht="15.4" customHeight="1">
      <c r="A58" s="196"/>
      <c r="B58" s="197"/>
      <c r="C58" s="337" t="str">
        <f>IF(AND(B58&lt;&gt;"",'3b. High Cost Fund'!B3="No"),"Invalid entry. This exception is valid only in states with high-cost funds. If your state has a high-cost fund, please indicate that on tab 3b.","")</f>
        <v/>
      </c>
      <c r="D58" s="144"/>
      <c r="E58" s="144"/>
      <c r="F58" s="10"/>
      <c r="G58" s="476"/>
      <c r="H58" s="196"/>
      <c r="I58" s="197"/>
      <c r="J58" s="337" t="str">
        <f>IF(AND(I58&lt;&gt;"",'3b. High Cost Fund'!B3="No"),"Invalid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6"/>
      <c r="H59" s="196"/>
      <c r="I59" s="197"/>
      <c r="J59" s="144"/>
      <c r="K59" s="10"/>
      <c r="L59" s="10"/>
      <c r="M59" s="10"/>
    </row>
    <row r="60" spans="1:26">
      <c r="A60" s="196"/>
      <c r="B60" s="197"/>
      <c r="C60" s="144"/>
      <c r="D60" s="10"/>
      <c r="E60" s="10"/>
      <c r="F60" s="10"/>
      <c r="G60" s="476"/>
      <c r="H60" s="196"/>
      <c r="I60" s="197"/>
      <c r="J60" s="144"/>
      <c r="K60" s="10"/>
      <c r="L60" s="10"/>
      <c r="M60" s="10"/>
    </row>
    <row r="61" spans="1:26">
      <c r="A61" s="196"/>
      <c r="B61" s="197"/>
      <c r="C61" s="144"/>
      <c r="D61" s="10"/>
      <c r="E61" s="10"/>
      <c r="F61" s="10"/>
      <c r="G61" s="476"/>
      <c r="H61" s="196"/>
      <c r="I61" s="197"/>
      <c r="J61" s="144"/>
      <c r="K61" s="10"/>
      <c r="L61" s="10"/>
      <c r="M61" s="10"/>
    </row>
    <row r="62" spans="1:26">
      <c r="A62" s="196"/>
      <c r="B62" s="197"/>
      <c r="C62" s="144"/>
      <c r="D62" s="10"/>
      <c r="E62" s="10"/>
      <c r="F62" s="10"/>
      <c r="G62" s="476"/>
      <c r="H62" s="196"/>
      <c r="I62" s="197"/>
      <c r="J62" s="144"/>
      <c r="K62" s="10"/>
      <c r="L62" s="10"/>
      <c r="M62" s="10"/>
    </row>
    <row r="63" spans="1:26">
      <c r="A63" s="173" t="s">
        <v>89</v>
      </c>
      <c r="B63" s="174">
        <f>IF('3b. High Cost Fund'!B3="No",0,SUM(B58:B62))</f>
        <v>0</v>
      </c>
      <c r="C63" s="144"/>
      <c r="D63" s="10"/>
      <c r="E63" s="10"/>
      <c r="F63" s="10"/>
      <c r="G63" s="476"/>
      <c r="H63" s="175" t="s">
        <v>90</v>
      </c>
      <c r="I63" s="174">
        <f>IF('3b. High Cost Fund'!B3="No",0,SUM(I58:I62))</f>
        <v>0</v>
      </c>
      <c r="J63" s="144"/>
      <c r="K63" s="10"/>
      <c r="L63" s="10"/>
      <c r="M63" s="10"/>
    </row>
    <row r="64" spans="1:26" ht="16" thickBot="1">
      <c r="A64" s="470" t="s">
        <v>22</v>
      </c>
      <c r="B64" s="470"/>
      <c r="C64" s="144"/>
      <c r="D64" s="10"/>
      <c r="E64" s="10"/>
      <c r="F64" s="10"/>
      <c r="G64" s="476"/>
      <c r="H64" s="163"/>
      <c r="I64" s="200"/>
      <c r="J64" s="144"/>
      <c r="K64" s="10"/>
      <c r="L64" s="10"/>
      <c r="M64" s="10"/>
    </row>
    <row r="65" spans="1:13">
      <c r="A65" s="347" t="s">
        <v>107</v>
      </c>
      <c r="B65" s="348"/>
      <c r="C65" s="144"/>
      <c r="D65" s="10"/>
      <c r="E65" s="10"/>
      <c r="F65" s="10"/>
      <c r="G65" s="476"/>
      <c r="H65" s="347" t="s">
        <v>106</v>
      </c>
      <c r="I65" s="348"/>
      <c r="J65" s="144"/>
      <c r="K65" s="10"/>
      <c r="L65" s="10"/>
      <c r="M65" s="10"/>
    </row>
    <row r="66" spans="1:13">
      <c r="A66" s="242" t="s">
        <v>123</v>
      </c>
      <c r="B66" s="239" t="s">
        <v>124</v>
      </c>
      <c r="C66" s="144"/>
      <c r="D66" s="10"/>
      <c r="E66" s="10"/>
      <c r="F66" s="10"/>
      <c r="G66" s="476"/>
      <c r="H66" s="242" t="s">
        <v>123</v>
      </c>
      <c r="I66" s="239" t="s">
        <v>124</v>
      </c>
      <c r="J66" s="144"/>
      <c r="K66" s="10"/>
      <c r="L66" s="10"/>
      <c r="M66" s="10"/>
    </row>
    <row r="67" spans="1:13">
      <c r="A67" s="103" t="s">
        <v>0</v>
      </c>
      <c r="B67" s="240" t="e">
        <f>IF(B$28&gt;=0,(F$22+C$43+B$53+B$63),(F$22+C$43+B$53+B$63+B$32))</f>
        <v>#N/A</v>
      </c>
      <c r="C67" s="144"/>
      <c r="D67" s="10"/>
      <c r="E67" s="10"/>
      <c r="F67" s="10"/>
      <c r="G67" s="476"/>
      <c r="H67" s="103" t="s">
        <v>0</v>
      </c>
      <c r="I67" s="240">
        <f>IF(I$28&gt;=0,(M$22+J$43+I$53+I$63),(M$22+J$43+I$53+I$63+I$32))</f>
        <v>0</v>
      </c>
      <c r="J67" s="144"/>
      <c r="K67" s="10"/>
      <c r="L67" s="10"/>
      <c r="M67" s="10"/>
    </row>
    <row r="68" spans="1:13">
      <c r="A68" s="241" t="s">
        <v>2</v>
      </c>
      <c r="B68" s="174" t="e">
        <f>IF(B$28&gt;=0,(F$22+C$43+B$53+B$63),(F$22+C$43+B$53+B$63+C$32))</f>
        <v>#N/A</v>
      </c>
      <c r="C68" s="144"/>
      <c r="D68" s="10"/>
      <c r="E68" s="10"/>
      <c r="F68" s="10"/>
      <c r="G68" s="476"/>
      <c r="H68" s="241" t="s">
        <v>2</v>
      </c>
      <c r="I68" s="174">
        <f>IF(I$28&gt;=0,(M$22+J$43+I$53+I$63),(M$22+J$43+I$53+I$63+J$32))</f>
        <v>0</v>
      </c>
      <c r="J68" s="144"/>
      <c r="K68" s="10"/>
      <c r="L68" s="10"/>
      <c r="M68" s="10"/>
    </row>
    <row r="69" spans="1:13" ht="16" thickBot="1">
      <c r="A69" s="470" t="s">
        <v>22</v>
      </c>
      <c r="B69" s="470"/>
      <c r="C69" s="10"/>
      <c r="D69" s="10"/>
      <c r="E69" s="10"/>
      <c r="F69" s="10"/>
      <c r="G69" s="476"/>
      <c r="H69" s="474" t="s">
        <v>22</v>
      </c>
      <c r="I69" s="474"/>
      <c r="J69" s="10"/>
      <c r="K69" s="10"/>
      <c r="L69" s="10"/>
      <c r="M69" s="10"/>
    </row>
    <row r="70" spans="1:13" ht="31.15" customHeight="1">
      <c r="A70" s="336" t="s">
        <v>98</v>
      </c>
      <c r="B70" s="177"/>
      <c r="C70" s="11"/>
      <c r="D70" s="178"/>
      <c r="E70" s="10"/>
      <c r="F70" s="10"/>
      <c r="G70" s="476"/>
      <c r="H70" s="176" t="s">
        <v>98</v>
      </c>
      <c r="I70" s="177"/>
      <c r="J70" s="11"/>
      <c r="K70" s="178"/>
      <c r="L70" s="10"/>
      <c r="M70" s="10"/>
    </row>
    <row r="71" spans="1:13">
      <c r="A71" s="179" t="s">
        <v>71</v>
      </c>
      <c r="B71" s="180" t="s">
        <v>99</v>
      </c>
      <c r="C71" s="11" t="s">
        <v>100</v>
      </c>
      <c r="E71" s="10"/>
      <c r="F71" s="10"/>
      <c r="G71" s="476"/>
      <c r="H71" s="179" t="s">
        <v>71</v>
      </c>
      <c r="I71" s="180" t="s">
        <v>101</v>
      </c>
      <c r="J71" s="11" t="s">
        <v>100</v>
      </c>
      <c r="K71" s="10"/>
      <c r="L71" s="10"/>
      <c r="M71" s="10"/>
    </row>
    <row r="72" spans="1:13">
      <c r="A72" s="181" t="s">
        <v>102</v>
      </c>
      <c r="B72" s="198">
        <v>0</v>
      </c>
      <c r="C72" s="182" t="s">
        <v>103</v>
      </c>
      <c r="D72" s="10"/>
      <c r="E72" s="10"/>
      <c r="F72" s="10"/>
      <c r="G72" s="476"/>
      <c r="H72" s="181" t="s">
        <v>104</v>
      </c>
      <c r="I72" s="198">
        <v>0</v>
      </c>
      <c r="J72" s="182" t="s">
        <v>103</v>
      </c>
      <c r="K72" s="10"/>
      <c r="L72" s="10"/>
      <c r="M72" s="10"/>
    </row>
    <row r="73" spans="1:13" ht="30" customHeight="1">
      <c r="A73" s="345" t="s">
        <v>183</v>
      </c>
      <c r="B73" s="183"/>
      <c r="C73" s="183"/>
      <c r="D73" s="183"/>
      <c r="E73" s="183"/>
      <c r="F73" s="183"/>
      <c r="G73" s="476"/>
      <c r="H73" s="183"/>
      <c r="I73" s="183"/>
      <c r="J73" s="183"/>
      <c r="K73" s="183"/>
      <c r="L73" s="183"/>
      <c r="M73" s="183"/>
    </row>
    <row r="74" spans="1:13" s="185" customFormat="1">
      <c r="A74" s="358" t="s">
        <v>182</v>
      </c>
      <c r="B74" s="184"/>
      <c r="C74" s="184"/>
      <c r="D74" s="184"/>
      <c r="E74" s="184"/>
      <c r="F74" s="184"/>
      <c r="G74" s="184"/>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6D18im6ieVeiCX//kxdi7MwYyABNLzT5pHLZEr3uGNoZH+tllLY1hSTrS4T/6WPi7wEH70G4LhD2sx1kw1L1nQ==" saltValue="4rLlccZv6MzXCeNlXS9w6A==" spinCount="100000" sheet="1" formatColumns="0" formatRows="0"/>
  <mergeCells count="13">
    <mergeCell ref="A23:F23"/>
    <mergeCell ref="H23:M23"/>
    <mergeCell ref="A33:C33"/>
    <mergeCell ref="H33:J33"/>
    <mergeCell ref="A75:M75"/>
    <mergeCell ref="A44:C44"/>
    <mergeCell ref="H44:J44"/>
    <mergeCell ref="A54:B54"/>
    <mergeCell ref="H54:I54"/>
    <mergeCell ref="A69:B69"/>
    <mergeCell ref="H69:I69"/>
    <mergeCell ref="G1:G73"/>
    <mergeCell ref="A64:B64"/>
  </mergeCells>
  <conditionalFormatting sqref="A55">
    <cfRule type="containsText" dxfId="210" priority="2" operator="containsText" text="not valid">
      <formula>NOT(ISERROR(SEARCH("not valid",A55)))</formula>
    </cfRule>
  </conditionalFormatting>
  <conditionalFormatting sqref="H55">
    <cfRule type="containsText" dxfId="209" priority="1" operator="containsText" text="not valid">
      <formula>NOT(ISERROR(SEARCH("not valid",H55)))</formula>
    </cfRule>
  </conditionalFormatting>
  <dataValidations count="1">
    <dataValidation type="list" allowBlank="1" showInputMessage="1" showErrorMessage="1" sqref="B38:B42 I38:I42" xr:uid="{00000000-0002-0000-0700-000000000000}">
      <formula1>Exception_c</formula1>
    </dataValidation>
  </dataValidations>
  <hyperlinks>
    <hyperlink ref="C72" r:id="rId1" xr:uid="{00000000-0004-0000-0700-000000000000}"/>
    <hyperlink ref="J72" r:id="rId2" xr:uid="{00000000-0004-0000-0700-000001000000}"/>
    <hyperlink ref="A74" r:id="rId3" xr:uid="{00000000-0004-0000-07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70C0"/>
  </sheetPr>
  <dimension ref="A1:F43"/>
  <sheetViews>
    <sheetView showGridLines="0" zoomScaleNormal="100" workbookViewId="0">
      <selection activeCell="A39" sqref="A39"/>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1: State Fiscal Year ",'2. Getting Started'!B6)</f>
        <v>Summary of Year 1: State Fiscal Year 2021</v>
      </c>
      <c r="B1" s="299"/>
      <c r="C1" s="299"/>
      <c r="D1" s="21" t="s">
        <v>14</v>
      </c>
      <c r="E1" s="20" t="str">
        <f>IF('2. Getting Started'!B2="","",'2. Getting Started'!B2)</f>
        <v/>
      </c>
    </row>
    <row r="2" spans="1:5" ht="18.5">
      <c r="A2" s="2" t="str">
        <f>CONCATENATE("State fiscal year ",'2. Getting Started'!B6," covers the period ",'2. Getting Started'!B4,", ",'2. Getting Started'!B6-1," through ",'2. Getting Started'!B5,", ",'2. Getting Started'!B6)</f>
        <v>State fiscal year 2021 covers the period July 1, 2020 through June 30, 2021</v>
      </c>
      <c r="B2" s="299"/>
      <c r="C2" s="299"/>
      <c r="D2" s="300"/>
      <c r="E2" s="299"/>
    </row>
    <row r="3" spans="1:5" ht="18.5">
      <c r="A3" s="8"/>
      <c r="B3" s="18"/>
      <c r="C3" s="18"/>
      <c r="D3" s="202"/>
      <c r="E3" s="18"/>
    </row>
    <row r="4" spans="1:5" ht="15.5">
      <c r="A4" s="5" t="s">
        <v>7</v>
      </c>
      <c r="B4" s="4"/>
      <c r="C4" s="4"/>
      <c r="D4" s="4"/>
      <c r="E4" s="4"/>
    </row>
    <row r="5" spans="1:5">
      <c r="A5" s="218" t="s">
        <v>125</v>
      </c>
      <c r="B5" s="244" t="s">
        <v>0</v>
      </c>
      <c r="C5" s="244" t="s">
        <v>2</v>
      </c>
      <c r="D5" s="244" t="s">
        <v>3</v>
      </c>
      <c r="E5" s="245" t="s">
        <v>4</v>
      </c>
    </row>
    <row r="6" spans="1:5">
      <c r="A6" s="243" t="s">
        <v>44</v>
      </c>
      <c r="B6" s="247"/>
      <c r="C6" s="248"/>
      <c r="D6" s="248"/>
      <c r="E6" s="249"/>
    </row>
    <row r="7" spans="1:5">
      <c r="A7" s="243" t="s">
        <v>45</v>
      </c>
      <c r="B7" s="250"/>
      <c r="C7" s="251"/>
      <c r="D7" s="251"/>
      <c r="E7" s="252"/>
    </row>
    <row r="8" spans="1:5">
      <c r="A8" s="243" t="s">
        <v>9</v>
      </c>
      <c r="B8" s="250" t="s">
        <v>109</v>
      </c>
      <c r="C8" s="251"/>
      <c r="D8" s="251"/>
      <c r="E8" s="252"/>
    </row>
    <row r="9" spans="1:5">
      <c r="A9" s="243" t="s">
        <v>117</v>
      </c>
      <c r="B9" s="250"/>
      <c r="C9" s="251"/>
      <c r="D9" s="251"/>
      <c r="E9" s="252"/>
    </row>
    <row r="10" spans="1:5">
      <c r="A10" s="246" t="s">
        <v>46</v>
      </c>
      <c r="B10" s="253"/>
      <c r="C10" s="254"/>
      <c r="D10" s="254"/>
      <c r="E10" s="255"/>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f>'38. Total Local Funds'!F4</f>
        <v>2020</v>
      </c>
      <c r="C14" s="3">
        <f>'39. Total State &amp; Local Funds'!F4</f>
        <v>2020</v>
      </c>
      <c r="D14" s="3">
        <f>'40. Local Funds Per Capita'!F4</f>
        <v>2020</v>
      </c>
      <c r="E14" s="257">
        <f>'41. State &amp; Local Funds Per Cap'!F4</f>
        <v>2020</v>
      </c>
    </row>
    <row r="15" spans="1:5">
      <c r="A15" s="243" t="s">
        <v>45</v>
      </c>
      <c r="B15" s="17">
        <f>'38. Total Local Funds'!F5</f>
        <v>0</v>
      </c>
      <c r="C15" s="17">
        <f>'39. Total State &amp; Local Funds'!F5</f>
        <v>0</v>
      </c>
      <c r="D15" s="17" t="e">
        <f>'40. Local Funds Per Capita'!F5</f>
        <v>#DIV/0!</v>
      </c>
      <c r="E15" s="258" t="e">
        <f>'41. State &amp; Local Funds Per Cap'!F5</f>
        <v>#DIV/0!</v>
      </c>
    </row>
    <row r="16" spans="1:5">
      <c r="A16" s="243" t="s">
        <v>11</v>
      </c>
      <c r="B16" s="17">
        <f>'5. Year 1 Amounts'!K30</f>
        <v>0</v>
      </c>
      <c r="C16" s="17">
        <f>'5. Year 1 Amounts'!M30</f>
        <v>0</v>
      </c>
      <c r="D16" s="17" t="e">
        <f>'5. Year 1 Amounts'!K31</f>
        <v>#DIV/0!</v>
      </c>
      <c r="E16" s="258" t="e">
        <f>'5. Year 1 Amounts'!M31</f>
        <v>#DIV/0!</v>
      </c>
    </row>
    <row r="17" spans="1:5">
      <c r="A17" s="243" t="s">
        <v>117</v>
      </c>
      <c r="B17" s="201" t="str">
        <f>IF(B16="","",IF(B16&gt;=B15,"Met",IF(AND(B16&lt;B15,'38. Total Local Funds'!F14="Met"),"Met with Exceptions &amp; Adjustments","Did Not Meet")))</f>
        <v>Met</v>
      </c>
      <c r="C17" s="201" t="str">
        <f>IF(C16="","",IF(C16&gt;=C15,"Met",IF(AND(C16&lt;C15,'39. Total State &amp; Local Funds'!F14="Met"),"Met with Exceptions &amp; Adjustments","Did Not Meet")))</f>
        <v>Met</v>
      </c>
      <c r="D17" s="201" t="e">
        <f>IF(D16="","",IF(D16&gt;=D15,"Met",IF(AND(D16&lt;D15,'40. Local Funds Per Capita'!F15="Met"),"Met with Exceptions &amp; Adjustments","Did Not Meet")))</f>
        <v>#DIV/0!</v>
      </c>
      <c r="E17" s="259" t="e">
        <f>IF(E16="","",IF(E16&gt;=E15,"Met",IF(AND(E16&lt;E15,'41. State &amp; Local Funds Per Cap'!F15="Met"),"Met with Exceptions &amp; Adjustments","Did Not Meet")))</f>
        <v>#DIV/0!</v>
      </c>
    </row>
    <row r="18" spans="1:5">
      <c r="A18" s="246" t="s">
        <v>46</v>
      </c>
      <c r="B18" s="256">
        <f>IF(B17="","",IF(B17="Did Not Meet",'38. Total Local Funds'!F12-'38. Total Local Funds'!F13,0))</f>
        <v>0</v>
      </c>
      <c r="C18" s="256">
        <f>IF(C17="","",IF(C17="Did Not Meet",'39. Total State &amp; Local Funds'!F12-'39. Total State &amp; Local Funds'!F13,0))</f>
        <v>0</v>
      </c>
      <c r="D18" s="256" t="e">
        <f>IF(D17="","",IF(D17="Did Not Meet",(('40. Local Funds Per Capita'!F13-'40. Local Funds Per Capita'!F14)*'5. Year 1 Amounts'!I1),0))</f>
        <v>#DIV/0!</v>
      </c>
      <c r="E18" s="261" t="e">
        <f>IF(E17="","",IF(E17="Did Not Meet",(('41. State &amp; Local Funds Per Cap'!F13-'41. State &amp; Local Funds Per Cap'!F14)*'5. Year 1 Amounts'!I1),0))</f>
        <v>#DIV/0!</v>
      </c>
    </row>
    <row r="19" spans="1:5">
      <c r="A19" s="464" t="s">
        <v>174</v>
      </c>
      <c r="B19" s="464"/>
      <c r="C19" s="464"/>
      <c r="D19" s="464"/>
      <c r="E19" s="464"/>
    </row>
    <row r="20" spans="1:5" ht="15.5">
      <c r="A20" s="199" t="e">
        <f>IF(AND(B17="Did Not Meet",C17="Did Not Meet",D17="Did Not Meet",E17="Did Not Meet"),"The LEA has failed the Compliance Standard by all four methods. Complete the table below.","The LEA has met the Compliance Standard by at least one method. You do not need to complete the table below.")</f>
        <v>#DIV/0!</v>
      </c>
      <c r="B20" s="9"/>
    </row>
    <row r="21" spans="1:5">
      <c r="A21" s="260" t="s">
        <v>126</v>
      </c>
      <c r="B21" s="262" t="s">
        <v>127</v>
      </c>
    </row>
    <row r="22" spans="1:5">
      <c r="A22" s="243" t="s">
        <v>110</v>
      </c>
      <c r="B22" s="272"/>
    </row>
    <row r="23" spans="1:5">
      <c r="A23" s="243" t="s">
        <v>111</v>
      </c>
      <c r="B23" s="272"/>
    </row>
    <row r="24" spans="1:5">
      <c r="A24" s="243" t="s">
        <v>112</v>
      </c>
      <c r="B24" s="258">
        <f>B22+B23</f>
        <v>0</v>
      </c>
    </row>
    <row r="25" spans="1:5">
      <c r="A25" s="243" t="s">
        <v>113</v>
      </c>
      <c r="B25" s="258" t="e">
        <f>MIN(B24,B18,C18,D18,E18)</f>
        <v>#DIV/0!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f>
        <v>Exceptions and Adjustment Claimed for State Fiscal Year 2021</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'6. Year 1 Exc &amp; Adj'!F22</f>
        <v>0</v>
      </c>
      <c r="C34" s="258">
        <f>'6. Year 1 Exc &amp; Adj'!F22</f>
        <v>0</v>
      </c>
      <c r="D34" s="326">
        <f>'6. Year 1 Exc &amp; Adj'!M22</f>
        <v>0</v>
      </c>
      <c r="E34" s="17">
        <f>'6. Year 1 Exc &amp; Adj'!M22</f>
        <v>0</v>
      </c>
    </row>
    <row r="35" spans="1:5">
      <c r="A35" s="224" t="s">
        <v>140</v>
      </c>
      <c r="B35" s="17" t="e">
        <f>'6. Year 1 Exc &amp; Adj'!B32</f>
        <v>#N/A</v>
      </c>
      <c r="C35" s="258" t="e">
        <f>'6. Year 1 Exc &amp; Adj'!C32</f>
        <v>#N/A</v>
      </c>
      <c r="D35" s="326" t="e">
        <f>'6. Year 1 Exc &amp; Adj'!I32</f>
        <v>#DIV/0!</v>
      </c>
      <c r="E35" s="258" t="e">
        <f>'6. Year 1 Exc &amp; Adj'!J32</f>
        <v>#DIV/0!</v>
      </c>
    </row>
    <row r="36" spans="1:5">
      <c r="A36" s="224" t="s">
        <v>141</v>
      </c>
      <c r="B36" s="17">
        <f>'6. Year 1 Exc &amp; Adj'!C43</f>
        <v>0</v>
      </c>
      <c r="C36" s="258">
        <f>'6. Year 1 Exc &amp; Adj'!C43</f>
        <v>0</v>
      </c>
      <c r="D36" s="326">
        <f>'6. Year 1 Exc &amp; Adj'!J43</f>
        <v>0</v>
      </c>
      <c r="E36" s="17">
        <f>'6. Year 1 Exc &amp; Adj'!J43</f>
        <v>0</v>
      </c>
    </row>
    <row r="37" spans="1:5">
      <c r="A37" s="224" t="s">
        <v>142</v>
      </c>
      <c r="B37" s="17">
        <f>'6. Year 1 Exc &amp; Adj'!B53</f>
        <v>0</v>
      </c>
      <c r="C37" s="258">
        <f>'6. Year 1 Exc &amp; Adj'!B53</f>
        <v>0</v>
      </c>
      <c r="D37" s="326">
        <f>'6. Year 1 Exc &amp; Adj'!I53</f>
        <v>0</v>
      </c>
      <c r="E37" s="17">
        <f>'6. Year 1 Exc &amp; Adj'!I53</f>
        <v>0</v>
      </c>
    </row>
    <row r="38" spans="1:5">
      <c r="A38" s="224" t="str">
        <f>IF('3b. High Cost Fund'!B3="No","This exception is not valid for your state.","Exception (e)")</f>
        <v>Exception (e)</v>
      </c>
      <c r="B38" s="331">
        <f>IF('3b. High Cost Fund'!B3="No","",'6. Year 1 Exc &amp; Adj'!B63)</f>
        <v>0</v>
      </c>
      <c r="C38" s="332">
        <f>IF('3b. High Cost Fund'!B3="No","",'6. Year 1 Exc &amp; Adj'!B63)</f>
        <v>0</v>
      </c>
      <c r="D38" s="326">
        <f>IF('3b. High Cost Fund'!B3="No","",'6. Year 1 Exc &amp; Adj'!I63)</f>
        <v>0</v>
      </c>
      <c r="E38" s="331">
        <f>IF('3b. High Cost Fund'!B3="No","",'6. Year 1 Exc &amp; Adj'!I63)</f>
        <v>0</v>
      </c>
    </row>
    <row r="39" spans="1:5">
      <c r="A39" s="224" t="s">
        <v>143</v>
      </c>
      <c r="B39" s="17">
        <f>AdjDataYear1Budget[Projected Adjustment]</f>
        <v>0</v>
      </c>
      <c r="C39" s="17">
        <f>AdjDataYear1Budget[Projected Adjustment]</f>
        <v>0</v>
      </c>
      <c r="D39" s="327">
        <f>AdjDataYear1Expenditures[[Adjustment ]]</f>
        <v>0</v>
      </c>
      <c r="E39" s="17">
        <f>AdjDataYear1Expenditures[[Adjustment ]]</f>
        <v>0</v>
      </c>
    </row>
    <row r="40" spans="1:5">
      <c r="A40" s="246" t="s">
        <v>124</v>
      </c>
      <c r="B40" s="328" t="e">
        <f>SUM(B34:B39)</f>
        <v>#N/A</v>
      </c>
      <c r="C40" s="329" t="e">
        <f>SUM(C34:C39)</f>
        <v>#N/A</v>
      </c>
      <c r="D40" s="330" t="e">
        <f>SUM(D34:D39)</f>
        <v>#DIV/0!</v>
      </c>
      <c r="E40" s="329" t="e">
        <f>SUM(E34:E39)</f>
        <v>#DIV/0!</v>
      </c>
    </row>
    <row r="41" spans="1:5" ht="30"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NhfUGuUbTSCRwcjIKLcgiwH+1a2jKl81705eU0Hlol0Eofx1Jo5ZxP0oVZM6uu9mUkUWJsGyOE0QMGSz895v8w==" saltValue="vtrgvlFgwNn2pHwS4BgQIA==" spinCount="100000" sheet="1" objects="1" scenarios="1" formatColumns="0" formatRows="0"/>
  <mergeCells count="5">
    <mergeCell ref="A11:E11"/>
    <mergeCell ref="A19:E19"/>
    <mergeCell ref="A28:E28"/>
    <mergeCell ref="A30:E30"/>
    <mergeCell ref="A43:E43"/>
  </mergeCells>
  <conditionalFormatting sqref="B17:E17">
    <cfRule type="containsText" dxfId="208" priority="1" operator="containsText" text="Did Not Meet">
      <formula>NOT(ISERROR(SEARCH("Did Not Meet",B17)))</formula>
    </cfRule>
    <cfRule type="containsText" dxfId="207" priority="2" operator="containsText" text="Met">
      <formula>NOT(ISERROR(SEARCH("Met",B17)))</formula>
    </cfRule>
  </conditionalFormatting>
  <hyperlinks>
    <hyperlink ref="A29" location="'4. Multi-Year MOE Summary'!A4" display="Go to the Multi-Year MOE Summary" xr:uid="{00000000-0004-0000-0800-000000000000}"/>
    <hyperlink ref="A42" r:id="rId1" xr:uid="{00000000-0004-0000-08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70C0"/>
  </sheetPr>
  <dimension ref="A1:F43"/>
  <sheetViews>
    <sheetView showGridLines="0" workbookViewId="0">
      <selection activeCell="E10" sqref="E10"/>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2: State Fiscal Year ",'2. Getting Started'!B6+1)</f>
        <v>Summary of Year 2: State Fiscal Year 2022</v>
      </c>
      <c r="B1" s="299"/>
      <c r="C1" s="299"/>
      <c r="D1" s="21" t="s">
        <v>14</v>
      </c>
      <c r="E1" s="20" t="str">
        <f>IF('2. Getting Started'!B2="","",'2. Getting Started'!B2)</f>
        <v/>
      </c>
    </row>
    <row r="2" spans="1:5" ht="18.5">
      <c r="A2" s="2" t="str">
        <f>CONCATENATE("State fiscal year ",'2. Getting Started'!B6+1," covers the period ",'2. Getting Started'!B4,", ",'2. Getting Started'!B6," through ",'2. Getting Started'!B5,", ",'2. Getting Started'!B6+1)</f>
        <v>State fiscal year 2022 covers the period July 1, 2021 through June 30, 2022</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203">
        <f>'38. Total Local Funds'!$B4</f>
        <v>2020</v>
      </c>
      <c r="C6" s="203">
        <f>'39. Total State &amp; Local Funds'!$B4</f>
        <v>2020</v>
      </c>
      <c r="D6" s="203">
        <f>'40. Local Funds Per Capita'!$B4</f>
        <v>2020</v>
      </c>
      <c r="E6" s="266">
        <f>'41. State &amp; Local Funds Per Cap'!$B4</f>
        <v>2020</v>
      </c>
    </row>
    <row r="7" spans="1:5">
      <c r="A7" s="243" t="s">
        <v>45</v>
      </c>
      <c r="B7" s="205">
        <f>'38. Total Local Funds'!$B5</f>
        <v>0</v>
      </c>
      <c r="C7" s="205">
        <f>'39. Total State &amp; Local Funds'!$B5</f>
        <v>0</v>
      </c>
      <c r="D7" s="205" t="e">
        <f>'40. Local Funds Per Capita'!$B5</f>
        <v>#DIV/0!</v>
      </c>
      <c r="E7" s="267" t="e">
        <f>'41. State &amp; Local Funds Per Cap'!$B5</f>
        <v>#DIV/0!</v>
      </c>
    </row>
    <row r="8" spans="1:5">
      <c r="A8" s="243" t="s">
        <v>9</v>
      </c>
      <c r="B8" s="205">
        <f>'8. Year 2 Amounts'!D30</f>
        <v>0</v>
      </c>
      <c r="C8" s="205">
        <f>'8. Year 2 Amounts'!F30</f>
        <v>0</v>
      </c>
      <c r="D8" s="205" t="e">
        <f>'8. Year 2 Amounts'!D31</f>
        <v>#N/A</v>
      </c>
      <c r="E8" s="267" t="e">
        <f>'8. Year 2 Amounts'!F31</f>
        <v>#N/A</v>
      </c>
    </row>
    <row r="9" spans="1:5">
      <c r="A9" s="243" t="s">
        <v>117</v>
      </c>
      <c r="B9" s="201" t="str">
        <f>IF(B8="","",IF(B8&gt;=B7,"Met",IF(AND(B8&lt;B7,'38. Total Local Funds'!$B22="Met"),"Met with Exceptions &amp; Adjustments","Did Not Meet")))</f>
        <v>Met</v>
      </c>
      <c r="C9" s="201" t="str">
        <f>IF(C8="","",IF(C8&gt;=C7,"Met",IF(AND(C8&lt;C7,'39. Total State &amp; Local Funds'!$B22="Met"),"Met with Exceptions &amp; Adjustments","Did Not Meet")))</f>
        <v>Met</v>
      </c>
      <c r="D9" s="201" t="e">
        <f>IF(D8="","",IF(D8&gt;=D7,"Met",IF(AND(D8&lt;D7,'40. Local Funds Per Capita'!$B23="Met"),"Met with Exceptions &amp; Adjustments","Did Not Meet")))</f>
        <v>#N/A</v>
      </c>
      <c r="E9" s="259" t="e">
        <f>IF(E8="","",IF(E8&gt;=E7,"Met",IF(AND(E8&lt;E7,'41. State &amp; Local Funds Per Cap'!$B23="Met"),"Met with Exceptions &amp; Adjustments","Did Not Meet")))</f>
        <v>#N/A</v>
      </c>
    </row>
    <row r="10" spans="1:5">
      <c r="A10" s="246" t="s">
        <v>46</v>
      </c>
      <c r="B10" s="256">
        <f>IF(B9="","",IF(B9="Did Not Meet",'38. Total Local Funds'!$B20-'38. Total Local Funds'!$B21,0))</f>
        <v>0</v>
      </c>
      <c r="C10" s="256">
        <f>IF(C9="","",IF(C9="Did Not Meet",'39. Total State &amp; Local Funds'!$B20-'39. Total State &amp; Local Funds'!$B21,0))</f>
        <v>0</v>
      </c>
      <c r="D10" s="256" t="e">
        <f>IF(D9="","",IF(D9="Did Not Meet",(('40. Local Funds Per Capita'!$B21-'40. Local Funds Per Capita'!$B22)*'8. Year 2 Amounts'!B1),0))</f>
        <v>#N/A</v>
      </c>
      <c r="E10" s="261" t="e">
        <f>IF(E9="","",IF(E9="Did Not Meet",(('41. State &amp; Local Funds Per Cap'!$B21-'41. State &amp; Local Funds Per Cap'!$B22)*'8. Year 2 Amounts'!B1),0))</f>
        <v>#N/A</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f>IF('2. Getting Started'!B10="","",IF('38. Total Local Funds'!$F14="Met",'2. Getting Started'!$B$6,'2. Getting Started'!$B10))</f>
        <v>2021</v>
      </c>
      <c r="C14" s="3">
        <f>IF('2. Getting Started'!B11="","",IF('39. Total State &amp; Local Funds'!$F14="Met",'2. Getting Started'!$B$6,'2. Getting Started'!$B11))</f>
        <v>2021</v>
      </c>
      <c r="D14" s="3" t="e">
        <f>IF('2. Getting Started'!B12="","",IF('40. Local Funds Per Capita'!$F15="Met",'2. Getting Started'!$B$6,'2. Getting Started'!$B12))</f>
        <v>#DIV/0!</v>
      </c>
      <c r="E14" s="257" t="e">
        <f>IF('2. Getting Started'!B13="","",IF('41. State &amp; Local Funds Per Cap'!$F15="Met",'2. Getting Started'!$B$6,'2. Getting Started'!$B13))</f>
        <v>#DIV/0!</v>
      </c>
    </row>
    <row r="15" spans="1:5">
      <c r="A15" s="243" t="s">
        <v>45</v>
      </c>
      <c r="B15" s="17">
        <f>IF(B14="","",IF(B14='2. Getting Started'!$B$6,'5. Year 1 Amounts'!K30,'2. Getting Started'!$C10))</f>
        <v>0</v>
      </c>
      <c r="C15" s="17">
        <f>IF(C14="","",IF(C14='2. Getting Started'!$B$6,'5. Year 1 Amounts'!M30,'2. Getting Started'!$C11))</f>
        <v>0</v>
      </c>
      <c r="D15" s="17" t="e">
        <f>IF(D14="","",IF(D14='2. Getting Started'!$B$6,'5. Year 1 Amounts'!K31,'2. Getting Started'!$C12))</f>
        <v>#DIV/0!</v>
      </c>
      <c r="E15" s="258" t="e">
        <f>IF(E14="","",IF(E14='2. Getting Started'!$B$6,'5. Year 1 Amounts'!M31,'2. Getting Started'!$C13))</f>
        <v>#DIV/0!</v>
      </c>
    </row>
    <row r="16" spans="1:5">
      <c r="A16" s="243" t="s">
        <v>11</v>
      </c>
      <c r="B16" s="17">
        <f>'8. Year 2 Amounts'!K30</f>
        <v>0</v>
      </c>
      <c r="C16" s="17">
        <f>'8. Year 2 Amounts'!M30</f>
        <v>0</v>
      </c>
      <c r="D16" s="17" t="e">
        <f>'8. Year 2 Amounts'!K31</f>
        <v>#N/A</v>
      </c>
      <c r="E16" s="258" t="e">
        <f>'8. Year 2 Amounts'!M31</f>
        <v>#N/A</v>
      </c>
    </row>
    <row r="17" spans="1:5">
      <c r="A17" s="243" t="s">
        <v>117</v>
      </c>
      <c r="B17" s="201" t="str">
        <f>IF(B16="","",IF(B16&gt;=B15,"Met",IF(AND(B16&lt;B15,'38. Total Local Funds'!F22="Met"),"Met with Exceptions &amp; Adjustments","Did Not Meet")))</f>
        <v>Met</v>
      </c>
      <c r="C17" s="201" t="str">
        <f>IF(C16="","",IF(C16&gt;=C15,"Met",IF(AND(C16&lt;C15,'39. Total State &amp; Local Funds'!F22="Met"),"Met with Exceptions &amp; Adjustments","Did Not Meet")))</f>
        <v>Met</v>
      </c>
      <c r="D17" s="201" t="e">
        <f>IF(D16="","",IF(D16&gt;=D15,"Met",IF(AND(D16&lt;D15,'40. Local Funds Per Capita'!F23="Met"),"Met with Exceptions &amp; Adjustments","Did Not Meet")))</f>
        <v>#N/A</v>
      </c>
      <c r="E17" s="259" t="e">
        <f>IF(E16="","",IF(E16&gt;=E15,"Met",IF(AND(E16&lt;E15,'41. State &amp; Local Funds Per Cap'!F23="Met"),"Met with Exceptions &amp; Adjustments","Did Not Meet")))</f>
        <v>#N/A</v>
      </c>
    </row>
    <row r="18" spans="1:5">
      <c r="A18" s="246" t="s">
        <v>46</v>
      </c>
      <c r="B18" s="256">
        <f>IF(B17="","",IF(B17="Did Not Meet",'38. Total Local Funds'!F20-'38. Total Local Funds'!F21,0))</f>
        <v>0</v>
      </c>
      <c r="C18" s="256">
        <f>IF(C17="","",IF(C17="Did Not Meet",'39. Total State &amp; Local Funds'!F20-'39. Total State &amp; Local Funds'!F21,0))</f>
        <v>0</v>
      </c>
      <c r="D18" s="256" t="e">
        <f>IF(D17="","",IF(D17="Did Not Meet",(('40. Local Funds Per Capita'!F21-'40. Local Funds Per Capita'!F22)*'8. Year 2 Amounts'!I1),0))</f>
        <v>#N/A</v>
      </c>
      <c r="E18" s="261" t="e">
        <f>IF(E17="","",IF(E17="Did Not Meet",(('41. State &amp; Local Funds Per Cap'!F21-'41. State &amp; Local Funds Per Cap'!F22)*'8. Year 2 Amounts'!I1),0))</f>
        <v>#N/A</v>
      </c>
    </row>
    <row r="19" spans="1:5">
      <c r="A19" s="464" t="s">
        <v>174</v>
      </c>
      <c r="B19" s="464"/>
      <c r="C19" s="464"/>
      <c r="D19" s="464"/>
      <c r="E19" s="464"/>
    </row>
    <row r="20" spans="1:5" ht="15.5">
      <c r="A20" s="199" t="e">
        <f>IF(AND(B17="Did Not Meet",C17="Did Not Meet",D17="Did Not Meet",E17="Did Not Meet"),"The LEA has failed the Compliance Standard by all four methods. Complete the table below.","The LEA has met the Compliance Standard by at least one method. You do not need to complete the table below.")</f>
        <v>#N/A</v>
      </c>
      <c r="B20" s="9"/>
    </row>
    <row r="21" spans="1:5">
      <c r="A21" s="218" t="s">
        <v>126</v>
      </c>
      <c r="B21" s="268" t="s">
        <v>128</v>
      </c>
    </row>
    <row r="22" spans="1:5">
      <c r="A22" s="243" t="s">
        <v>110</v>
      </c>
      <c r="B22" s="272"/>
    </row>
    <row r="23" spans="1:5">
      <c r="A23" s="243" t="s">
        <v>111</v>
      </c>
      <c r="B23" s="272"/>
    </row>
    <row r="24" spans="1:5">
      <c r="A24" s="243" t="s">
        <v>112</v>
      </c>
      <c r="B24" s="258">
        <f>B22+B23</f>
        <v>0</v>
      </c>
    </row>
    <row r="25" spans="1:5">
      <c r="A25" s="243" t="s">
        <v>113</v>
      </c>
      <c r="B25" s="258" t="e">
        <f>MIN(B24,B18,C18,D18,E18)</f>
        <v>#N/A</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Started'!B6+1)</f>
        <v>Exceptions and Adjustment Claimed for State Fiscal Year 2022</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'9. Year 2 Exc &amp; Adj'!F22</f>
        <v>0</v>
      </c>
      <c r="C34" s="258">
        <f>'9. Year 2 Exc &amp; Adj'!F22</f>
        <v>0</v>
      </c>
      <c r="D34" s="326">
        <f>'9. Year 2 Exc &amp; Adj'!M22</f>
        <v>0</v>
      </c>
      <c r="E34" s="17">
        <f>'9. Year 2 Exc &amp; Adj'!M22</f>
        <v>0</v>
      </c>
    </row>
    <row r="35" spans="1:5">
      <c r="A35" s="224" t="s">
        <v>140</v>
      </c>
      <c r="B35" s="17" t="e">
        <f>'9. Year 2 Exc &amp; Adj'!B32</f>
        <v>#N/A</v>
      </c>
      <c r="C35" s="258" t="e">
        <f>'9. Year 2 Exc &amp; Adj'!C32</f>
        <v>#N/A</v>
      </c>
      <c r="D35" s="326" t="e">
        <f>'9. Year 2 Exc &amp; Adj'!I32</f>
        <v>#N/A</v>
      </c>
      <c r="E35" s="258" t="e">
        <f>'9. Year 2 Exc &amp; Adj'!J32</f>
        <v>#N/A</v>
      </c>
    </row>
    <row r="36" spans="1:5">
      <c r="A36" s="224" t="s">
        <v>141</v>
      </c>
      <c r="B36" s="17">
        <f>'9. Year 2 Exc &amp; Adj'!C43</f>
        <v>0</v>
      </c>
      <c r="C36" s="258">
        <f>'9. Year 2 Exc &amp; Adj'!C43</f>
        <v>0</v>
      </c>
      <c r="D36" s="326">
        <f>'9. Year 2 Exc &amp; Adj'!J43</f>
        <v>0</v>
      </c>
      <c r="E36" s="17">
        <f>'9. Year 2 Exc &amp; Adj'!J43</f>
        <v>0</v>
      </c>
    </row>
    <row r="37" spans="1:5">
      <c r="A37" s="224" t="s">
        <v>142</v>
      </c>
      <c r="B37" s="17">
        <f>'9. Year 2 Exc &amp; Adj'!B53</f>
        <v>0</v>
      </c>
      <c r="C37" s="258">
        <f>'9. Year 2 Exc &amp; Adj'!B53</f>
        <v>0</v>
      </c>
      <c r="D37" s="326">
        <f>'9. Year 2 Exc &amp; Adj'!I53</f>
        <v>0</v>
      </c>
      <c r="E37" s="17">
        <f>'9. Year 2 Exc &amp; Adj'!I53</f>
        <v>0</v>
      </c>
    </row>
    <row r="38" spans="1:5">
      <c r="A38" s="224" t="str">
        <f>IF('3b. High Cost Fund'!B4="No","This exception is not valid for your state.","Exception (e)")</f>
        <v>Exception (e)</v>
      </c>
      <c r="B38" s="331">
        <f>IF('3b. High Cost Fund'!B4="No","",'9. Year 2 Exc &amp; Adj'!B63)</f>
        <v>0</v>
      </c>
      <c r="C38" s="332">
        <f>IF('3b. High Cost Fund'!B4="No","",'9. Year 2 Exc &amp; Adj'!B63)</f>
        <v>0</v>
      </c>
      <c r="D38" s="326">
        <f>IF('3b. High Cost Fund'!B4="No","",'9. Year 2 Exc &amp; Adj'!I63)</f>
        <v>0</v>
      </c>
      <c r="E38" s="331">
        <f>IF('3b. High Cost Fund'!B4="No","",'9. Year 2 Exc &amp; Adj'!I63)</f>
        <v>0</v>
      </c>
    </row>
    <row r="39" spans="1:5">
      <c r="A39" s="224" t="s">
        <v>143</v>
      </c>
      <c r="B39" s="17">
        <f>AdjDataYear2Budget[Projected Adjustment]</f>
        <v>0</v>
      </c>
      <c r="C39" s="17">
        <f>AdjDataYear2Budget[Projected Adjustment]</f>
        <v>0</v>
      </c>
      <c r="D39" s="327">
        <f>AdjDataYear2Expenditures[[Adjustment ]]</f>
        <v>0</v>
      </c>
      <c r="E39" s="17">
        <f>AdjDataYear2Expenditures[[Adjustment ]]</f>
        <v>0</v>
      </c>
    </row>
    <row r="40" spans="1:5">
      <c r="A40" s="246" t="s">
        <v>124</v>
      </c>
      <c r="B40" s="328" t="e">
        <f>SUM(B34:B39)</f>
        <v>#N/A</v>
      </c>
      <c r="C40" s="329" t="e">
        <f>SUM(C34:C39)</f>
        <v>#N/A</v>
      </c>
      <c r="D40" s="330" t="e">
        <f>SUM(D34:D39)</f>
        <v>#N/A</v>
      </c>
      <c r="E40" s="329" t="e">
        <f>SUM(E34:E39)</f>
        <v>#N/A</v>
      </c>
    </row>
    <row r="41" spans="1:5" ht="27"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fizNg86/RIofpZObiw0POXVauGmKAxrDKbZWm/ta95RHrxHRfeCLjJ1YiSx45X8Elq18X3O08kUv7hoabFHZ8g==" saltValue="GGaZdEznQA+LmadrsHJNFQ==" spinCount="100000" sheet="1" objects="1" scenarios="1" formatColumns="0" formatRows="0"/>
  <mergeCells count="5">
    <mergeCell ref="A11:E11"/>
    <mergeCell ref="A19:E19"/>
    <mergeCell ref="A28:E28"/>
    <mergeCell ref="A30:E30"/>
    <mergeCell ref="A43:E43"/>
  </mergeCells>
  <conditionalFormatting sqref="B9:E9">
    <cfRule type="containsText" dxfId="206" priority="1" operator="containsText" text="Did Not Meet">
      <formula>NOT(ISERROR(SEARCH("Did Not Meet",B9)))</formula>
    </cfRule>
    <cfRule type="containsText" dxfId="205" priority="2" operator="containsText" text="Met">
      <formula>NOT(ISERROR(SEARCH("Met",B9)))</formula>
    </cfRule>
  </conditionalFormatting>
  <conditionalFormatting sqref="B17:E17">
    <cfRule type="containsText" dxfId="204" priority="3" operator="containsText" text="Did Not Meet">
      <formula>NOT(ISERROR(SEARCH("Did Not Meet",B17)))</formula>
    </cfRule>
    <cfRule type="containsText" dxfId="203" priority="4" operator="containsText" text="Met">
      <formula>NOT(ISERROR(SEARCH("Met",B17)))</formula>
    </cfRule>
  </conditionalFormatting>
  <hyperlinks>
    <hyperlink ref="A29" location="'4. Multi-Year MOE Summary'!A5" display="Go to the Multi-Year MOE Summary" xr:uid="{00000000-0004-0000-0B00-000000000000}"/>
    <hyperlink ref="A42" r:id="rId1" xr:uid="{00000000-0004-0000-0B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70C0"/>
  </sheetPr>
  <dimension ref="A1:F43"/>
  <sheetViews>
    <sheetView showGridLines="0" workbookViewId="0"/>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3: State Fiscal Year ",'2. Getting Started'!B6+2)</f>
        <v>Summary of Year 3: State Fiscal Year 2023</v>
      </c>
      <c r="B1" s="299"/>
      <c r="C1" s="299"/>
      <c r="D1" s="21" t="s">
        <v>14</v>
      </c>
      <c r="E1" s="20" t="str">
        <f>IF('2. Getting Started'!B2="","",'2. Getting Started'!B2)</f>
        <v/>
      </c>
    </row>
    <row r="2" spans="1:5" ht="18.5">
      <c r="A2" s="2" t="str">
        <f>CONCATENATE("State fiscal year ",'2. Getting Started'!B6+2," covers the period ",'2. Getting Started'!B4,", ",'2. Getting Started'!B6+1," through ",'2. Getting Started'!B5,", ",'2. Getting Started'!B6+2)</f>
        <v>State fiscal year 2023 covers the period July 1, 2022 through June 30, 2023</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f>IF('2. Getting Started'!B10="","",IF('38. Total Local Funds'!$F14="Met",'2. Getting Started'!$B$6,'2. Getting Started'!$B10))</f>
        <v>2021</v>
      </c>
      <c r="C6" s="3">
        <f>IF('2. Getting Started'!B11="","",IF('39. Total State &amp; Local Funds'!$F14="Met",'2. Getting Started'!$B$6,'2. Getting Started'!$B11))</f>
        <v>2021</v>
      </c>
      <c r="D6" s="3" t="e">
        <f>IF('2. Getting Started'!B12="","",IF('40. Local Funds Per Capita'!$F15="Met",'2. Getting Started'!$B$6,'2. Getting Started'!$B12))</f>
        <v>#DIV/0!</v>
      </c>
      <c r="E6" s="257" t="e">
        <f>IF('2. Getting Started'!B13="","",IF('41. State &amp; Local Funds Per Cap'!$F15="Met",'2. Getting Started'!$B$6,'2. Getting Started'!$B13))</f>
        <v>#DIV/0!</v>
      </c>
    </row>
    <row r="7" spans="1:5">
      <c r="A7" s="243" t="s">
        <v>45</v>
      </c>
      <c r="B7" s="205">
        <f>IF(B6="","",IF(B6='2. Getting Started'!$B$6,'5. Year 1 Amounts'!K30,'2. Getting Started'!$C10))</f>
        <v>0</v>
      </c>
      <c r="C7" s="205">
        <f>IF(C6="","",IF(C6='2. Getting Started'!$B$6,'5. Year 1 Amounts'!M30,'2. Getting Started'!$C11))</f>
        <v>0</v>
      </c>
      <c r="D7" s="205" t="e">
        <f>IF(D6="","",IF(D6='2. Getting Started'!$B$6,'5. Year 1 Amounts'!K31,'2. Getting Started'!$C12))</f>
        <v>#DIV/0!</v>
      </c>
      <c r="E7" s="267" t="e">
        <f>IF(E6="","",IF(E6='2. Getting Started'!$B$6,'5. Year 1 Amounts'!M31,'2. Getting Started'!$C13))</f>
        <v>#DIV/0!</v>
      </c>
    </row>
    <row r="8" spans="1:5">
      <c r="A8" s="243" t="s">
        <v>9</v>
      </c>
      <c r="B8" s="205" t="str">
        <f>'11. Year 3 Amounts'!D30</f>
        <v/>
      </c>
      <c r="C8" s="205" t="str">
        <f>'11. Year 3 Amounts'!F30</f>
        <v/>
      </c>
      <c r="D8" s="205" t="str">
        <f>'11. Year 3 Amounts'!D31</f>
        <v/>
      </c>
      <c r="E8" s="267" t="str">
        <f>'11. Year 3 Amounts'!F31</f>
        <v/>
      </c>
    </row>
    <row r="9" spans="1:5">
      <c r="A9" s="243" t="s">
        <v>117</v>
      </c>
      <c r="B9" s="201" t="str">
        <f>IF(B8="","",IF(B8&gt;=B7,"Met",IF(AND(B8&lt;B7,'38. Total Local Funds'!$B30="Met"),"Met with Exceptions &amp; Adjustments","Did Not Meet")))</f>
        <v/>
      </c>
      <c r="C9" s="201" t="str">
        <f>IF(C8="","",IF(C8&gt;=C7,"Met",IF(AND(C8&lt;C7,'39. Total State &amp; Local Funds'!$B30="Met"),"Met with Exceptions &amp; Adjustments","Did Not Meet")))</f>
        <v/>
      </c>
      <c r="D9" s="201" t="str">
        <f>IF(D8="","",IF(D8&gt;=D7,"Met",IF(AND(D8&lt;D7,'40. Local Funds Per Capita'!$B31="Met"),"Met with Exceptions &amp; Adjustments","Did Not Meet")))</f>
        <v/>
      </c>
      <c r="E9" s="259" t="str">
        <f>IF(E8="","",IF(E8&gt;=E7,"Met",IF(AND(E8&lt;E7,'41. State &amp; Local Funds Per Cap'!$B31="Met"),"Met with Exceptions &amp; Adjustments","Did Not Meet")))</f>
        <v/>
      </c>
    </row>
    <row r="10" spans="1:5">
      <c r="A10" s="246" t="s">
        <v>46</v>
      </c>
      <c r="B10" s="256" t="str">
        <f>IF(B9="","",IF(B9="Did Not Meet",'38. Total Local Funds'!$B28-'38. Total Local Funds'!$B29,0))</f>
        <v/>
      </c>
      <c r="C10" s="256" t="str">
        <f>IF(C9="","",IF(C9="Did Not Meet",'39. Total State &amp; Local Funds'!$B28-'39. Total State &amp; Local Funds'!$B29,0))</f>
        <v/>
      </c>
      <c r="D10" s="256" t="str">
        <f>IF(D9="","",IF(D9="Did Not Meet",(('40. Local Funds Per Capita'!$B29-'40. Local Funds Per Capita'!$B30)*'11. Year 3 Amounts'!B1),0))</f>
        <v/>
      </c>
      <c r="E10" s="261" t="str">
        <f>IF(E9="","",IF(E9="Did Not Meet",(('41. State &amp; Local Funds Per Cap'!$B29-'41. State &amp; Local Funds Per Cap'!$B30)*'11. Year 3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Funds'!F22="Met",'2. Getting Started'!$B$6+1,IF('38. Total Local Funds'!$F14="Met",'2. Getting Started'!$B$6,'2. Getting Started'!$B10)))</f>
        <v>#N/A</v>
      </c>
      <c r="C14" s="3" t="e">
        <f>IF('2. Getting Started'!B11="","",IF('39. Total State &amp; Local Funds'!F22="Met",'2. Getting Started'!$B$6+1,IF('39. Total State &amp; Local Funds'!$F14="Met",'2. Getting Started'!$B$6,'2. Getting Started'!$B11)))</f>
        <v>#N/A</v>
      </c>
      <c r="D14" s="3" t="e">
        <f>IF('2. Getting Started'!B12="","",IF('40. Local Funds Per Capita'!F23="Met",'2. Getting Started'!$B$6+1,IF('40. Local Funds Per Capita'!$F15="Met",'2. Getting Started'!$B$6,'2. Getting Started'!$B12)))</f>
        <v>#N/A</v>
      </c>
      <c r="E14" s="257" t="e">
        <f>IF('2. Getting Started'!B13="","",IF('41. State &amp; Local Funds Per Cap'!F23="Met",'2. Getting Started'!$B$6+1,IF('41. State &amp; Local Funds Per Cap'!$F15="Met",'2. Getting Started'!$B$6,'2. Getting Started'!$B13)))</f>
        <v>#N/A</v>
      </c>
    </row>
    <row r="15" spans="1:5">
      <c r="A15" s="243" t="s">
        <v>45</v>
      </c>
      <c r="B15" s="17" t="e">
        <f>IF(B14="","",IF(B14='2. Getting Started'!$B$6+1,'8. Year 2 Amounts'!K30,IF(B14='2. Getting Started'!$B$6,'5. Year 1 Amounts'!K30,'2. Getting Started'!$C10)))</f>
        <v>#N/A</v>
      </c>
      <c r="C15" s="17" t="e">
        <f>IF(C14="","",IF(C14='2. Getting Started'!$B$6+1,'8. Year 2 Amounts'!M30,IF(C14='2. Getting Started'!$B$6,'5. Year 1 Amounts'!M30,'2. Getting Started'!$C11)))</f>
        <v>#N/A</v>
      </c>
      <c r="D15" s="17" t="e">
        <f>IF(D14="","",IF(D14='2. Getting Started'!$B$6+1,'8. Year 2 Amounts'!K31,IF(D14='2. Getting Started'!$B$6,'5. Year 1 Amounts'!K31,'2. Getting Started'!$C12)))</f>
        <v>#N/A</v>
      </c>
      <c r="E15" s="258" t="e">
        <f>IF(E14="","",IF(E14='2. Getting Started'!$B$6+1,'8. Year 2 Amounts'!M31,IF(E14='2. Getting Started'!$B$6,'5. Year 1 Amounts'!M31,'2. Getting Started'!$C13)))</f>
        <v>#N/A</v>
      </c>
    </row>
    <row r="16" spans="1:5">
      <c r="A16" s="243" t="s">
        <v>11</v>
      </c>
      <c r="B16" s="17" t="str">
        <f>'11. Year 3 Amounts'!K30</f>
        <v/>
      </c>
      <c r="C16" s="17" t="str">
        <f>'11. Year 3 Amounts'!M30</f>
        <v/>
      </c>
      <c r="D16" s="17" t="str">
        <f>'11. Year 3 Amounts'!K31</f>
        <v/>
      </c>
      <c r="E16" s="258" t="str">
        <f>'11. Year 3 Amounts'!M31</f>
        <v/>
      </c>
    </row>
    <row r="17" spans="1:5">
      <c r="A17" s="243" t="s">
        <v>117</v>
      </c>
      <c r="B17" s="201" t="str">
        <f>IF(B16="","",IF(B16&gt;=B15,"Met",IF(AND(B16&lt;B15,'38. Total Local Funds'!F30="Met"),"Met with Exceptions &amp; Adjustments","Did Not Meet")))</f>
        <v/>
      </c>
      <c r="C17" s="201" t="str">
        <f>IF(C16="","",IF(C16&gt;=C15,"Met",IF(AND(C16&lt;C15,'39. Total State &amp; Local Funds'!F30="Met"),"Met with Exceptions &amp; Adjustments","Did Not Meet")))</f>
        <v/>
      </c>
      <c r="D17" s="201" t="str">
        <f>IF(D16="","",IF(D16&gt;=D15,"Met",IF(AND(D16&lt;D15,'40. Local Funds Per Capita'!F31="Met"),"Met with Exceptions &amp; Adjustments","Did Not Meet")))</f>
        <v/>
      </c>
      <c r="E17" s="259" t="str">
        <f>IF(E16="","",IF(E16&gt;=E15,"Met",IF(AND(E16&lt;E15,'41. State &amp; Local Funds Per Cap'!F31="Met"),"Met with Exceptions &amp; Adjustments","Did Not Meet")))</f>
        <v/>
      </c>
    </row>
    <row r="18" spans="1:5">
      <c r="A18" s="246" t="s">
        <v>46</v>
      </c>
      <c r="B18" s="256" t="str">
        <f>IF(B17="","",IF(B17="Did Not Meet",'38. Total Local Funds'!F28-'38. Total Local Funds'!F29,0))</f>
        <v/>
      </c>
      <c r="C18" s="256" t="str">
        <f>IF(C17="","",IF(C17="Did Not Meet",'39. Total State &amp; Local Funds'!F28-'39. Total State &amp; Local Funds'!F29,0))</f>
        <v/>
      </c>
      <c r="D18" s="256" t="str">
        <f>IF(D17="","",IF(D17="Did Not Meet",(('40. Local Funds Per Capita'!F29-'40. Local Funds Per Capita'!F30)*'11. Year 3 Amounts'!I1),0))</f>
        <v/>
      </c>
      <c r="E18" s="261" t="str">
        <f>IF(E17="","",IF(E17="Did Not Meet",(('41. State &amp; Local Funds Per Cap'!F29-'41. State &amp; Local Funds Per Cap'!F30)*'11. Year 3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129</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73"/>
    </row>
    <row r="27" spans="1:5">
      <c r="A27" s="246" t="s">
        <v>115</v>
      </c>
      <c r="B27" s="27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Started'!B6+2)</f>
        <v>Exceptions and Adjustment Claimed for State Fiscal Year 2023</v>
      </c>
    </row>
    <row r="32" spans="1:5">
      <c r="A32" s="2"/>
      <c r="B32" s="322" t="s">
        <v>147</v>
      </c>
      <c r="C32" s="4"/>
      <c r="D32" s="322" t="s">
        <v>151</v>
      </c>
      <c r="E32" s="4"/>
    </row>
    <row r="33" spans="1:5">
      <c r="A33" s="218" t="s">
        <v>150</v>
      </c>
      <c r="B33" s="323" t="s">
        <v>154</v>
      </c>
      <c r="C33" s="323" t="s">
        <v>155</v>
      </c>
      <c r="D33" s="323" t="s">
        <v>152</v>
      </c>
      <c r="E33" s="324" t="s">
        <v>153</v>
      </c>
    </row>
    <row r="34" spans="1:5">
      <c r="A34" s="224" t="s">
        <v>139</v>
      </c>
      <c r="B34" s="17">
        <f>'12. Year 3 Exc &amp; Adj'!F22</f>
        <v>0</v>
      </c>
      <c r="C34" s="17">
        <f>'12. Year 3 Exc &amp; Adj'!F22</f>
        <v>0</v>
      </c>
      <c r="D34" s="17">
        <f>'12. Year 3 Exc &amp; Adj'!M22</f>
        <v>0</v>
      </c>
      <c r="E34" s="258">
        <f>'12. Year 3 Exc &amp; Adj'!M22</f>
        <v>0</v>
      </c>
    </row>
    <row r="35" spans="1:5">
      <c r="A35" s="224" t="s">
        <v>140</v>
      </c>
      <c r="B35" s="17" t="e">
        <f>'12. Year 3 Exc &amp; Adj'!B32</f>
        <v>#N/A</v>
      </c>
      <c r="C35" s="17" t="e">
        <f>'12. Year 3 Exc &amp; Adj'!C32</f>
        <v>#N/A</v>
      </c>
      <c r="D35" s="17" t="e">
        <f>'12. Year 3 Exc &amp; Adj'!I32</f>
        <v>#N/A</v>
      </c>
      <c r="E35" s="258" t="e">
        <f>'12. Year 3 Exc &amp; Adj'!J32</f>
        <v>#N/A</v>
      </c>
    </row>
    <row r="36" spans="1:5">
      <c r="A36" s="224" t="s">
        <v>141</v>
      </c>
      <c r="B36" s="17">
        <f>'12. Year 3 Exc &amp; Adj'!C43</f>
        <v>0</v>
      </c>
      <c r="C36" s="17">
        <f>'12. Year 3 Exc &amp; Adj'!C43</f>
        <v>0</v>
      </c>
      <c r="D36" s="17">
        <f>'12. Year 3 Exc &amp; Adj'!J43</f>
        <v>0</v>
      </c>
      <c r="E36" s="258">
        <f>'12. Year 3 Exc &amp; Adj'!J43</f>
        <v>0</v>
      </c>
    </row>
    <row r="37" spans="1:5">
      <c r="A37" s="224" t="s">
        <v>142</v>
      </c>
      <c r="B37" s="17">
        <f>'12. Year 3 Exc &amp; Adj'!B53</f>
        <v>0</v>
      </c>
      <c r="C37" s="17">
        <f>'12. Year 3 Exc &amp; Adj'!B53</f>
        <v>0</v>
      </c>
      <c r="D37" s="17">
        <f>'12. Year 3 Exc &amp; Adj'!I53</f>
        <v>0</v>
      </c>
      <c r="E37" s="258">
        <f>'12. Year 3 Exc &amp; Adj'!I53</f>
        <v>0</v>
      </c>
    </row>
    <row r="38" spans="1:5">
      <c r="A38" s="224" t="str">
        <f>IF('3b. High Cost Fund'!B5="No","This exception is not valid for your state.","Exception (e)")</f>
        <v>Exception (e)</v>
      </c>
      <c r="B38" s="17">
        <f>IF('3b. High Cost Fund'!B5="No","",'12. Year 3 Exc &amp; Adj'!B63)</f>
        <v>0</v>
      </c>
      <c r="C38" s="17">
        <f>IF('3b. High Cost Fund'!B5="No","",'12. Year 3 Exc &amp; Adj'!B63)</f>
        <v>0</v>
      </c>
      <c r="D38" s="17">
        <f>IF('3b. High Cost Fund'!B5="No","",'12. Year 3 Exc &amp; Adj'!I63)</f>
        <v>0</v>
      </c>
      <c r="E38" s="258">
        <f>IF('3b. High Cost Fund'!B5="No","",'12. Year 3 Exc &amp; Adj'!I63)</f>
        <v>0</v>
      </c>
    </row>
    <row r="39" spans="1:5">
      <c r="A39" s="224" t="s">
        <v>143</v>
      </c>
      <c r="B39" s="17">
        <f>AdjDataYear3Budget[Projected Adjustment]</f>
        <v>0</v>
      </c>
      <c r="C39" s="17">
        <f>AdjDataYear3Budget[Projected Adjustment]</f>
        <v>0</v>
      </c>
      <c r="D39" s="17">
        <f>AdjDataYear3Expenditures[[Adjustment ]]</f>
        <v>0</v>
      </c>
      <c r="E39" s="258">
        <f>AdjDataYear3Expenditures[[Adjustment ]]</f>
        <v>0</v>
      </c>
    </row>
    <row r="40" spans="1:5">
      <c r="A40" s="246" t="s">
        <v>124</v>
      </c>
      <c r="B40" s="328" t="e">
        <f>SUM(B34:B39)</f>
        <v>#N/A</v>
      </c>
      <c r="C40" s="328" t="e">
        <f>SUM(C34:C39)</f>
        <v>#N/A</v>
      </c>
      <c r="D40" s="328" t="e">
        <f>SUM(D34:D39)</f>
        <v>#N/A</v>
      </c>
      <c r="E40" s="329" t="e">
        <f>SUM(E34:E39)</f>
        <v>#N/A</v>
      </c>
    </row>
    <row r="41" spans="1:5" ht="27"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teNFGz7eE7jmo9Q3g5wN0duZOpAT2Nxum1dqXj+snSffJOkbj/OiYznLKCBnBL5Md/8vPiEFZwSRjNrgDP/68A==" saltValue="eGnXNj/d05NS7Ye6CSOMXQ==" spinCount="100000" sheet="1" objects="1" scenarios="1" formatColumns="0" formatRows="0"/>
  <mergeCells count="5">
    <mergeCell ref="A11:E11"/>
    <mergeCell ref="A19:E19"/>
    <mergeCell ref="A28:E28"/>
    <mergeCell ref="A30:E30"/>
    <mergeCell ref="A43:E43"/>
  </mergeCells>
  <conditionalFormatting sqref="B9:E9">
    <cfRule type="containsText" dxfId="202" priority="1" operator="containsText" text="Did Not Meet">
      <formula>NOT(ISERROR(SEARCH("Did Not Meet",B9)))</formula>
    </cfRule>
    <cfRule type="containsText" dxfId="201" priority="2" operator="containsText" text="Met">
      <formula>NOT(ISERROR(SEARCH("Met",B9)))</formula>
    </cfRule>
  </conditionalFormatting>
  <conditionalFormatting sqref="B17:E17">
    <cfRule type="containsText" dxfId="200" priority="3" operator="containsText" text="Did Not Meet">
      <formula>NOT(ISERROR(SEARCH("Did Not Meet",B17)))</formula>
    </cfRule>
    <cfRule type="containsText" dxfId="199" priority="4" operator="containsText" text="Met">
      <formula>NOT(ISERROR(SEARCH("Met",B17)))</formula>
    </cfRule>
  </conditionalFormatting>
  <hyperlinks>
    <hyperlink ref="A29" location="'4. Multi-Year MOE Summary'!A6" display="Go to the Multi-Year MOE Summary" xr:uid="{00000000-0004-0000-0E00-000000000000}"/>
    <hyperlink ref="A42" r:id="rId1" xr:uid="{00000000-0004-0000-0E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A1:D317"/>
  <sheetViews>
    <sheetView workbookViewId="0">
      <selection activeCell="C29" sqref="C29:C307"/>
    </sheetView>
  </sheetViews>
  <sheetFormatPr defaultRowHeight="14.5"/>
  <cols>
    <col min="1" max="1" width="7.1796875" bestFit="1" customWidth="1"/>
    <col min="2" max="2" width="4.26953125" style="370" bestFit="1" customWidth="1"/>
    <col min="3" max="3" width="35" bestFit="1" customWidth="1"/>
    <col min="4" max="4" width="17.54296875" customWidth="1"/>
  </cols>
  <sheetData>
    <row r="1" spans="1:4" ht="15" thickBot="1">
      <c r="A1" s="362" t="s">
        <v>184</v>
      </c>
      <c r="B1" s="369" t="s">
        <v>185</v>
      </c>
      <c r="C1" s="362" t="s">
        <v>186</v>
      </c>
    </row>
    <row r="2" spans="1:4">
      <c r="A2" s="368" t="s">
        <v>187</v>
      </c>
      <c r="B2" s="370" t="s">
        <v>188</v>
      </c>
      <c r="C2" t="s">
        <v>189</v>
      </c>
    </row>
    <row r="3" spans="1:4">
      <c r="A3" s="368" t="s">
        <v>190</v>
      </c>
      <c r="B3" s="370" t="s">
        <v>188</v>
      </c>
      <c r="C3" t="s">
        <v>191</v>
      </c>
    </row>
    <row r="4" spans="1:4">
      <c r="A4" t="s">
        <v>192</v>
      </c>
      <c r="B4" s="370" t="s">
        <v>193</v>
      </c>
      <c r="C4" t="s">
        <v>194</v>
      </c>
    </row>
    <row r="5" spans="1:4">
      <c r="A5" t="s">
        <v>195</v>
      </c>
      <c r="B5" s="370" t="s">
        <v>196</v>
      </c>
      <c r="C5" t="s">
        <v>197</v>
      </c>
    </row>
    <row r="6" spans="1:4">
      <c r="A6" t="s">
        <v>198</v>
      </c>
      <c r="B6" s="370" t="s">
        <v>196</v>
      </c>
      <c r="C6" t="s">
        <v>199</v>
      </c>
    </row>
    <row r="7" spans="1:4">
      <c r="A7" t="s">
        <v>200</v>
      </c>
      <c r="B7" s="370" t="s">
        <v>201</v>
      </c>
      <c r="C7" t="s">
        <v>202</v>
      </c>
    </row>
    <row r="8" spans="1:4">
      <c r="A8" t="s">
        <v>203</v>
      </c>
      <c r="B8" s="370" t="s">
        <v>204</v>
      </c>
      <c r="C8" t="s">
        <v>205</v>
      </c>
    </row>
    <row r="9" spans="1:4">
      <c r="A9" t="s">
        <v>206</v>
      </c>
      <c r="B9" s="370" t="s">
        <v>204</v>
      </c>
      <c r="C9" t="s">
        <v>207</v>
      </c>
    </row>
    <row r="10" spans="1:4">
      <c r="A10" t="s">
        <v>208</v>
      </c>
      <c r="B10" s="370" t="s">
        <v>209</v>
      </c>
      <c r="C10" t="s">
        <v>210</v>
      </c>
    </row>
    <row r="11" spans="1:4">
      <c r="A11" t="s">
        <v>211</v>
      </c>
      <c r="B11" s="370" t="s">
        <v>204</v>
      </c>
      <c r="C11" t="s">
        <v>212</v>
      </c>
    </row>
    <row r="12" spans="1:4">
      <c r="A12" t="s">
        <v>213</v>
      </c>
      <c r="B12" s="370" t="s">
        <v>196</v>
      </c>
      <c r="C12" t="s">
        <v>214</v>
      </c>
    </row>
    <row r="13" spans="1:4">
      <c r="A13" t="s">
        <v>215</v>
      </c>
      <c r="B13" s="370" t="s">
        <v>193</v>
      </c>
      <c r="C13" t="s">
        <v>216</v>
      </c>
    </row>
    <row r="14" spans="1:4">
      <c r="A14" t="s">
        <v>217</v>
      </c>
      <c r="B14" s="370" t="s">
        <v>204</v>
      </c>
      <c r="C14" t="s">
        <v>218</v>
      </c>
    </row>
    <row r="15" spans="1:4">
      <c r="A15" t="s">
        <v>219</v>
      </c>
      <c r="B15" s="370" t="s">
        <v>220</v>
      </c>
      <c r="C15" t="s">
        <v>221</v>
      </c>
      <c r="D15" t="s">
        <v>818</v>
      </c>
    </row>
    <row r="16" spans="1:4">
      <c r="A16" t="s">
        <v>222</v>
      </c>
      <c r="B16" s="370" t="s">
        <v>196</v>
      </c>
      <c r="C16" t="s">
        <v>223</v>
      </c>
    </row>
    <row r="17" spans="1:4">
      <c r="A17" t="s">
        <v>224</v>
      </c>
      <c r="B17" s="370" t="s">
        <v>188</v>
      </c>
      <c r="C17" t="s">
        <v>225</v>
      </c>
    </row>
    <row r="18" spans="1:4">
      <c r="A18" t="s">
        <v>226</v>
      </c>
      <c r="B18" s="370" t="s">
        <v>227</v>
      </c>
      <c r="C18" t="s">
        <v>228</v>
      </c>
    </row>
    <row r="19" spans="1:4">
      <c r="A19" t="s">
        <v>229</v>
      </c>
      <c r="B19" s="370" t="s">
        <v>230</v>
      </c>
      <c r="C19" t="s">
        <v>231</v>
      </c>
    </row>
    <row r="20" spans="1:4">
      <c r="A20" t="s">
        <v>232</v>
      </c>
      <c r="B20" s="370" t="s">
        <v>230</v>
      </c>
      <c r="C20" t="s">
        <v>233</v>
      </c>
    </row>
    <row r="21" spans="1:4">
      <c r="A21" t="s">
        <v>234</v>
      </c>
      <c r="B21" s="370" t="s">
        <v>227</v>
      </c>
      <c r="C21" t="s">
        <v>235</v>
      </c>
    </row>
    <row r="22" spans="1:4">
      <c r="A22" t="s">
        <v>236</v>
      </c>
      <c r="B22" s="370" t="s">
        <v>196</v>
      </c>
      <c r="C22" t="s">
        <v>237</v>
      </c>
    </row>
    <row r="23" spans="1:4">
      <c r="A23" t="s">
        <v>238</v>
      </c>
      <c r="B23" s="370" t="s">
        <v>209</v>
      </c>
      <c r="C23" t="s">
        <v>239</v>
      </c>
    </row>
    <row r="24" spans="1:4">
      <c r="A24" t="s">
        <v>240</v>
      </c>
      <c r="B24" s="370" t="s">
        <v>227</v>
      </c>
      <c r="C24" t="s">
        <v>241</v>
      </c>
    </row>
    <row r="25" spans="1:4">
      <c r="A25" t="s">
        <v>242</v>
      </c>
      <c r="B25" s="370" t="s">
        <v>204</v>
      </c>
      <c r="C25" t="s">
        <v>243</v>
      </c>
    </row>
    <row r="26" spans="1:4">
      <c r="A26" t="s">
        <v>244</v>
      </c>
      <c r="B26" s="370" t="s">
        <v>230</v>
      </c>
      <c r="C26" t="s">
        <v>245</v>
      </c>
    </row>
    <row r="27" spans="1:4">
      <c r="A27" t="s">
        <v>247</v>
      </c>
      <c r="B27" s="370" t="s">
        <v>230</v>
      </c>
      <c r="C27" t="s">
        <v>248</v>
      </c>
    </row>
    <row r="28" spans="1:4">
      <c r="A28" t="s">
        <v>249</v>
      </c>
      <c r="B28" s="370" t="s">
        <v>209</v>
      </c>
      <c r="C28" t="s">
        <v>250</v>
      </c>
    </row>
    <row r="29" spans="1:4">
      <c r="A29" t="s">
        <v>251</v>
      </c>
      <c r="C29" t="s">
        <v>252</v>
      </c>
      <c r="D29" t="s">
        <v>1156</v>
      </c>
    </row>
    <row r="30" spans="1:4">
      <c r="A30" t="s">
        <v>253</v>
      </c>
      <c r="B30" s="370" t="s">
        <v>209</v>
      </c>
      <c r="C30" t="s">
        <v>254</v>
      </c>
      <c r="D30" t="s">
        <v>818</v>
      </c>
    </row>
    <row r="31" spans="1:4">
      <c r="A31" t="s">
        <v>255</v>
      </c>
      <c r="B31" s="370" t="s">
        <v>227</v>
      </c>
      <c r="C31" t="s">
        <v>256</v>
      </c>
    </row>
    <row r="32" spans="1:4">
      <c r="A32" t="s">
        <v>257</v>
      </c>
      <c r="B32" s="370" t="s">
        <v>193</v>
      </c>
      <c r="C32" t="s">
        <v>258</v>
      </c>
    </row>
    <row r="33" spans="1:3">
      <c r="A33" t="s">
        <v>259</v>
      </c>
      <c r="B33" s="370" t="s">
        <v>188</v>
      </c>
      <c r="C33" t="s">
        <v>260</v>
      </c>
    </row>
    <row r="34" spans="1:3">
      <c r="A34" t="s">
        <v>261</v>
      </c>
      <c r="B34" s="370" t="s">
        <v>188</v>
      </c>
      <c r="C34" t="s">
        <v>262</v>
      </c>
    </row>
    <row r="35" spans="1:3">
      <c r="A35" t="s">
        <v>263</v>
      </c>
      <c r="B35" s="370" t="s">
        <v>193</v>
      </c>
      <c r="C35" t="s">
        <v>264</v>
      </c>
    </row>
    <row r="36" spans="1:3">
      <c r="A36" t="s">
        <v>265</v>
      </c>
      <c r="B36" s="370" t="s">
        <v>193</v>
      </c>
      <c r="C36" t="s">
        <v>266</v>
      </c>
    </row>
    <row r="37" spans="1:3">
      <c r="A37" t="s">
        <v>267</v>
      </c>
      <c r="B37" s="370" t="s">
        <v>227</v>
      </c>
      <c r="C37" t="s">
        <v>268</v>
      </c>
    </row>
    <row r="38" spans="1:3">
      <c r="A38" t="s">
        <v>269</v>
      </c>
      <c r="B38" s="370" t="s">
        <v>201</v>
      </c>
      <c r="C38" t="s">
        <v>270</v>
      </c>
    </row>
    <row r="39" spans="1:3">
      <c r="A39" t="s">
        <v>271</v>
      </c>
      <c r="B39" s="370" t="s">
        <v>220</v>
      </c>
      <c r="C39" t="s">
        <v>272</v>
      </c>
    </row>
    <row r="40" spans="1:3">
      <c r="A40" t="s">
        <v>273</v>
      </c>
      <c r="B40" s="370" t="s">
        <v>204</v>
      </c>
      <c r="C40" t="s">
        <v>274</v>
      </c>
    </row>
    <row r="41" spans="1:3">
      <c r="A41" t="s">
        <v>275</v>
      </c>
      <c r="B41" s="370" t="s">
        <v>193</v>
      </c>
      <c r="C41" t="s">
        <v>276</v>
      </c>
    </row>
    <row r="42" spans="1:3">
      <c r="A42" t="s">
        <v>277</v>
      </c>
      <c r="B42" s="370" t="s">
        <v>201</v>
      </c>
      <c r="C42" t="s">
        <v>278</v>
      </c>
    </row>
    <row r="43" spans="1:3">
      <c r="A43" t="s">
        <v>279</v>
      </c>
      <c r="B43" s="370" t="s">
        <v>193</v>
      </c>
      <c r="C43" t="s">
        <v>280</v>
      </c>
    </row>
    <row r="44" spans="1:3">
      <c r="A44" t="s">
        <v>281</v>
      </c>
      <c r="B44" s="370" t="s">
        <v>193</v>
      </c>
      <c r="C44" t="s">
        <v>282</v>
      </c>
    </row>
    <row r="45" spans="1:3">
      <c r="A45" t="s">
        <v>283</v>
      </c>
      <c r="B45" s="370" t="s">
        <v>201</v>
      </c>
      <c r="C45" t="s">
        <v>284</v>
      </c>
    </row>
    <row r="46" spans="1:3">
      <c r="A46" t="s">
        <v>285</v>
      </c>
      <c r="B46" s="370" t="s">
        <v>193</v>
      </c>
      <c r="C46" t="s">
        <v>286</v>
      </c>
    </row>
    <row r="47" spans="1:3">
      <c r="A47" t="s">
        <v>287</v>
      </c>
      <c r="B47" s="370" t="s">
        <v>196</v>
      </c>
      <c r="C47" t="s">
        <v>288</v>
      </c>
    </row>
    <row r="48" spans="1:3">
      <c r="A48" t="s">
        <v>289</v>
      </c>
      <c r="B48" s="370" t="s">
        <v>196</v>
      </c>
      <c r="C48" t="s">
        <v>290</v>
      </c>
    </row>
    <row r="49" spans="1:4">
      <c r="A49" t="s">
        <v>291</v>
      </c>
      <c r="B49" s="370" t="s">
        <v>188</v>
      </c>
      <c r="C49" t="s">
        <v>292</v>
      </c>
    </row>
    <row r="50" spans="1:4">
      <c r="A50" t="s">
        <v>293</v>
      </c>
      <c r="B50" s="370" t="s">
        <v>230</v>
      </c>
      <c r="C50" t="s">
        <v>294</v>
      </c>
    </row>
    <row r="51" spans="1:4">
      <c r="A51" t="s">
        <v>295</v>
      </c>
      <c r="B51" s="370" t="s">
        <v>196</v>
      </c>
      <c r="C51" t="s">
        <v>296</v>
      </c>
    </row>
    <row r="52" spans="1:4">
      <c r="A52" t="s">
        <v>297</v>
      </c>
      <c r="B52" s="370" t="s">
        <v>227</v>
      </c>
      <c r="C52" t="s">
        <v>298</v>
      </c>
    </row>
    <row r="53" spans="1:4">
      <c r="A53" t="s">
        <v>299</v>
      </c>
      <c r="B53" s="370" t="s">
        <v>193</v>
      </c>
      <c r="C53" t="s">
        <v>300</v>
      </c>
    </row>
    <row r="54" spans="1:4">
      <c r="A54" t="s">
        <v>301</v>
      </c>
      <c r="B54" s="370" t="s">
        <v>193</v>
      </c>
      <c r="C54" t="s">
        <v>302</v>
      </c>
    </row>
    <row r="55" spans="1:4">
      <c r="A55" t="s">
        <v>303</v>
      </c>
      <c r="B55" s="370" t="s">
        <v>193</v>
      </c>
      <c r="C55" t="s">
        <v>304</v>
      </c>
    </row>
    <row r="56" spans="1:4">
      <c r="A56" t="s">
        <v>305</v>
      </c>
      <c r="B56" s="370" t="s">
        <v>220</v>
      </c>
      <c r="C56" t="s">
        <v>306</v>
      </c>
    </row>
    <row r="57" spans="1:4">
      <c r="A57" t="s">
        <v>307</v>
      </c>
      <c r="B57" s="370" t="s">
        <v>196</v>
      </c>
      <c r="C57" t="s">
        <v>308</v>
      </c>
    </row>
    <row r="58" spans="1:4">
      <c r="A58" t="s">
        <v>309</v>
      </c>
      <c r="B58" s="370" t="s">
        <v>193</v>
      </c>
      <c r="C58" t="s">
        <v>310</v>
      </c>
    </row>
    <row r="59" spans="1:4">
      <c r="A59" t="s">
        <v>311</v>
      </c>
      <c r="B59" s="370" t="s">
        <v>201</v>
      </c>
      <c r="C59" t="s">
        <v>312</v>
      </c>
      <c r="D59" t="s">
        <v>818</v>
      </c>
    </row>
    <row r="60" spans="1:4">
      <c r="A60" t="s">
        <v>313</v>
      </c>
      <c r="B60" s="370" t="s">
        <v>193</v>
      </c>
      <c r="C60" t="s">
        <v>314</v>
      </c>
    </row>
    <row r="61" spans="1:4">
      <c r="A61" t="s">
        <v>315</v>
      </c>
      <c r="B61" s="370" t="s">
        <v>204</v>
      </c>
      <c r="C61" t="s">
        <v>316</v>
      </c>
    </row>
    <row r="62" spans="1:4">
      <c r="A62" t="s">
        <v>317</v>
      </c>
      <c r="B62" s="370" t="s">
        <v>201</v>
      </c>
      <c r="C62" t="s">
        <v>318</v>
      </c>
      <c r="D62" t="s">
        <v>818</v>
      </c>
    </row>
    <row r="63" spans="1:4">
      <c r="A63" t="s">
        <v>319</v>
      </c>
      <c r="B63" s="370" t="s">
        <v>193</v>
      </c>
      <c r="C63" t="s">
        <v>320</v>
      </c>
    </row>
    <row r="64" spans="1:4">
      <c r="A64" t="s">
        <v>321</v>
      </c>
      <c r="B64" s="370" t="s">
        <v>220</v>
      </c>
      <c r="C64" t="s">
        <v>322</v>
      </c>
    </row>
    <row r="65" spans="1:3">
      <c r="A65" t="s">
        <v>323</v>
      </c>
      <c r="B65" s="370" t="s">
        <v>230</v>
      </c>
      <c r="C65" t="s">
        <v>324</v>
      </c>
    </row>
    <row r="66" spans="1:3">
      <c r="A66" t="s">
        <v>325</v>
      </c>
      <c r="B66" s="370" t="s">
        <v>220</v>
      </c>
      <c r="C66" t="s">
        <v>326</v>
      </c>
    </row>
    <row r="67" spans="1:3">
      <c r="A67" t="s">
        <v>327</v>
      </c>
      <c r="B67" s="370" t="s">
        <v>204</v>
      </c>
      <c r="C67" t="s">
        <v>328</v>
      </c>
    </row>
    <row r="68" spans="1:3">
      <c r="A68" t="s">
        <v>329</v>
      </c>
      <c r="B68" s="370" t="s">
        <v>196</v>
      </c>
      <c r="C68" t="s">
        <v>330</v>
      </c>
    </row>
    <row r="69" spans="1:3">
      <c r="A69" t="s">
        <v>331</v>
      </c>
      <c r="B69" s="370" t="s">
        <v>220</v>
      </c>
      <c r="C69" t="s">
        <v>332</v>
      </c>
    </row>
    <row r="70" spans="1:3">
      <c r="A70" t="s">
        <v>333</v>
      </c>
      <c r="B70" s="370" t="s">
        <v>188</v>
      </c>
      <c r="C70" t="s">
        <v>334</v>
      </c>
    </row>
    <row r="71" spans="1:3">
      <c r="A71" t="s">
        <v>335</v>
      </c>
      <c r="B71" s="370" t="s">
        <v>193</v>
      </c>
      <c r="C71" t="s">
        <v>336</v>
      </c>
    </row>
    <row r="72" spans="1:3">
      <c r="A72" t="s">
        <v>337</v>
      </c>
      <c r="B72" s="370" t="s">
        <v>230</v>
      </c>
      <c r="C72" t="s">
        <v>338</v>
      </c>
    </row>
    <row r="73" spans="1:3">
      <c r="A73" t="s">
        <v>339</v>
      </c>
      <c r="B73" s="370" t="s">
        <v>204</v>
      </c>
      <c r="C73" t="s">
        <v>340</v>
      </c>
    </row>
    <row r="74" spans="1:3">
      <c r="A74" t="s">
        <v>341</v>
      </c>
      <c r="B74" s="370" t="s">
        <v>230</v>
      </c>
      <c r="C74" t="s">
        <v>342</v>
      </c>
    </row>
    <row r="75" spans="1:3">
      <c r="A75" s="368" t="s">
        <v>817</v>
      </c>
      <c r="B75" s="370" t="s">
        <v>209</v>
      </c>
      <c r="C75" t="s">
        <v>1158</v>
      </c>
    </row>
    <row r="76" spans="1:3">
      <c r="A76" t="s">
        <v>343</v>
      </c>
      <c r="B76" s="370" t="s">
        <v>188</v>
      </c>
      <c r="C76" t="s">
        <v>344</v>
      </c>
    </row>
    <row r="77" spans="1:3">
      <c r="A77" t="s">
        <v>345</v>
      </c>
      <c r="B77" s="370" t="s">
        <v>196</v>
      </c>
      <c r="C77" t="s">
        <v>346</v>
      </c>
    </row>
    <row r="78" spans="1:3">
      <c r="A78" t="s">
        <v>347</v>
      </c>
      <c r="B78" s="370" t="s">
        <v>209</v>
      </c>
      <c r="C78" t="s">
        <v>348</v>
      </c>
    </row>
    <row r="79" spans="1:3">
      <c r="A79" t="s">
        <v>349</v>
      </c>
      <c r="B79" s="370" t="s">
        <v>193</v>
      </c>
      <c r="C79" t="s">
        <v>350</v>
      </c>
    </row>
    <row r="80" spans="1:3">
      <c r="A80" t="s">
        <v>351</v>
      </c>
      <c r="B80" s="370" t="s">
        <v>204</v>
      </c>
      <c r="C80" t="s">
        <v>352</v>
      </c>
    </row>
    <row r="81" spans="1:4">
      <c r="A81" t="s">
        <v>353</v>
      </c>
      <c r="B81" s="370" t="s">
        <v>196</v>
      </c>
      <c r="C81" t="s">
        <v>354</v>
      </c>
    </row>
    <row r="82" spans="1:4">
      <c r="A82" t="s">
        <v>355</v>
      </c>
      <c r="B82" s="370" t="s">
        <v>204</v>
      </c>
      <c r="C82" t="s">
        <v>356</v>
      </c>
    </row>
    <row r="83" spans="1:4">
      <c r="A83" t="s">
        <v>357</v>
      </c>
      <c r="B83" s="370" t="s">
        <v>201</v>
      </c>
      <c r="C83" t="s">
        <v>358</v>
      </c>
    </row>
    <row r="84" spans="1:4">
      <c r="A84" t="s">
        <v>359</v>
      </c>
      <c r="B84" s="370" t="s">
        <v>204</v>
      </c>
      <c r="C84" t="s">
        <v>360</v>
      </c>
    </row>
    <row r="85" spans="1:4">
      <c r="A85" t="s">
        <v>361</v>
      </c>
      <c r="B85" s="370" t="s">
        <v>193</v>
      </c>
      <c r="C85" t="s">
        <v>362</v>
      </c>
    </row>
    <row r="86" spans="1:4">
      <c r="A86" t="s">
        <v>363</v>
      </c>
      <c r="B86" s="370" t="s">
        <v>193</v>
      </c>
      <c r="C86" t="s">
        <v>364</v>
      </c>
    </row>
    <row r="87" spans="1:4">
      <c r="A87" t="s">
        <v>365</v>
      </c>
      <c r="B87" s="370" t="s">
        <v>209</v>
      </c>
      <c r="C87" t="s">
        <v>366</v>
      </c>
      <c r="D87" t="s">
        <v>818</v>
      </c>
    </row>
    <row r="88" spans="1:4">
      <c r="A88" t="s">
        <v>367</v>
      </c>
      <c r="B88" s="370" t="s">
        <v>220</v>
      </c>
      <c r="C88" t="s">
        <v>368</v>
      </c>
      <c r="D88" t="s">
        <v>818</v>
      </c>
    </row>
    <row r="89" spans="1:4">
      <c r="A89" t="s">
        <v>369</v>
      </c>
      <c r="B89" s="370" t="s">
        <v>230</v>
      </c>
      <c r="C89" t="s">
        <v>370</v>
      </c>
    </row>
    <row r="90" spans="1:4">
      <c r="A90" t="s">
        <v>371</v>
      </c>
      <c r="B90" s="370" t="s">
        <v>220</v>
      </c>
      <c r="C90" t="s">
        <v>372</v>
      </c>
    </row>
    <row r="91" spans="1:4">
      <c r="A91" t="s">
        <v>373</v>
      </c>
      <c r="B91" s="370" t="s">
        <v>220</v>
      </c>
      <c r="C91" t="s">
        <v>374</v>
      </c>
    </row>
    <row r="92" spans="1:4">
      <c r="A92" t="s">
        <v>375</v>
      </c>
      <c r="B92" s="370" t="s">
        <v>196</v>
      </c>
      <c r="C92" t="s">
        <v>376</v>
      </c>
    </row>
    <row r="93" spans="1:4">
      <c r="A93" t="s">
        <v>377</v>
      </c>
      <c r="B93" s="370" t="s">
        <v>188</v>
      </c>
      <c r="C93" t="s">
        <v>378</v>
      </c>
    </row>
    <row r="94" spans="1:4">
      <c r="A94" t="s">
        <v>379</v>
      </c>
      <c r="B94" s="370" t="s">
        <v>193</v>
      </c>
      <c r="C94" t="s">
        <v>380</v>
      </c>
    </row>
    <row r="95" spans="1:4">
      <c r="A95" t="s">
        <v>383</v>
      </c>
      <c r="B95" s="370" t="s">
        <v>209</v>
      </c>
      <c r="C95" t="s">
        <v>384</v>
      </c>
      <c r="D95" t="s">
        <v>818</v>
      </c>
    </row>
    <row r="96" spans="1:4">
      <c r="A96" t="s">
        <v>385</v>
      </c>
      <c r="B96" s="370" t="s">
        <v>188</v>
      </c>
      <c r="C96" t="s">
        <v>386</v>
      </c>
    </row>
    <row r="97" spans="1:4">
      <c r="A97" t="s">
        <v>387</v>
      </c>
      <c r="B97" s="370" t="s">
        <v>193</v>
      </c>
      <c r="C97" t="s">
        <v>388</v>
      </c>
    </row>
    <row r="98" spans="1:4">
      <c r="A98" t="s">
        <v>389</v>
      </c>
      <c r="B98" s="370" t="s">
        <v>220</v>
      </c>
      <c r="C98" t="s">
        <v>390</v>
      </c>
    </row>
    <row r="99" spans="1:4">
      <c r="A99" t="s">
        <v>391</v>
      </c>
      <c r="B99" s="370" t="s">
        <v>204</v>
      </c>
      <c r="C99" t="s">
        <v>392</v>
      </c>
    </row>
    <row r="100" spans="1:4">
      <c r="A100" t="s">
        <v>393</v>
      </c>
      <c r="B100" s="370" t="s">
        <v>209</v>
      </c>
      <c r="C100" t="s">
        <v>394</v>
      </c>
    </row>
    <row r="101" spans="1:4">
      <c r="A101" t="s">
        <v>395</v>
      </c>
      <c r="B101" s="370" t="s">
        <v>188</v>
      </c>
      <c r="C101" t="s">
        <v>396</v>
      </c>
    </row>
    <row r="102" spans="1:4">
      <c r="A102" t="s">
        <v>397</v>
      </c>
      <c r="B102" s="370" t="s">
        <v>188</v>
      </c>
      <c r="C102" t="s">
        <v>398</v>
      </c>
    </row>
    <row r="103" spans="1:4">
      <c r="A103" t="s">
        <v>1160</v>
      </c>
      <c r="C103" t="s">
        <v>1161</v>
      </c>
      <c r="D103" t="s">
        <v>1156</v>
      </c>
    </row>
    <row r="104" spans="1:4">
      <c r="A104" t="s">
        <v>399</v>
      </c>
      <c r="C104" t="s">
        <v>1162</v>
      </c>
      <c r="D104" t="s">
        <v>1156</v>
      </c>
    </row>
    <row r="105" spans="1:4">
      <c r="A105" t="s">
        <v>400</v>
      </c>
      <c r="C105" t="s">
        <v>1163</v>
      </c>
      <c r="D105" t="s">
        <v>1156</v>
      </c>
    </row>
    <row r="106" spans="1:4">
      <c r="A106" t="s">
        <v>402</v>
      </c>
      <c r="B106" s="370" t="s">
        <v>193</v>
      </c>
      <c r="C106" t="s">
        <v>403</v>
      </c>
    </row>
    <row r="107" spans="1:4">
      <c r="A107" t="s">
        <v>404</v>
      </c>
      <c r="B107" s="370" t="s">
        <v>196</v>
      </c>
      <c r="C107" t="s">
        <v>405</v>
      </c>
    </row>
    <row r="108" spans="1:4">
      <c r="A108" t="s">
        <v>406</v>
      </c>
      <c r="B108" s="370" t="s">
        <v>204</v>
      </c>
      <c r="C108" t="s">
        <v>407</v>
      </c>
    </row>
    <row r="109" spans="1:4">
      <c r="A109" t="s">
        <v>408</v>
      </c>
      <c r="B109" s="370" t="s">
        <v>201</v>
      </c>
      <c r="C109" t="s">
        <v>409</v>
      </c>
      <c r="D109" t="s">
        <v>818</v>
      </c>
    </row>
    <row r="110" spans="1:4">
      <c r="A110" t="s">
        <v>410</v>
      </c>
      <c r="B110" s="370" t="s">
        <v>209</v>
      </c>
      <c r="C110" t="s">
        <v>411</v>
      </c>
      <c r="D110" t="s">
        <v>818</v>
      </c>
    </row>
    <row r="111" spans="1:4">
      <c r="A111" t="s">
        <v>412</v>
      </c>
      <c r="B111" s="370" t="s">
        <v>193</v>
      </c>
      <c r="C111" t="s">
        <v>413</v>
      </c>
    </row>
    <row r="112" spans="1:4">
      <c r="A112" t="s">
        <v>414</v>
      </c>
      <c r="B112" s="370" t="s">
        <v>209</v>
      </c>
      <c r="C112" t="s">
        <v>415</v>
      </c>
    </row>
    <row r="113" spans="1:4">
      <c r="A113" t="s">
        <v>416</v>
      </c>
      <c r="B113" s="370" t="s">
        <v>201</v>
      </c>
      <c r="C113" t="s">
        <v>417</v>
      </c>
    </row>
    <row r="114" spans="1:4">
      <c r="A114" t="s">
        <v>418</v>
      </c>
      <c r="B114" s="370" t="s">
        <v>204</v>
      </c>
      <c r="C114" t="s">
        <v>419</v>
      </c>
    </row>
    <row r="115" spans="1:4">
      <c r="A115" t="s">
        <v>420</v>
      </c>
      <c r="B115" s="370" t="s">
        <v>193</v>
      </c>
      <c r="C115" t="s">
        <v>421</v>
      </c>
    </row>
    <row r="116" spans="1:4">
      <c r="A116" t="s">
        <v>422</v>
      </c>
      <c r="B116" s="370" t="s">
        <v>201</v>
      </c>
      <c r="C116" t="s">
        <v>423</v>
      </c>
    </row>
    <row r="117" spans="1:4">
      <c r="A117" t="s">
        <v>424</v>
      </c>
      <c r="B117" s="370" t="s">
        <v>220</v>
      </c>
      <c r="C117" t="s">
        <v>425</v>
      </c>
    </row>
    <row r="118" spans="1:4">
      <c r="A118" t="s">
        <v>426</v>
      </c>
      <c r="B118" s="370">
        <v>112</v>
      </c>
      <c r="C118" t="s">
        <v>427</v>
      </c>
      <c r="D118" t="s">
        <v>818</v>
      </c>
    </row>
    <row r="119" spans="1:4">
      <c r="A119" t="s">
        <v>428</v>
      </c>
      <c r="B119" s="370" t="s">
        <v>209</v>
      </c>
      <c r="C119" t="s">
        <v>429</v>
      </c>
    </row>
    <row r="120" spans="1:4">
      <c r="A120" t="s">
        <v>430</v>
      </c>
      <c r="B120" s="370" t="s">
        <v>196</v>
      </c>
      <c r="C120" t="s">
        <v>431</v>
      </c>
    </row>
    <row r="121" spans="1:4">
      <c r="A121" t="s">
        <v>432</v>
      </c>
      <c r="B121" s="370" t="s">
        <v>193</v>
      </c>
      <c r="C121" t="s">
        <v>433</v>
      </c>
    </row>
    <row r="122" spans="1:4">
      <c r="A122" t="s">
        <v>434</v>
      </c>
      <c r="B122" s="370" t="s">
        <v>230</v>
      </c>
      <c r="C122" t="s">
        <v>435</v>
      </c>
    </row>
    <row r="123" spans="1:4">
      <c r="A123" t="s">
        <v>436</v>
      </c>
      <c r="B123" s="370" t="s">
        <v>188</v>
      </c>
      <c r="C123" t="s">
        <v>437</v>
      </c>
      <c r="D123" t="s">
        <v>818</v>
      </c>
    </row>
    <row r="124" spans="1:4">
      <c r="A124" t="s">
        <v>438</v>
      </c>
      <c r="B124" s="370" t="s">
        <v>196</v>
      </c>
      <c r="C124" t="s">
        <v>439</v>
      </c>
    </row>
    <row r="125" spans="1:4">
      <c r="A125" t="s">
        <v>440</v>
      </c>
      <c r="B125" s="370" t="s">
        <v>204</v>
      </c>
      <c r="C125" t="s">
        <v>441</v>
      </c>
    </row>
    <row r="126" spans="1:4">
      <c r="A126" t="s">
        <v>442</v>
      </c>
      <c r="B126" s="370" t="s">
        <v>196</v>
      </c>
      <c r="C126" t="s">
        <v>443</v>
      </c>
    </row>
    <row r="127" spans="1:4">
      <c r="A127" t="s">
        <v>444</v>
      </c>
      <c r="B127" s="370" t="s">
        <v>193</v>
      </c>
      <c r="C127" t="s">
        <v>445</v>
      </c>
    </row>
    <row r="128" spans="1:4">
      <c r="A128" t="s">
        <v>446</v>
      </c>
      <c r="B128" s="370" t="s">
        <v>193</v>
      </c>
      <c r="C128" t="s">
        <v>447</v>
      </c>
    </row>
    <row r="129" spans="1:4">
      <c r="A129" t="s">
        <v>448</v>
      </c>
      <c r="B129" s="370" t="s">
        <v>193</v>
      </c>
      <c r="C129" t="s">
        <v>449</v>
      </c>
    </row>
    <row r="130" spans="1:4">
      <c r="A130" t="s">
        <v>450</v>
      </c>
      <c r="B130" s="370" t="s">
        <v>209</v>
      </c>
      <c r="C130" t="s">
        <v>451</v>
      </c>
    </row>
    <row r="131" spans="1:4">
      <c r="A131" t="s">
        <v>452</v>
      </c>
      <c r="B131" s="370" t="s">
        <v>193</v>
      </c>
      <c r="C131" t="s">
        <v>453</v>
      </c>
    </row>
    <row r="132" spans="1:4">
      <c r="A132" t="s">
        <v>454</v>
      </c>
      <c r="B132" s="370" t="s">
        <v>196</v>
      </c>
      <c r="C132" t="s">
        <v>455</v>
      </c>
    </row>
    <row r="133" spans="1:4">
      <c r="A133" t="s">
        <v>456</v>
      </c>
      <c r="C133" t="s">
        <v>1171</v>
      </c>
      <c r="D133" t="s">
        <v>1156</v>
      </c>
    </row>
    <row r="134" spans="1:4">
      <c r="A134" t="s">
        <v>457</v>
      </c>
      <c r="B134" s="370">
        <v>112</v>
      </c>
      <c r="C134" t="s">
        <v>458</v>
      </c>
      <c r="D134" t="s">
        <v>818</v>
      </c>
    </row>
    <row r="135" spans="1:4">
      <c r="A135" t="s">
        <v>459</v>
      </c>
      <c r="B135" s="370" t="s">
        <v>196</v>
      </c>
      <c r="C135" t="s">
        <v>460</v>
      </c>
    </row>
    <row r="136" spans="1:4">
      <c r="A136" t="s">
        <v>461</v>
      </c>
      <c r="B136" s="370" t="s">
        <v>220</v>
      </c>
      <c r="C136" t="s">
        <v>462</v>
      </c>
    </row>
    <row r="137" spans="1:4">
      <c r="A137" t="s">
        <v>463</v>
      </c>
      <c r="B137" s="370" t="s">
        <v>230</v>
      </c>
      <c r="C137" t="s">
        <v>464</v>
      </c>
    </row>
    <row r="138" spans="1:4">
      <c r="A138" t="s">
        <v>465</v>
      </c>
      <c r="B138" s="370" t="s">
        <v>230</v>
      </c>
      <c r="C138" t="s">
        <v>466</v>
      </c>
    </row>
    <row r="139" spans="1:4">
      <c r="A139" t="s">
        <v>467</v>
      </c>
      <c r="B139" s="370" t="s">
        <v>188</v>
      </c>
      <c r="C139" t="s">
        <v>468</v>
      </c>
    </row>
    <row r="140" spans="1:4">
      <c r="A140" t="s">
        <v>469</v>
      </c>
      <c r="B140" s="370" t="s">
        <v>193</v>
      </c>
      <c r="C140" t="s">
        <v>470</v>
      </c>
    </row>
    <row r="141" spans="1:4">
      <c r="A141" t="s">
        <v>471</v>
      </c>
      <c r="B141" s="370" t="s">
        <v>196</v>
      </c>
      <c r="C141" t="s">
        <v>472</v>
      </c>
    </row>
    <row r="142" spans="1:4">
      <c r="A142" t="s">
        <v>473</v>
      </c>
      <c r="B142" s="370" t="s">
        <v>188</v>
      </c>
      <c r="C142" t="s">
        <v>474</v>
      </c>
    </row>
    <row r="143" spans="1:4">
      <c r="A143" t="s">
        <v>475</v>
      </c>
      <c r="B143" s="370" t="s">
        <v>193</v>
      </c>
      <c r="C143" t="s">
        <v>476</v>
      </c>
    </row>
    <row r="144" spans="1:4">
      <c r="A144" t="s">
        <v>477</v>
      </c>
      <c r="B144" s="370" t="s">
        <v>193</v>
      </c>
      <c r="C144" t="s">
        <v>478</v>
      </c>
    </row>
    <row r="145" spans="1:4">
      <c r="A145" t="s">
        <v>479</v>
      </c>
      <c r="B145" s="370" t="s">
        <v>204</v>
      </c>
      <c r="C145" t="s">
        <v>480</v>
      </c>
    </row>
    <row r="146" spans="1:4">
      <c r="A146" t="s">
        <v>481</v>
      </c>
      <c r="B146" s="370" t="s">
        <v>196</v>
      </c>
      <c r="C146" t="s">
        <v>482</v>
      </c>
    </row>
    <row r="147" spans="1:4">
      <c r="A147" t="s">
        <v>483</v>
      </c>
      <c r="B147" s="370">
        <v>171</v>
      </c>
      <c r="C147" t="s">
        <v>484</v>
      </c>
      <c r="D147" t="s">
        <v>818</v>
      </c>
    </row>
    <row r="148" spans="1:4">
      <c r="A148" t="s">
        <v>485</v>
      </c>
      <c r="B148" s="370">
        <v>112</v>
      </c>
      <c r="C148" t="s">
        <v>486</v>
      </c>
      <c r="D148" t="s">
        <v>818</v>
      </c>
    </row>
    <row r="149" spans="1:4">
      <c r="A149" t="s">
        <v>487</v>
      </c>
      <c r="B149" s="370" t="s">
        <v>196</v>
      </c>
      <c r="C149" t="s">
        <v>488</v>
      </c>
    </row>
    <row r="150" spans="1:4">
      <c r="A150" t="s">
        <v>489</v>
      </c>
      <c r="B150" s="370" t="s">
        <v>188</v>
      </c>
      <c r="C150" t="s">
        <v>490</v>
      </c>
    </row>
    <row r="151" spans="1:4">
      <c r="A151" t="s">
        <v>491</v>
      </c>
      <c r="B151" s="370" t="s">
        <v>188</v>
      </c>
      <c r="C151" t="s">
        <v>492</v>
      </c>
    </row>
    <row r="152" spans="1:4">
      <c r="A152" t="s">
        <v>493</v>
      </c>
      <c r="B152" s="370" t="s">
        <v>230</v>
      </c>
      <c r="C152" t="s">
        <v>494</v>
      </c>
    </row>
    <row r="153" spans="1:4">
      <c r="A153" t="s">
        <v>495</v>
      </c>
      <c r="B153" s="370" t="s">
        <v>188</v>
      </c>
      <c r="C153" t="s">
        <v>496</v>
      </c>
    </row>
    <row r="154" spans="1:4">
      <c r="A154" t="s">
        <v>497</v>
      </c>
      <c r="B154" s="370" t="s">
        <v>220</v>
      </c>
      <c r="C154" t="s">
        <v>498</v>
      </c>
    </row>
    <row r="155" spans="1:4">
      <c r="A155" t="s">
        <v>499</v>
      </c>
      <c r="B155" s="370" t="s">
        <v>196</v>
      </c>
      <c r="C155" t="s">
        <v>500</v>
      </c>
    </row>
    <row r="156" spans="1:4">
      <c r="A156" t="s">
        <v>501</v>
      </c>
      <c r="B156" s="370">
        <v>112</v>
      </c>
      <c r="C156" t="s">
        <v>502</v>
      </c>
      <c r="D156" t="s">
        <v>818</v>
      </c>
    </row>
    <row r="157" spans="1:4">
      <c r="A157" t="s">
        <v>503</v>
      </c>
      <c r="B157" s="370" t="s">
        <v>196</v>
      </c>
      <c r="C157" t="s">
        <v>504</v>
      </c>
    </row>
    <row r="158" spans="1:4">
      <c r="A158" t="s">
        <v>505</v>
      </c>
      <c r="B158" s="370" t="s">
        <v>196</v>
      </c>
      <c r="C158" t="s">
        <v>506</v>
      </c>
    </row>
    <row r="159" spans="1:4">
      <c r="A159" t="s">
        <v>507</v>
      </c>
      <c r="B159" s="370" t="s">
        <v>220</v>
      </c>
      <c r="C159" t="s">
        <v>508</v>
      </c>
    </row>
    <row r="160" spans="1:4">
      <c r="A160" t="s">
        <v>509</v>
      </c>
      <c r="B160" s="370" t="s">
        <v>188</v>
      </c>
      <c r="C160" t="s">
        <v>510</v>
      </c>
    </row>
    <row r="161" spans="1:4">
      <c r="A161" t="s">
        <v>511</v>
      </c>
      <c r="B161" s="370">
        <v>112</v>
      </c>
      <c r="C161" t="s">
        <v>512</v>
      </c>
      <c r="D161" t="s">
        <v>818</v>
      </c>
    </row>
    <row r="162" spans="1:4">
      <c r="A162" t="s">
        <v>513</v>
      </c>
      <c r="B162" s="370" t="s">
        <v>230</v>
      </c>
      <c r="C162" t="s">
        <v>514</v>
      </c>
    </row>
    <row r="163" spans="1:4">
      <c r="A163" t="s">
        <v>515</v>
      </c>
      <c r="B163" s="370" t="s">
        <v>193</v>
      </c>
      <c r="C163" t="s">
        <v>516</v>
      </c>
    </row>
    <row r="164" spans="1:4">
      <c r="A164" t="s">
        <v>517</v>
      </c>
      <c r="B164" s="370" t="s">
        <v>193</v>
      </c>
      <c r="C164" t="s">
        <v>518</v>
      </c>
    </row>
    <row r="165" spans="1:4">
      <c r="A165" t="s">
        <v>519</v>
      </c>
      <c r="B165" s="370" t="s">
        <v>196</v>
      </c>
      <c r="C165" t="s">
        <v>520</v>
      </c>
    </row>
    <row r="166" spans="1:4">
      <c r="A166" t="s">
        <v>521</v>
      </c>
      <c r="B166" s="370" t="s">
        <v>188</v>
      </c>
      <c r="C166" t="s">
        <v>522</v>
      </c>
    </row>
    <row r="167" spans="1:4">
      <c r="A167" t="s">
        <v>523</v>
      </c>
      <c r="B167" s="370" t="s">
        <v>201</v>
      </c>
      <c r="C167" t="s">
        <v>524</v>
      </c>
    </row>
    <row r="168" spans="1:4">
      <c r="A168" t="s">
        <v>525</v>
      </c>
      <c r="B168" s="370" t="s">
        <v>227</v>
      </c>
      <c r="C168" t="s">
        <v>526</v>
      </c>
    </row>
    <row r="169" spans="1:4">
      <c r="A169" t="s">
        <v>527</v>
      </c>
      <c r="B169" s="370" t="s">
        <v>227</v>
      </c>
      <c r="C169" t="s">
        <v>528</v>
      </c>
    </row>
    <row r="170" spans="1:4">
      <c r="A170" t="s">
        <v>529</v>
      </c>
      <c r="B170" s="370" t="s">
        <v>188</v>
      </c>
      <c r="C170" t="s">
        <v>530</v>
      </c>
    </row>
    <row r="171" spans="1:4">
      <c r="A171" t="s">
        <v>531</v>
      </c>
      <c r="B171" s="370" t="s">
        <v>188</v>
      </c>
      <c r="C171" t="s">
        <v>532</v>
      </c>
    </row>
    <row r="172" spans="1:4">
      <c r="A172" t="s">
        <v>533</v>
      </c>
      <c r="B172" s="370" t="s">
        <v>193</v>
      </c>
      <c r="C172" t="s">
        <v>534</v>
      </c>
    </row>
    <row r="173" spans="1:4">
      <c r="A173" t="s">
        <v>535</v>
      </c>
      <c r="B173" s="370" t="s">
        <v>204</v>
      </c>
      <c r="C173" t="s">
        <v>536</v>
      </c>
    </row>
    <row r="174" spans="1:4">
      <c r="A174" t="s">
        <v>537</v>
      </c>
      <c r="B174" s="370" t="s">
        <v>196</v>
      </c>
      <c r="C174" t="s">
        <v>538</v>
      </c>
    </row>
    <row r="175" spans="1:4">
      <c r="A175" t="s">
        <v>539</v>
      </c>
      <c r="B175" s="370" t="s">
        <v>193</v>
      </c>
      <c r="C175" t="s">
        <v>540</v>
      </c>
    </row>
    <row r="176" spans="1:4">
      <c r="A176" t="s">
        <v>541</v>
      </c>
      <c r="B176" s="370" t="s">
        <v>188</v>
      </c>
      <c r="C176" t="s">
        <v>542</v>
      </c>
    </row>
    <row r="177" spans="1:4">
      <c r="A177" t="s">
        <v>543</v>
      </c>
      <c r="B177" s="370">
        <v>112</v>
      </c>
      <c r="C177" t="s">
        <v>544</v>
      </c>
      <c r="D177" t="s">
        <v>818</v>
      </c>
    </row>
    <row r="178" spans="1:4">
      <c r="A178" t="s">
        <v>545</v>
      </c>
      <c r="B178" s="370" t="s">
        <v>188</v>
      </c>
      <c r="C178" t="s">
        <v>546</v>
      </c>
    </row>
    <row r="179" spans="1:4">
      <c r="A179" t="s">
        <v>547</v>
      </c>
      <c r="B179" s="370" t="s">
        <v>193</v>
      </c>
      <c r="C179" t="s">
        <v>548</v>
      </c>
    </row>
    <row r="180" spans="1:4">
      <c r="A180" t="s">
        <v>549</v>
      </c>
      <c r="B180" s="370" t="s">
        <v>230</v>
      </c>
      <c r="C180" t="s">
        <v>550</v>
      </c>
    </row>
    <row r="181" spans="1:4">
      <c r="A181" t="s">
        <v>551</v>
      </c>
      <c r="B181" s="370" t="s">
        <v>188</v>
      </c>
      <c r="C181" t="s">
        <v>552</v>
      </c>
    </row>
    <row r="182" spans="1:4">
      <c r="A182" t="s">
        <v>553</v>
      </c>
      <c r="B182" s="370" t="s">
        <v>230</v>
      </c>
      <c r="C182" t="s">
        <v>554</v>
      </c>
    </row>
    <row r="183" spans="1:4">
      <c r="A183" t="s">
        <v>555</v>
      </c>
      <c r="B183" s="370" t="s">
        <v>188</v>
      </c>
      <c r="C183" t="s">
        <v>556</v>
      </c>
    </row>
    <row r="184" spans="1:4">
      <c r="A184" t="s">
        <v>557</v>
      </c>
      <c r="B184" s="370" t="s">
        <v>193</v>
      </c>
      <c r="C184" t="s">
        <v>558</v>
      </c>
    </row>
    <row r="185" spans="1:4">
      <c r="A185" t="s">
        <v>559</v>
      </c>
      <c r="B185" s="370" t="s">
        <v>196</v>
      </c>
      <c r="C185" t="s">
        <v>560</v>
      </c>
    </row>
    <row r="186" spans="1:4">
      <c r="A186" t="s">
        <v>561</v>
      </c>
      <c r="B186" s="370" t="s">
        <v>193</v>
      </c>
      <c r="C186" t="s">
        <v>562</v>
      </c>
    </row>
    <row r="187" spans="1:4">
      <c r="A187" t="s">
        <v>563</v>
      </c>
      <c r="B187" s="370" t="s">
        <v>193</v>
      </c>
      <c r="C187" t="s">
        <v>564</v>
      </c>
    </row>
    <row r="188" spans="1:4">
      <c r="A188" t="s">
        <v>565</v>
      </c>
      <c r="B188" s="370">
        <v>171</v>
      </c>
      <c r="C188" t="s">
        <v>566</v>
      </c>
      <c r="D188" t="s">
        <v>818</v>
      </c>
    </row>
    <row r="189" spans="1:4">
      <c r="A189" t="s">
        <v>567</v>
      </c>
      <c r="B189" s="370" t="s">
        <v>230</v>
      </c>
      <c r="C189" t="s">
        <v>568</v>
      </c>
    </row>
    <row r="190" spans="1:4">
      <c r="A190" t="s">
        <v>569</v>
      </c>
      <c r="B190" s="370" t="s">
        <v>204</v>
      </c>
      <c r="C190" t="s">
        <v>570</v>
      </c>
    </row>
    <row r="191" spans="1:4">
      <c r="A191" t="s">
        <v>571</v>
      </c>
      <c r="B191" s="370" t="s">
        <v>201</v>
      </c>
      <c r="C191" t="s">
        <v>572</v>
      </c>
    </row>
    <row r="192" spans="1:4">
      <c r="A192" t="s">
        <v>573</v>
      </c>
      <c r="B192" s="370" t="s">
        <v>230</v>
      </c>
      <c r="C192" t="s">
        <v>574</v>
      </c>
    </row>
    <row r="193" spans="1:4">
      <c r="A193" t="s">
        <v>575</v>
      </c>
      <c r="B193" s="370" t="s">
        <v>193</v>
      </c>
      <c r="C193" t="s">
        <v>576</v>
      </c>
    </row>
    <row r="194" spans="1:4">
      <c r="A194" t="s">
        <v>577</v>
      </c>
      <c r="B194" s="370" t="s">
        <v>201</v>
      </c>
      <c r="C194" t="s">
        <v>578</v>
      </c>
    </row>
    <row r="195" spans="1:4">
      <c r="A195" t="s">
        <v>579</v>
      </c>
      <c r="B195" s="370" t="s">
        <v>230</v>
      </c>
      <c r="C195" t="s">
        <v>580</v>
      </c>
    </row>
    <row r="196" spans="1:4">
      <c r="A196" t="s">
        <v>581</v>
      </c>
      <c r="B196" s="370" t="s">
        <v>201</v>
      </c>
      <c r="C196" t="s">
        <v>582</v>
      </c>
    </row>
    <row r="197" spans="1:4">
      <c r="A197" t="s">
        <v>583</v>
      </c>
      <c r="B197" s="370" t="s">
        <v>188</v>
      </c>
      <c r="C197" t="s">
        <v>584</v>
      </c>
    </row>
    <row r="198" spans="1:4">
      <c r="A198" t="s">
        <v>585</v>
      </c>
      <c r="B198" s="370" t="s">
        <v>204</v>
      </c>
      <c r="C198" t="s">
        <v>586</v>
      </c>
    </row>
    <row r="199" spans="1:4">
      <c r="A199" t="s">
        <v>1164</v>
      </c>
      <c r="C199" t="s">
        <v>1165</v>
      </c>
      <c r="D199" t="s">
        <v>1156</v>
      </c>
    </row>
    <row r="200" spans="1:4">
      <c r="A200" t="s">
        <v>587</v>
      </c>
      <c r="B200" s="370" t="s">
        <v>188</v>
      </c>
      <c r="C200" t="s">
        <v>588</v>
      </c>
    </row>
    <row r="201" spans="1:4">
      <c r="A201" t="s">
        <v>589</v>
      </c>
      <c r="B201" s="370" t="s">
        <v>201</v>
      </c>
      <c r="C201" t="s">
        <v>590</v>
      </c>
    </row>
    <row r="202" spans="1:4">
      <c r="A202" t="s">
        <v>591</v>
      </c>
      <c r="B202" s="370" t="s">
        <v>227</v>
      </c>
      <c r="C202" t="s">
        <v>592</v>
      </c>
    </row>
    <row r="203" spans="1:4">
      <c r="A203" t="s">
        <v>593</v>
      </c>
      <c r="B203" s="370" t="s">
        <v>227</v>
      </c>
      <c r="C203" t="s">
        <v>594</v>
      </c>
    </row>
    <row r="204" spans="1:4">
      <c r="A204" t="s">
        <v>595</v>
      </c>
      <c r="B204" s="370" t="s">
        <v>201</v>
      </c>
      <c r="C204" t="s">
        <v>596</v>
      </c>
    </row>
    <row r="205" spans="1:4">
      <c r="A205" t="s">
        <v>597</v>
      </c>
      <c r="B205" s="370" t="s">
        <v>201</v>
      </c>
      <c r="C205" t="s">
        <v>598</v>
      </c>
      <c r="D205" t="s">
        <v>1156</v>
      </c>
    </row>
    <row r="206" spans="1:4">
      <c r="A206" t="s">
        <v>599</v>
      </c>
      <c r="B206" s="370" t="s">
        <v>201</v>
      </c>
      <c r="C206" t="s">
        <v>600</v>
      </c>
    </row>
    <row r="207" spans="1:4">
      <c r="A207" t="s">
        <v>601</v>
      </c>
      <c r="B207" s="370" t="s">
        <v>193</v>
      </c>
      <c r="C207" t="s">
        <v>602</v>
      </c>
    </row>
    <row r="208" spans="1:4">
      <c r="A208" t="s">
        <v>1166</v>
      </c>
      <c r="C208" t="s">
        <v>1167</v>
      </c>
      <c r="D208" t="s">
        <v>1156</v>
      </c>
    </row>
    <row r="209" spans="1:4">
      <c r="A209" t="s">
        <v>603</v>
      </c>
      <c r="B209" s="370" t="s">
        <v>204</v>
      </c>
      <c r="C209" t="s">
        <v>604</v>
      </c>
    </row>
    <row r="210" spans="1:4">
      <c r="A210" t="s">
        <v>605</v>
      </c>
      <c r="B210" s="370" t="s">
        <v>227</v>
      </c>
      <c r="C210" t="s">
        <v>606</v>
      </c>
    </row>
    <row r="211" spans="1:4">
      <c r="A211" t="s">
        <v>607</v>
      </c>
      <c r="B211" s="370" t="s">
        <v>227</v>
      </c>
      <c r="C211" t="s">
        <v>608</v>
      </c>
    </row>
    <row r="212" spans="1:4">
      <c r="A212" t="s">
        <v>611</v>
      </c>
      <c r="B212" s="370" t="s">
        <v>227</v>
      </c>
      <c r="C212" t="s">
        <v>612</v>
      </c>
    </row>
    <row r="213" spans="1:4">
      <c r="A213" t="s">
        <v>609</v>
      </c>
      <c r="C213" t="s">
        <v>610</v>
      </c>
    </row>
    <row r="214" spans="1:4">
      <c r="A214" t="s">
        <v>613</v>
      </c>
      <c r="B214" s="370" t="s">
        <v>230</v>
      </c>
      <c r="C214" t="s">
        <v>614</v>
      </c>
    </row>
    <row r="215" spans="1:4">
      <c r="A215" t="s">
        <v>615</v>
      </c>
      <c r="B215" s="370" t="s">
        <v>188</v>
      </c>
      <c r="C215" t="s">
        <v>616</v>
      </c>
    </row>
    <row r="216" spans="1:4">
      <c r="A216" t="s">
        <v>617</v>
      </c>
      <c r="B216" s="370" t="s">
        <v>204</v>
      </c>
      <c r="C216" t="s">
        <v>618</v>
      </c>
      <c r="D216" t="s">
        <v>1156</v>
      </c>
    </row>
    <row r="217" spans="1:4">
      <c r="A217" t="s">
        <v>619</v>
      </c>
      <c r="B217" s="370" t="s">
        <v>204</v>
      </c>
      <c r="C217" t="s">
        <v>1159</v>
      </c>
      <c r="D217" t="s">
        <v>1156</v>
      </c>
    </row>
    <row r="218" spans="1:4">
      <c r="A218" t="s">
        <v>620</v>
      </c>
      <c r="B218" s="370">
        <v>113</v>
      </c>
      <c r="C218" t="s">
        <v>621</v>
      </c>
      <c r="D218" t="s">
        <v>818</v>
      </c>
    </row>
    <row r="219" spans="1:4">
      <c r="A219" t="s">
        <v>622</v>
      </c>
      <c r="B219" s="370" t="s">
        <v>193</v>
      </c>
      <c r="C219" t="s">
        <v>623</v>
      </c>
    </row>
    <row r="220" spans="1:4">
      <c r="A220" t="s">
        <v>624</v>
      </c>
      <c r="B220" s="370" t="s">
        <v>204</v>
      </c>
      <c r="C220" t="s">
        <v>625</v>
      </c>
    </row>
    <row r="221" spans="1:4">
      <c r="A221" t="s">
        <v>626</v>
      </c>
      <c r="B221" s="370" t="s">
        <v>193</v>
      </c>
      <c r="C221" t="s">
        <v>627</v>
      </c>
    </row>
    <row r="222" spans="1:4">
      <c r="A222" t="s">
        <v>628</v>
      </c>
      <c r="B222" s="370" t="s">
        <v>201</v>
      </c>
      <c r="C222" t="s">
        <v>629</v>
      </c>
    </row>
    <row r="223" spans="1:4">
      <c r="A223" t="s">
        <v>630</v>
      </c>
      <c r="B223" s="370" t="s">
        <v>209</v>
      </c>
      <c r="C223" t="s">
        <v>631</v>
      </c>
    </row>
    <row r="224" spans="1:4">
      <c r="A224" t="s">
        <v>632</v>
      </c>
      <c r="B224" s="370" t="s">
        <v>193</v>
      </c>
      <c r="C224" t="s">
        <v>633</v>
      </c>
    </row>
    <row r="225" spans="1:4">
      <c r="A225" t="s">
        <v>634</v>
      </c>
      <c r="B225" s="370" t="s">
        <v>193</v>
      </c>
      <c r="C225" t="s">
        <v>635</v>
      </c>
    </row>
    <row r="226" spans="1:4">
      <c r="A226" t="s">
        <v>636</v>
      </c>
      <c r="B226" s="370" t="s">
        <v>204</v>
      </c>
      <c r="C226" t="s">
        <v>637</v>
      </c>
    </row>
    <row r="227" spans="1:4">
      <c r="A227" t="s">
        <v>638</v>
      </c>
      <c r="B227" s="370" t="s">
        <v>188</v>
      </c>
      <c r="C227" t="s">
        <v>639</v>
      </c>
    </row>
    <row r="228" spans="1:4">
      <c r="A228" t="s">
        <v>640</v>
      </c>
      <c r="B228" s="370">
        <v>112</v>
      </c>
      <c r="C228" t="s">
        <v>641</v>
      </c>
      <c r="D228" t="s">
        <v>818</v>
      </c>
    </row>
    <row r="229" spans="1:4">
      <c r="A229" t="s">
        <v>642</v>
      </c>
      <c r="B229" s="370" t="s">
        <v>193</v>
      </c>
      <c r="C229" t="s">
        <v>643</v>
      </c>
    </row>
    <row r="230" spans="1:4">
      <c r="A230" t="s">
        <v>644</v>
      </c>
      <c r="B230" s="370" t="s">
        <v>220</v>
      </c>
      <c r="C230" t="s">
        <v>645</v>
      </c>
    </row>
    <row r="231" spans="1:4">
      <c r="A231" t="s">
        <v>646</v>
      </c>
      <c r="B231" s="370" t="s">
        <v>196</v>
      </c>
      <c r="C231" t="s">
        <v>647</v>
      </c>
    </row>
    <row r="232" spans="1:4">
      <c r="A232" t="s">
        <v>648</v>
      </c>
      <c r="B232" s="370" t="s">
        <v>188</v>
      </c>
      <c r="C232" t="s">
        <v>649</v>
      </c>
    </row>
    <row r="233" spans="1:4">
      <c r="A233" t="s">
        <v>650</v>
      </c>
      <c r="B233" s="370" t="s">
        <v>209</v>
      </c>
      <c r="C233" t="s">
        <v>651</v>
      </c>
    </row>
    <row r="234" spans="1:4">
      <c r="A234" t="s">
        <v>652</v>
      </c>
      <c r="B234" s="370" t="s">
        <v>209</v>
      </c>
      <c r="C234" t="s">
        <v>653</v>
      </c>
    </row>
    <row r="235" spans="1:4">
      <c r="A235" t="s">
        <v>654</v>
      </c>
      <c r="B235" s="370" t="s">
        <v>204</v>
      </c>
      <c r="C235" t="s">
        <v>655</v>
      </c>
    </row>
    <row r="236" spans="1:4">
      <c r="A236" t="s">
        <v>656</v>
      </c>
      <c r="B236" s="370" t="s">
        <v>196</v>
      </c>
      <c r="C236" t="s">
        <v>657</v>
      </c>
    </row>
    <row r="237" spans="1:4">
      <c r="A237" t="s">
        <v>658</v>
      </c>
      <c r="B237" s="370" t="s">
        <v>220</v>
      </c>
      <c r="C237" t="s">
        <v>659</v>
      </c>
    </row>
    <row r="238" spans="1:4">
      <c r="A238" t="s">
        <v>660</v>
      </c>
      <c r="B238" s="370" t="s">
        <v>193</v>
      </c>
      <c r="C238" t="s">
        <v>661</v>
      </c>
    </row>
    <row r="239" spans="1:4">
      <c r="A239" t="s">
        <v>662</v>
      </c>
      <c r="B239" s="370" t="s">
        <v>227</v>
      </c>
      <c r="C239" t="s">
        <v>663</v>
      </c>
    </row>
    <row r="240" spans="1:4">
      <c r="A240" t="s">
        <v>664</v>
      </c>
      <c r="B240" s="370" t="s">
        <v>196</v>
      </c>
      <c r="C240" t="s">
        <v>665</v>
      </c>
    </row>
    <row r="241" spans="1:4">
      <c r="A241" t="s">
        <v>666</v>
      </c>
      <c r="B241" s="370" t="s">
        <v>188</v>
      </c>
      <c r="C241" t="s">
        <v>667</v>
      </c>
    </row>
    <row r="242" spans="1:4">
      <c r="A242" t="s">
        <v>668</v>
      </c>
      <c r="B242" s="370" t="s">
        <v>204</v>
      </c>
      <c r="C242" t="s">
        <v>669</v>
      </c>
    </row>
    <row r="243" spans="1:4">
      <c r="A243" t="s">
        <v>670</v>
      </c>
      <c r="B243" s="370">
        <v>112</v>
      </c>
      <c r="C243" t="s">
        <v>671</v>
      </c>
      <c r="D243" t="s">
        <v>818</v>
      </c>
    </row>
    <row r="244" spans="1:4">
      <c r="A244" t="s">
        <v>672</v>
      </c>
      <c r="B244" s="370" t="s">
        <v>204</v>
      </c>
      <c r="C244" t="s">
        <v>673</v>
      </c>
    </row>
    <row r="245" spans="1:4">
      <c r="A245" t="s">
        <v>674</v>
      </c>
      <c r="B245" s="370" t="s">
        <v>196</v>
      </c>
      <c r="C245" t="s">
        <v>675</v>
      </c>
    </row>
    <row r="246" spans="1:4">
      <c r="A246" t="s">
        <v>676</v>
      </c>
      <c r="B246" s="370" t="s">
        <v>204</v>
      </c>
      <c r="C246" t="s">
        <v>677</v>
      </c>
    </row>
    <row r="247" spans="1:4">
      <c r="A247" t="s">
        <v>678</v>
      </c>
      <c r="B247" s="370" t="s">
        <v>230</v>
      </c>
      <c r="C247" t="s">
        <v>679</v>
      </c>
    </row>
    <row r="248" spans="1:4">
      <c r="A248" t="s">
        <v>681</v>
      </c>
      <c r="B248" s="370" t="s">
        <v>188</v>
      </c>
      <c r="C248" t="s">
        <v>682</v>
      </c>
    </row>
    <row r="249" spans="1:4">
      <c r="A249" t="s">
        <v>683</v>
      </c>
      <c r="B249" s="370" t="s">
        <v>1126</v>
      </c>
      <c r="C249" t="s">
        <v>684</v>
      </c>
    </row>
    <row r="250" spans="1:4">
      <c r="A250" t="s">
        <v>685</v>
      </c>
      <c r="B250" s="370" t="s">
        <v>196</v>
      </c>
      <c r="C250" t="s">
        <v>686</v>
      </c>
    </row>
    <row r="251" spans="1:4">
      <c r="A251" t="s">
        <v>687</v>
      </c>
      <c r="B251" s="370" t="s">
        <v>188</v>
      </c>
      <c r="C251" t="s">
        <v>688</v>
      </c>
    </row>
    <row r="252" spans="1:4">
      <c r="A252" t="s">
        <v>689</v>
      </c>
      <c r="B252" s="370" t="s">
        <v>193</v>
      </c>
      <c r="C252" t="s">
        <v>690</v>
      </c>
    </row>
    <row r="253" spans="1:4">
      <c r="A253" t="s">
        <v>691</v>
      </c>
      <c r="B253" s="370" t="s">
        <v>193</v>
      </c>
      <c r="C253" t="s">
        <v>692</v>
      </c>
      <c r="D253" t="s">
        <v>1156</v>
      </c>
    </row>
    <row r="254" spans="1:4">
      <c r="A254" t="s">
        <v>693</v>
      </c>
      <c r="B254" s="370" t="s">
        <v>193</v>
      </c>
      <c r="C254" t="s">
        <v>694</v>
      </c>
    </row>
    <row r="255" spans="1:4">
      <c r="A255" t="s">
        <v>695</v>
      </c>
      <c r="B255" s="370" t="s">
        <v>193</v>
      </c>
      <c r="C255" t="s">
        <v>696</v>
      </c>
    </row>
    <row r="256" spans="1:4">
      <c r="A256" t="s">
        <v>697</v>
      </c>
      <c r="B256" s="370" t="s">
        <v>196</v>
      </c>
      <c r="C256" t="s">
        <v>698</v>
      </c>
    </row>
    <row r="257" spans="1:4">
      <c r="A257" t="s">
        <v>699</v>
      </c>
      <c r="B257" s="370" t="s">
        <v>201</v>
      </c>
      <c r="C257" t="s">
        <v>700</v>
      </c>
    </row>
    <row r="258" spans="1:4">
      <c r="A258" t="s">
        <v>701</v>
      </c>
      <c r="B258" s="370" t="s">
        <v>201</v>
      </c>
      <c r="C258" t="s">
        <v>702</v>
      </c>
    </row>
    <row r="259" spans="1:4">
      <c r="A259" t="s">
        <v>703</v>
      </c>
      <c r="B259" s="370" t="s">
        <v>230</v>
      </c>
      <c r="C259" t="s">
        <v>704</v>
      </c>
    </row>
    <row r="260" spans="1:4">
      <c r="A260" t="s">
        <v>705</v>
      </c>
      <c r="B260" s="370" t="s">
        <v>204</v>
      </c>
      <c r="C260" t="s">
        <v>706</v>
      </c>
    </row>
    <row r="261" spans="1:4">
      <c r="A261" t="s">
        <v>707</v>
      </c>
      <c r="B261" s="370" t="s">
        <v>193</v>
      </c>
      <c r="C261" t="s">
        <v>708</v>
      </c>
    </row>
    <row r="262" spans="1:4">
      <c r="A262" t="s">
        <v>709</v>
      </c>
      <c r="B262" s="370">
        <v>112</v>
      </c>
      <c r="C262" t="s">
        <v>710</v>
      </c>
      <c r="D262" t="s">
        <v>818</v>
      </c>
    </row>
    <row r="263" spans="1:4">
      <c r="A263" t="s">
        <v>711</v>
      </c>
      <c r="B263" s="370" t="s">
        <v>196</v>
      </c>
      <c r="C263" t="s">
        <v>712</v>
      </c>
    </row>
    <row r="264" spans="1:4">
      <c r="A264" t="s">
        <v>713</v>
      </c>
      <c r="B264" s="370" t="s">
        <v>204</v>
      </c>
      <c r="C264" t="s">
        <v>714</v>
      </c>
      <c r="D264" t="s">
        <v>1156</v>
      </c>
    </row>
    <row r="265" spans="1:4">
      <c r="A265" t="s">
        <v>715</v>
      </c>
      <c r="B265" s="370" t="s">
        <v>204</v>
      </c>
      <c r="C265" t="s">
        <v>716</v>
      </c>
      <c r="D265" t="s">
        <v>1156</v>
      </c>
    </row>
    <row r="266" spans="1:4">
      <c r="A266" t="s">
        <v>717</v>
      </c>
      <c r="B266" s="370" t="s">
        <v>193</v>
      </c>
      <c r="C266" t="s">
        <v>718</v>
      </c>
      <c r="D266" t="s">
        <v>1156</v>
      </c>
    </row>
    <row r="267" spans="1:4">
      <c r="A267" t="s">
        <v>719</v>
      </c>
      <c r="B267" s="370" t="s">
        <v>193</v>
      </c>
      <c r="C267" t="s">
        <v>720</v>
      </c>
    </row>
    <row r="268" spans="1:4">
      <c r="A268" t="s">
        <v>721</v>
      </c>
      <c r="B268" s="370" t="s">
        <v>204</v>
      </c>
      <c r="C268" t="s">
        <v>722</v>
      </c>
    </row>
    <row r="269" spans="1:4">
      <c r="A269" t="s">
        <v>723</v>
      </c>
      <c r="B269" s="370" t="s">
        <v>220</v>
      </c>
      <c r="C269" t="s">
        <v>724</v>
      </c>
    </row>
    <row r="270" spans="1:4">
      <c r="A270" t="s">
        <v>725</v>
      </c>
      <c r="C270" t="s">
        <v>726</v>
      </c>
      <c r="D270" t="s">
        <v>1170</v>
      </c>
    </row>
    <row r="271" spans="1:4">
      <c r="A271" t="s">
        <v>727</v>
      </c>
      <c r="B271" s="370" t="s">
        <v>204</v>
      </c>
      <c r="C271" t="s">
        <v>728</v>
      </c>
    </row>
    <row r="272" spans="1:4">
      <c r="A272" t="s">
        <v>729</v>
      </c>
      <c r="B272" s="370" t="s">
        <v>188</v>
      </c>
      <c r="C272" t="s">
        <v>730</v>
      </c>
    </row>
    <row r="273" spans="1:4">
      <c r="A273" t="s">
        <v>731</v>
      </c>
      <c r="B273" s="370" t="s">
        <v>204</v>
      </c>
      <c r="C273" t="s">
        <v>732</v>
      </c>
    </row>
    <row r="274" spans="1:4">
      <c r="A274" t="s">
        <v>733</v>
      </c>
      <c r="B274" s="370" t="s">
        <v>193</v>
      </c>
      <c r="C274" t="s">
        <v>734</v>
      </c>
    </row>
    <row r="275" spans="1:4">
      <c r="A275" t="s">
        <v>735</v>
      </c>
      <c r="B275" s="370" t="s">
        <v>188</v>
      </c>
      <c r="C275" t="s">
        <v>736</v>
      </c>
    </row>
    <row r="276" spans="1:4">
      <c r="A276" t="s">
        <v>737</v>
      </c>
      <c r="B276" s="370" t="s">
        <v>220</v>
      </c>
      <c r="C276" t="s">
        <v>738</v>
      </c>
    </row>
    <row r="277" spans="1:4">
      <c r="A277" t="s">
        <v>739</v>
      </c>
      <c r="B277" s="370" t="s">
        <v>188</v>
      </c>
      <c r="C277" t="s">
        <v>740</v>
      </c>
    </row>
    <row r="278" spans="1:4">
      <c r="A278" t="s">
        <v>741</v>
      </c>
      <c r="B278" s="370" t="s">
        <v>230</v>
      </c>
      <c r="C278" t="s">
        <v>742</v>
      </c>
    </row>
    <row r="279" spans="1:4">
      <c r="A279" t="s">
        <v>743</v>
      </c>
      <c r="B279" s="370" t="s">
        <v>220</v>
      </c>
      <c r="C279" t="s">
        <v>744</v>
      </c>
    </row>
    <row r="280" spans="1:4">
      <c r="A280" t="s">
        <v>745</v>
      </c>
      <c r="B280" s="370" t="s">
        <v>201</v>
      </c>
      <c r="C280" t="s">
        <v>746</v>
      </c>
    </row>
    <row r="281" spans="1:4">
      <c r="A281" t="s">
        <v>747</v>
      </c>
      <c r="B281" s="370" t="s">
        <v>209</v>
      </c>
      <c r="C281" t="s">
        <v>748</v>
      </c>
      <c r="D281" t="s">
        <v>818</v>
      </c>
    </row>
    <row r="282" spans="1:4">
      <c r="A282" t="s">
        <v>749</v>
      </c>
      <c r="B282" s="370" t="s">
        <v>209</v>
      </c>
      <c r="C282" t="s">
        <v>750</v>
      </c>
      <c r="D282" t="s">
        <v>818</v>
      </c>
    </row>
    <row r="283" spans="1:4">
      <c r="A283" t="s">
        <v>751</v>
      </c>
      <c r="B283" s="370" t="s">
        <v>204</v>
      </c>
      <c r="C283" t="s">
        <v>752</v>
      </c>
    </row>
    <row r="284" spans="1:4">
      <c r="A284" t="s">
        <v>753</v>
      </c>
      <c r="B284" s="370" t="s">
        <v>188</v>
      </c>
      <c r="C284" t="s">
        <v>754</v>
      </c>
    </row>
    <row r="285" spans="1:4">
      <c r="A285" t="s">
        <v>755</v>
      </c>
      <c r="B285" s="370" t="s">
        <v>220</v>
      </c>
      <c r="C285" t="s">
        <v>756</v>
      </c>
    </row>
    <row r="286" spans="1:4">
      <c r="A286" t="s">
        <v>757</v>
      </c>
      <c r="B286" s="370" t="s">
        <v>204</v>
      </c>
      <c r="C286" t="s">
        <v>758</v>
      </c>
    </row>
    <row r="287" spans="1:4">
      <c r="A287" t="s">
        <v>759</v>
      </c>
      <c r="B287" s="370" t="s">
        <v>193</v>
      </c>
      <c r="C287" t="s">
        <v>760</v>
      </c>
    </row>
    <row r="288" spans="1:4">
      <c r="A288" t="s">
        <v>761</v>
      </c>
      <c r="B288" s="370" t="s">
        <v>209</v>
      </c>
      <c r="C288" t="s">
        <v>762</v>
      </c>
    </row>
    <row r="289" spans="1:4">
      <c r="A289" t="s">
        <v>763</v>
      </c>
      <c r="B289" s="370" t="s">
        <v>204</v>
      </c>
      <c r="C289" t="s">
        <v>764</v>
      </c>
    </row>
    <row r="290" spans="1:4">
      <c r="A290" t="s">
        <v>765</v>
      </c>
      <c r="B290" s="370" t="s">
        <v>209</v>
      </c>
      <c r="C290" t="s">
        <v>766</v>
      </c>
      <c r="D290" t="s">
        <v>818</v>
      </c>
    </row>
    <row r="291" spans="1:4">
      <c r="A291" t="s">
        <v>767</v>
      </c>
      <c r="B291" s="370" t="s">
        <v>220</v>
      </c>
      <c r="C291" t="s">
        <v>768</v>
      </c>
    </row>
    <row r="292" spans="1:4">
      <c r="A292" t="s">
        <v>769</v>
      </c>
      <c r="B292" s="370" t="s">
        <v>201</v>
      </c>
      <c r="C292" t="s">
        <v>770</v>
      </c>
    </row>
    <row r="293" spans="1:4">
      <c r="A293" t="s">
        <v>771</v>
      </c>
      <c r="B293" s="370" t="s">
        <v>201</v>
      </c>
      <c r="C293" t="s">
        <v>772</v>
      </c>
    </row>
    <row r="294" spans="1:4">
      <c r="A294" t="s">
        <v>773</v>
      </c>
      <c r="B294" s="370" t="s">
        <v>220</v>
      </c>
      <c r="C294" t="s">
        <v>774</v>
      </c>
    </row>
    <row r="295" spans="1:4">
      <c r="A295" t="s">
        <v>775</v>
      </c>
      <c r="B295" s="370" t="s">
        <v>230</v>
      </c>
      <c r="C295" t="s">
        <v>776</v>
      </c>
    </row>
    <row r="296" spans="1:4">
      <c r="A296" t="s">
        <v>777</v>
      </c>
      <c r="B296" s="370" t="s">
        <v>209</v>
      </c>
      <c r="C296" t="s">
        <v>778</v>
      </c>
    </row>
    <row r="297" spans="1:4">
      <c r="A297" t="s">
        <v>779</v>
      </c>
      <c r="B297" s="370" t="s">
        <v>193</v>
      </c>
      <c r="C297" t="s">
        <v>780</v>
      </c>
    </row>
    <row r="298" spans="1:4">
      <c r="A298" t="s">
        <v>781</v>
      </c>
      <c r="B298" s="370">
        <v>171</v>
      </c>
      <c r="C298" t="s">
        <v>782</v>
      </c>
      <c r="D298" t="s">
        <v>818</v>
      </c>
    </row>
    <row r="299" spans="1:4">
      <c r="A299" t="s">
        <v>783</v>
      </c>
      <c r="B299" s="370" t="s">
        <v>193</v>
      </c>
      <c r="C299" t="s">
        <v>784</v>
      </c>
    </row>
    <row r="300" spans="1:4">
      <c r="A300" t="s">
        <v>785</v>
      </c>
      <c r="B300" s="370" t="s">
        <v>230</v>
      </c>
      <c r="C300" t="s">
        <v>786</v>
      </c>
    </row>
    <row r="301" spans="1:4">
      <c r="A301" t="s">
        <v>787</v>
      </c>
      <c r="B301" s="370" t="s">
        <v>220</v>
      </c>
      <c r="C301" t="s">
        <v>788</v>
      </c>
    </row>
    <row r="302" spans="1:4">
      <c r="A302" t="s">
        <v>789</v>
      </c>
      <c r="B302" s="370" t="s">
        <v>193</v>
      </c>
      <c r="C302" t="s">
        <v>790</v>
      </c>
    </row>
    <row r="303" spans="1:4">
      <c r="A303" t="s">
        <v>1168</v>
      </c>
      <c r="C303" t="s">
        <v>1169</v>
      </c>
      <c r="D303" t="s">
        <v>1156</v>
      </c>
    </row>
    <row r="304" spans="1:4">
      <c r="A304" t="s">
        <v>791</v>
      </c>
      <c r="B304" s="370" t="s">
        <v>188</v>
      </c>
      <c r="C304" t="s">
        <v>792</v>
      </c>
    </row>
    <row r="305" spans="1:4">
      <c r="A305" t="s">
        <v>793</v>
      </c>
      <c r="B305" s="370" t="s">
        <v>204</v>
      </c>
      <c r="C305" t="s">
        <v>794</v>
      </c>
    </row>
    <row r="306" spans="1:4">
      <c r="A306" t="s">
        <v>795</v>
      </c>
      <c r="B306" s="370">
        <v>112</v>
      </c>
      <c r="C306" t="s">
        <v>796</v>
      </c>
      <c r="D306" t="s">
        <v>818</v>
      </c>
    </row>
    <row r="307" spans="1:4">
      <c r="A307" t="s">
        <v>246</v>
      </c>
      <c r="C307" t="s">
        <v>1157</v>
      </c>
      <c r="D307" t="s">
        <v>1156</v>
      </c>
    </row>
    <row r="308" spans="1:4">
      <c r="A308" t="s">
        <v>797</v>
      </c>
      <c r="B308" s="370" t="s">
        <v>193</v>
      </c>
      <c r="C308" t="s">
        <v>798</v>
      </c>
    </row>
    <row r="309" spans="1:4">
      <c r="A309" t="s">
        <v>799</v>
      </c>
      <c r="B309" s="370" t="s">
        <v>188</v>
      </c>
      <c r="C309" t="s">
        <v>800</v>
      </c>
    </row>
    <row r="310" spans="1:4">
      <c r="A310" t="s">
        <v>801</v>
      </c>
      <c r="B310" s="370" t="s">
        <v>230</v>
      </c>
      <c r="C310" t="s">
        <v>802</v>
      </c>
    </row>
    <row r="311" spans="1:4">
      <c r="A311" t="s">
        <v>803</v>
      </c>
      <c r="B311" s="370" t="s">
        <v>188</v>
      </c>
      <c r="C311" t="s">
        <v>804</v>
      </c>
    </row>
    <row r="312" spans="1:4">
      <c r="A312" t="s">
        <v>805</v>
      </c>
      <c r="B312" s="370" t="s">
        <v>188</v>
      </c>
      <c r="C312" t="s">
        <v>806</v>
      </c>
    </row>
    <row r="313" spans="1:4">
      <c r="A313" t="s">
        <v>807</v>
      </c>
      <c r="B313" s="370">
        <v>112</v>
      </c>
      <c r="C313" t="s">
        <v>808</v>
      </c>
      <c r="D313" t="s">
        <v>818</v>
      </c>
    </row>
    <row r="314" spans="1:4">
      <c r="A314" t="s">
        <v>809</v>
      </c>
      <c r="B314" s="370" t="s">
        <v>209</v>
      </c>
      <c r="C314" t="s">
        <v>810</v>
      </c>
    </row>
    <row r="315" spans="1:4">
      <c r="A315" t="s">
        <v>811</v>
      </c>
      <c r="B315" s="370" t="s">
        <v>220</v>
      </c>
      <c r="C315" t="s">
        <v>812</v>
      </c>
    </row>
    <row r="316" spans="1:4">
      <c r="A316" t="s">
        <v>813</v>
      </c>
      <c r="B316" s="370" t="s">
        <v>188</v>
      </c>
      <c r="C316" t="s">
        <v>814</v>
      </c>
    </row>
    <row r="317" spans="1:4">
      <c r="A317" t="s">
        <v>815</v>
      </c>
      <c r="B317" s="370" t="s">
        <v>220</v>
      </c>
      <c r="C317" t="s">
        <v>816</v>
      </c>
    </row>
  </sheetData>
  <autoFilter ref="A1:D317" xr:uid="{00000000-0009-0000-0000-00002C000000}"/>
  <sortState xmlns:xlrd2="http://schemas.microsoft.com/office/spreadsheetml/2017/richdata2" ref="A2:C317">
    <sortCondition ref="C2:C317"/>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pageSetUpPr autoPageBreaks="0"/>
  </sheetPr>
  <dimension ref="A1:N35"/>
  <sheetViews>
    <sheetView showGridLines="0" workbookViewId="0">
      <pane ySplit="4" topLeftCell="A5" activePane="bottomLeft" state="frozen"/>
      <selection activeCell="D5" sqref="D5"/>
      <selection pane="bottomLeft" activeCell="A5" sqref="A5"/>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Started'!B6+4," -  LEA Effort - Budgeted Amounts")</f>
        <v>Eligibility Standard - State Fiscal Year 2025 -  LEA Effort - Budgeted Amounts</v>
      </c>
      <c r="B2" s="23"/>
      <c r="C2" s="23"/>
      <c r="D2" s="23"/>
      <c r="E2" s="23"/>
      <c r="F2" s="24"/>
      <c r="G2" s="467"/>
      <c r="H2" s="22" t="str">
        <f>CONCATENATE("Compliance Standard - State Fiscal Year ",'2. Getting Started'!B6+4," - LEA Effort - Final Expenditures")</f>
        <v>Compliance Standard - State Fiscal Year 2025 - LEA Effort - Final Expenditures</v>
      </c>
      <c r="I2" s="23"/>
      <c r="J2" s="23"/>
      <c r="K2" s="23"/>
      <c r="L2" s="23"/>
      <c r="M2" s="24"/>
    </row>
    <row r="3" spans="1:13" s="25" customFormat="1" ht="24" customHeight="1">
      <c r="A3" s="26"/>
      <c r="B3" s="27"/>
      <c r="D3" s="28" t="str">
        <f>CONCATENATE("SFY ",'2. Getting Started'!$B6+4," Budget")</f>
        <v>SFY 2025 Budget</v>
      </c>
      <c r="E3" s="29"/>
      <c r="F3" s="30"/>
      <c r="G3" s="467"/>
      <c r="H3" s="26"/>
      <c r="I3" s="27"/>
      <c r="J3" s="31"/>
      <c r="K3" s="28" t="str">
        <f>CONCATENATE("SFY ",'2. Getting Started'!$B6+4," Final Expenditures")</f>
        <v>SFY 2025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xxX2Ap2+kaTQiNm7oJdEePszA8J+FPPKehwEJnAg1196NL0ox49mz1uy4yDorgsZa3aWi1SCUHPNTI6ns9ctLg==" saltValue="PSloAiQIt5stpzE7dQmA/Q=="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200-000000000000}"/>
    <dataValidation allowBlank="1" showInputMessage="1" showErrorMessage="1" prompt="Don't forget to enter Child Count in Cell I1." sqref="H5" xr:uid="{00000000-0002-0000-1200-000001000000}"/>
  </dataValidations>
  <hyperlinks>
    <hyperlink ref="A33" r:id="rId1" xr:uid="{00000000-0004-0000-1200-000000000000}"/>
  </hyperlinks>
  <pageMargins left="0.75" right="0.75" top="1" bottom="1" header="0.5" footer="0.5"/>
  <pageSetup orientation="portrait" horizontalDpi="4294967292" verticalDpi="4294967292" r:id="rId2"/>
  <tableParts count="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pageSetUpPr autoPageBreaks="0"/>
  </sheetPr>
  <dimension ref="A1:AB75"/>
  <sheetViews>
    <sheetView showGridLines="0" zoomScale="90" zoomScaleNormal="90" zoomScalePageLayoutView="90" workbookViewId="0">
      <pane ySplit="3" topLeftCell="A4" activePane="bottomLeft" state="frozen"/>
      <selection activeCell="D21" sqref="D21"/>
      <selection pane="bottomLeft" activeCell="A4" sqref="A4"/>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176</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Started'!B6+4," Budget")</f>
        <v>Eligibility Standard -- Exceptions to MOE as Permitted by 34 CFR §300.204 and Adjustment to MOE as Permitted by 34 CFR §300.205 -- Projections for State Fiscal Year 2025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Started'!B6+4)</f>
        <v>Compliance Standard -- Exceptions to MOE as Permitted by 34 CFR §300.204 and Adjustment to MOE as Permitted by 34 CFR §300.205 -- Final Expenditures for  State Fiscal Year 2025</v>
      </c>
      <c r="I3" s="61"/>
      <c r="J3" s="61"/>
      <c r="K3" s="61"/>
      <c r="L3" s="61"/>
      <c r="M3" s="62"/>
      <c r="O3" s="64"/>
      <c r="P3" s="64"/>
      <c r="Q3" s="64"/>
      <c r="R3" s="64"/>
      <c r="S3" s="64"/>
      <c r="T3" s="64"/>
    </row>
    <row r="4" spans="1:20">
      <c r="A4" s="65" t="s">
        <v>59</v>
      </c>
      <c r="B4" s="66"/>
      <c r="C4" s="67"/>
      <c r="D4" s="67"/>
      <c r="E4" s="67"/>
      <c r="F4" s="68"/>
      <c r="G4" s="473"/>
      <c r="H4" s="65" t="s">
        <v>59</v>
      </c>
      <c r="I4" s="66"/>
      <c r="J4" s="67"/>
      <c r="K4" s="67"/>
      <c r="L4" s="67"/>
      <c r="M4" s="68"/>
      <c r="N4" s="70"/>
      <c r="O4" s="70"/>
      <c r="P4" s="70"/>
      <c r="Q4" s="70"/>
      <c r="R4" s="70"/>
      <c r="S4" s="70"/>
    </row>
    <row r="5" spans="1:20">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c r="A8" s="186"/>
      <c r="B8" s="187"/>
      <c r="C8" s="187"/>
      <c r="D8" s="188"/>
      <c r="E8" s="188"/>
      <c r="F8" s="84">
        <f>D8+E8</f>
        <v>0</v>
      </c>
      <c r="G8" s="473"/>
      <c r="H8" s="186"/>
      <c r="I8" s="187"/>
      <c r="J8" s="187"/>
      <c r="K8" s="188"/>
      <c r="L8" s="188"/>
      <c r="M8" s="84">
        <f>K8+L8</f>
        <v>0</v>
      </c>
      <c r="N8" s="85"/>
      <c r="O8" s="85"/>
    </row>
    <row r="9" spans="1:20">
      <c r="A9" s="186"/>
      <c r="B9" s="187"/>
      <c r="C9" s="187"/>
      <c r="D9" s="188"/>
      <c r="E9" s="188"/>
      <c r="F9" s="84">
        <f>D9+E9</f>
        <v>0</v>
      </c>
      <c r="G9" s="473"/>
      <c r="H9" s="186"/>
      <c r="I9" s="187"/>
      <c r="J9" s="187"/>
      <c r="K9" s="188"/>
      <c r="L9" s="188"/>
      <c r="M9" s="84">
        <f>K9+L9</f>
        <v>0</v>
      </c>
      <c r="N9" s="85"/>
      <c r="O9" s="85"/>
    </row>
    <row r="10" spans="1:20">
      <c r="A10" s="186"/>
      <c r="B10" s="187"/>
      <c r="C10" s="187"/>
      <c r="D10" s="188"/>
      <c r="E10" s="188"/>
      <c r="F10" s="84">
        <f>D10+E10</f>
        <v>0</v>
      </c>
      <c r="G10" s="473"/>
      <c r="H10" s="186"/>
      <c r="I10" s="187"/>
      <c r="J10" s="187"/>
      <c r="K10" s="188"/>
      <c r="L10" s="188"/>
      <c r="M10" s="84">
        <f>K10+L10</f>
        <v>0</v>
      </c>
      <c r="N10" s="85"/>
      <c r="O10" s="85"/>
    </row>
    <row r="11" spans="1:20">
      <c r="A11" s="186"/>
      <c r="B11" s="187"/>
      <c r="C11" s="187"/>
      <c r="D11" s="188"/>
      <c r="E11" s="188"/>
      <c r="F11" s="84">
        <f>D11+E11</f>
        <v>0</v>
      </c>
      <c r="G11" s="473"/>
      <c r="H11" s="186"/>
      <c r="I11" s="187"/>
      <c r="J11" s="187"/>
      <c r="K11" s="188"/>
      <c r="L11" s="188"/>
      <c r="M11" s="84">
        <f>K11+L11</f>
        <v>0</v>
      </c>
      <c r="N11" s="85"/>
      <c r="O11" s="85"/>
    </row>
    <row r="12" spans="1:20">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3"/>
      <c r="H16" s="189"/>
      <c r="I16" s="190"/>
      <c r="J16" s="100"/>
      <c r="K16" s="188"/>
      <c r="L16" s="188"/>
      <c r="M16" s="84">
        <f t="shared" ref="M16:M20" si="3">K16+L16</f>
        <v>0</v>
      </c>
      <c r="N16" s="85"/>
      <c r="O16" s="85"/>
    </row>
    <row r="17" spans="1:19">
      <c r="A17" s="189"/>
      <c r="B17" s="190"/>
      <c r="C17" s="100"/>
      <c r="D17" s="188"/>
      <c r="E17" s="188"/>
      <c r="F17" s="84">
        <f t="shared" si="2"/>
        <v>0</v>
      </c>
      <c r="G17" s="473"/>
      <c r="H17" s="189"/>
      <c r="I17" s="190"/>
      <c r="J17" s="100"/>
      <c r="K17" s="188"/>
      <c r="L17" s="188"/>
      <c r="M17" s="84">
        <f t="shared" si="3"/>
        <v>0</v>
      </c>
      <c r="N17" s="85"/>
      <c r="O17" s="85"/>
    </row>
    <row r="18" spans="1:19">
      <c r="A18" s="189"/>
      <c r="B18" s="190"/>
      <c r="C18" s="100"/>
      <c r="D18" s="188"/>
      <c r="E18" s="188"/>
      <c r="F18" s="84">
        <f t="shared" si="2"/>
        <v>0</v>
      </c>
      <c r="G18" s="473"/>
      <c r="H18" s="189"/>
      <c r="I18" s="190"/>
      <c r="J18" s="100"/>
      <c r="K18" s="188"/>
      <c r="L18" s="188"/>
      <c r="M18" s="84">
        <f t="shared" si="3"/>
        <v>0</v>
      </c>
      <c r="N18" s="85"/>
      <c r="O18" s="85"/>
    </row>
    <row r="19" spans="1:19">
      <c r="A19" s="189"/>
      <c r="B19" s="190"/>
      <c r="C19" s="100"/>
      <c r="D19" s="188"/>
      <c r="E19" s="188"/>
      <c r="F19" s="84">
        <f t="shared" si="2"/>
        <v>0</v>
      </c>
      <c r="G19" s="473"/>
      <c r="H19" s="189"/>
      <c r="I19" s="190"/>
      <c r="J19" s="100"/>
      <c r="K19" s="188"/>
      <c r="L19" s="188"/>
      <c r="M19" s="84">
        <f t="shared" si="3"/>
        <v>0</v>
      </c>
      <c r="N19" s="85"/>
      <c r="O19" s="85"/>
    </row>
    <row r="20" spans="1:19">
      <c r="A20" s="189"/>
      <c r="B20" s="190"/>
      <c r="C20" s="100"/>
      <c r="D20" s="188"/>
      <c r="E20" s="188"/>
      <c r="F20" s="84">
        <f t="shared" si="2"/>
        <v>0</v>
      </c>
      <c r="G20" s="473"/>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c r="A24" s="112" t="s">
        <v>105</v>
      </c>
      <c r="B24" s="113"/>
      <c r="C24" s="113"/>
      <c r="D24" s="63"/>
      <c r="E24" s="120"/>
      <c r="F24" s="120"/>
      <c r="G24" s="473"/>
      <c r="H24" s="112" t="s">
        <v>105</v>
      </c>
      <c r="I24" s="113"/>
      <c r="J24" s="113"/>
      <c r="K24" s="63"/>
      <c r="L24" s="120"/>
      <c r="M24" s="120"/>
      <c r="N24" s="119"/>
      <c r="O24" s="119"/>
      <c r="P24" s="119"/>
      <c r="Q24" s="119"/>
    </row>
    <row r="25" spans="1:19">
      <c r="A25" s="121" t="s">
        <v>71</v>
      </c>
      <c r="B25" s="122" t="s">
        <v>77</v>
      </c>
      <c r="C25" s="123"/>
      <c r="D25" s="124"/>
      <c r="E25" s="123"/>
      <c r="F25" s="123"/>
      <c r="G25" s="473"/>
      <c r="H25" s="121" t="s">
        <v>71</v>
      </c>
      <c r="I25" s="122" t="s">
        <v>77</v>
      </c>
      <c r="J25" s="123"/>
      <c r="K25" s="124"/>
      <c r="L25" s="123"/>
      <c r="M25" s="123"/>
      <c r="N25" s="119"/>
      <c r="O25" s="119"/>
      <c r="P25" s="119"/>
      <c r="Q25" s="119"/>
    </row>
    <row r="26" spans="1:19">
      <c r="A26" s="125" t="str">
        <f>CONCATENATE("SFY ",'2. Getting Started'!B6+4," Projected Child Count")</f>
        <v>SFY 2025 Projected Child Count</v>
      </c>
      <c r="B26" s="126" t="str">
        <f>IF('17. Year 5 Amounts'!B1="","",'17. Year 5 Amounts'!B1)</f>
        <v/>
      </c>
      <c r="C26" s="123"/>
      <c r="D26" s="124"/>
      <c r="E26" s="123"/>
      <c r="F26" s="123"/>
      <c r="G26" s="473"/>
      <c r="H26" s="125" t="str">
        <f>CONCATENATE("SFY ",'2. Getting Started'!B6+4," Child Count")</f>
        <v>SFY 2025 Child Count</v>
      </c>
      <c r="I26" s="126" t="str">
        <f>IF('17. Year 5 Amounts'!I1="","",'17. Year 5 Amounts'!I1)</f>
        <v/>
      </c>
      <c r="J26" s="123"/>
      <c r="K26" s="124"/>
      <c r="L26" s="123"/>
      <c r="M26" s="123"/>
      <c r="N26" s="119"/>
      <c r="O26" s="119"/>
      <c r="P26" s="119"/>
      <c r="Q26" s="119"/>
    </row>
    <row r="27" spans="1:19">
      <c r="A27" s="125" t="str">
        <f>CONCATENATE("SFY ",'2. Getting Started'!B6+3," Projected Child Count")</f>
        <v>SFY 2024 Projected Child Count</v>
      </c>
      <c r="B27" s="126" t="str">
        <f>IF('14. Year 4 Amounts'!B1="","",'14. Year 4 Amounts'!B1)</f>
        <v/>
      </c>
      <c r="C27" s="119"/>
      <c r="D27" s="128"/>
      <c r="E27" s="119"/>
      <c r="F27" s="123"/>
      <c r="G27" s="473"/>
      <c r="H27" s="125" t="str">
        <f>CONCATENATE("SFY ",'2. Getting Started'!B6+3," Child Count")</f>
        <v>SFY 2024 Child Count</v>
      </c>
      <c r="I27" s="126" t="str">
        <f>IF('14. Year 4 Amounts'!I1="","",'14. Year 4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3"/>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3"/>
      <c r="H29" s="133" t="s">
        <v>79</v>
      </c>
      <c r="I29" s="134" t="str">
        <f>IF(I26="","",IF(I28&lt;=0,ABS(I28/I27),""))</f>
        <v/>
      </c>
      <c r="J29" s="135"/>
      <c r="K29" s="136"/>
      <c r="L29" s="135"/>
      <c r="M29" s="10"/>
      <c r="N29" s="137"/>
      <c r="O29" s="137"/>
      <c r="P29" s="138"/>
      <c r="Q29" s="138"/>
    </row>
    <row r="30" spans="1:19">
      <c r="A30" s="115" t="s">
        <v>71</v>
      </c>
      <c r="B30" s="116" t="s">
        <v>0</v>
      </c>
      <c r="C30" s="116" t="s">
        <v>2</v>
      </c>
      <c r="D30" s="10"/>
      <c r="E30" s="72"/>
      <c r="F30" s="72"/>
      <c r="G30" s="473"/>
      <c r="H30" s="115" t="s">
        <v>71</v>
      </c>
      <c r="I30" s="116" t="s">
        <v>75</v>
      </c>
      <c r="J30" s="116" t="s">
        <v>76</v>
      </c>
      <c r="K30" s="10"/>
      <c r="L30" s="72"/>
      <c r="M30" s="72"/>
      <c r="N30" s="138"/>
      <c r="O30" s="138"/>
    </row>
    <row r="31" spans="1:19">
      <c r="A31" s="139" t="str">
        <f>CONCATENATE("SFY ",'2. Getting Started'!B6+3," Budget")</f>
        <v>SFY 2024 Budget</v>
      </c>
      <c r="B31" s="140" t="str">
        <f>IF('14. Year 4 Amounts'!D30="","",'14. Year 4 Amounts'!D30)</f>
        <v/>
      </c>
      <c r="C31" s="140" t="str">
        <f>IF('14. Year 4 Amounts'!F30="","",'14. Year 4 Amounts'!F30)</f>
        <v/>
      </c>
      <c r="D31" s="141"/>
      <c r="E31" s="74"/>
      <c r="F31" s="74"/>
      <c r="G31" s="473"/>
      <c r="H31" s="139" t="str">
        <f>CONCATENATE("SFY ",'2. Getting Started'!B6+3," Final Expenditures")</f>
        <v>SFY 2024 Final Expenditures</v>
      </c>
      <c r="I31" s="140" t="str">
        <f>IF('14. Year 4 Amounts'!K30="","",'14. Year 4 Amounts'!K30)</f>
        <v/>
      </c>
      <c r="J31" s="140" t="str">
        <f>IF('14. Year 4 Amounts'!M30="","",'14. Year 4 Amounts'!M30)</f>
        <v/>
      </c>
      <c r="K31" s="142"/>
      <c r="L31" s="74"/>
      <c r="M31" s="74"/>
    </row>
    <row r="32" spans="1:19">
      <c r="A32" s="117" t="s">
        <v>80</v>
      </c>
      <c r="B32" s="143" t="str">
        <f>IF(OR($B26="",B29="",B31=""),"",($B29*B31))</f>
        <v/>
      </c>
      <c r="C32" s="143" t="str">
        <f>IF(OR($B26="",B29="",C31=""),"",($B29*C31))</f>
        <v/>
      </c>
      <c r="D32" s="142"/>
      <c r="E32" s="118"/>
      <c r="F32" s="118"/>
      <c r="G32" s="473"/>
      <c r="H32" s="117" t="s">
        <v>81</v>
      </c>
      <c r="I32" s="143" t="str">
        <f>IF(OR($I26="",I29="",I31=""),"",($I29*I31))</f>
        <v/>
      </c>
      <c r="J32" s="143" t="str">
        <f>IF(OR($I26="",I29="",J31=""),"",($I29*J31))</f>
        <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c r="A55" s="167" t="str">
        <f>IF('3b. High Cost Fund'!B7="No","This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Fund'!B7="No","This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Fund'!B7="No","","SEA under §300.704. MUST be explicitly permitted by the SEA.")</f>
        <v>SEA under §300.704. MUST be explicitly permitted by the SEA.</v>
      </c>
      <c r="B56" s="168"/>
      <c r="C56" s="169"/>
      <c r="D56" s="170"/>
      <c r="E56" s="163"/>
      <c r="F56" s="144"/>
      <c r="G56" s="473"/>
      <c r="H56" s="71" t="str">
        <f>IF('3b. High Cost Fund'!B7="No","","SEA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Fund'!$B7="No"),"Invalid entry. This exception is valid only in states with high-cost funds. If your state has a high-cost fund, please indicate that on tab 3b.","")</f>
        <v/>
      </c>
      <c r="D58" s="144"/>
      <c r="E58" s="144"/>
      <c r="F58" s="10"/>
      <c r="G58" s="473"/>
      <c r="H58" s="196"/>
      <c r="I58" s="197"/>
      <c r="J58" s="337" t="str">
        <f>IF(AND(I58&lt;&gt;"",'3b. High Cost Fund'!$B7="No"),"Invalid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3"/>
      <c r="H59" s="196"/>
      <c r="I59" s="197"/>
      <c r="J59" s="144"/>
      <c r="K59" s="10"/>
      <c r="L59" s="10"/>
      <c r="M59" s="10"/>
    </row>
    <row r="60" spans="1:26">
      <c r="A60" s="196"/>
      <c r="B60" s="197"/>
      <c r="C60" s="144"/>
      <c r="D60" s="10"/>
      <c r="E60" s="10"/>
      <c r="F60" s="10"/>
      <c r="G60" s="473"/>
      <c r="H60" s="196"/>
      <c r="I60" s="197"/>
      <c r="J60" s="144"/>
      <c r="K60" s="10"/>
      <c r="L60" s="10"/>
      <c r="M60" s="10"/>
    </row>
    <row r="61" spans="1:26">
      <c r="A61" s="196"/>
      <c r="B61" s="197"/>
      <c r="C61" s="144"/>
      <c r="D61" s="10"/>
      <c r="E61" s="10"/>
      <c r="F61" s="10"/>
      <c r="G61" s="473"/>
      <c r="H61" s="196"/>
      <c r="I61" s="197"/>
      <c r="J61" s="144"/>
      <c r="K61" s="10"/>
      <c r="L61" s="10"/>
      <c r="M61" s="10"/>
    </row>
    <row r="62" spans="1:26">
      <c r="A62" s="196"/>
      <c r="B62" s="197"/>
      <c r="C62" s="144"/>
      <c r="D62" s="10"/>
      <c r="E62" s="10"/>
      <c r="F62" s="10"/>
      <c r="G62" s="473"/>
      <c r="H62" s="196"/>
      <c r="I62" s="197"/>
      <c r="J62" s="144"/>
      <c r="K62" s="10"/>
      <c r="L62" s="10"/>
      <c r="M62" s="10"/>
    </row>
    <row r="63" spans="1:26">
      <c r="A63" s="173" t="s">
        <v>89</v>
      </c>
      <c r="B63" s="174">
        <f>IF('3b. High Cost Fund'!$B7="No",0,SUM(B58:B62))</f>
        <v>0</v>
      </c>
      <c r="C63" s="144"/>
      <c r="D63" s="10"/>
      <c r="E63" s="10"/>
      <c r="F63" s="10"/>
      <c r="G63" s="473"/>
      <c r="H63" s="175" t="s">
        <v>90</v>
      </c>
      <c r="I63" s="174">
        <f>IF('3b. High Cost Fund'!$B7="No",0,SUM(I58:I62))</f>
        <v>0</v>
      </c>
      <c r="J63" s="144"/>
      <c r="K63" s="10"/>
      <c r="L63" s="10"/>
      <c r="M63" s="10"/>
    </row>
    <row r="64" spans="1:26" ht="16" thickBot="1">
      <c r="A64" s="470" t="s">
        <v>22</v>
      </c>
      <c r="B64" s="470"/>
      <c r="C64" s="144"/>
      <c r="D64" s="10"/>
      <c r="E64" s="10"/>
      <c r="F64" s="10"/>
      <c r="G64" s="473"/>
      <c r="H64" s="470" t="s">
        <v>22</v>
      </c>
      <c r="I64" s="470"/>
      <c r="J64" s="144"/>
      <c r="K64" s="10"/>
      <c r="L64" s="10"/>
      <c r="M64" s="10"/>
    </row>
    <row r="65" spans="1:13">
      <c r="A65" s="347" t="s">
        <v>107</v>
      </c>
      <c r="B65" s="348"/>
      <c r="C65" s="144"/>
      <c r="D65" s="10"/>
      <c r="E65" s="10"/>
      <c r="F65" s="10"/>
      <c r="G65" s="473"/>
      <c r="H65" s="347" t="s">
        <v>106</v>
      </c>
      <c r="I65" s="348"/>
      <c r="J65" s="144"/>
      <c r="K65" s="10"/>
      <c r="L65" s="10"/>
      <c r="M65" s="10"/>
    </row>
    <row r="66" spans="1:13">
      <c r="A66" s="242" t="s">
        <v>123</v>
      </c>
      <c r="B66" s="265" t="s">
        <v>124</v>
      </c>
      <c r="C66" s="144"/>
      <c r="D66" s="10"/>
      <c r="E66" s="10"/>
      <c r="F66" s="10"/>
      <c r="G66" s="473"/>
      <c r="H66" s="269" t="s">
        <v>123</v>
      </c>
      <c r="I66" s="270" t="s">
        <v>124</v>
      </c>
      <c r="J66" s="144"/>
      <c r="K66" s="10"/>
      <c r="L66" s="10"/>
      <c r="M66" s="10"/>
    </row>
    <row r="67" spans="1:13">
      <c r="A67" s="103" t="s">
        <v>0</v>
      </c>
      <c r="B67" s="240">
        <f>IF(B$28&gt;=0,(F$22+C$43+B$53+B$63),(F$22+C$43+B$53+B$63+B$32))</f>
        <v>0</v>
      </c>
      <c r="C67" s="144"/>
      <c r="D67" s="10"/>
      <c r="E67" s="10"/>
      <c r="F67" s="10"/>
      <c r="G67" s="473"/>
      <c r="H67" s="103" t="s">
        <v>0</v>
      </c>
      <c r="I67" s="240">
        <f>IF(I$28&gt;=0,(M$22+J$43+I$53+I$63),(M$22+J$43+I$53+I$63+I$32))</f>
        <v>0</v>
      </c>
      <c r="J67" s="144"/>
      <c r="K67" s="10"/>
      <c r="L67" s="10"/>
      <c r="M67" s="10"/>
    </row>
    <row r="68" spans="1:13">
      <c r="A68" s="241" t="s">
        <v>2</v>
      </c>
      <c r="B68" s="174">
        <f>IF(B$28&gt;=0,(F$22+C$43+B$53+B$63),(F$22+C$43+B$53+B$63+C$32))</f>
        <v>0</v>
      </c>
      <c r="C68" s="144"/>
      <c r="D68" s="10"/>
      <c r="E68" s="10"/>
      <c r="F68" s="10"/>
      <c r="G68" s="473"/>
      <c r="H68" s="241" t="s">
        <v>2</v>
      </c>
      <c r="I68" s="174">
        <f>IF(I$28&gt;=0,(M$22+J$43+I$53+I$63),(M$22+J$43+I$53+I$63+J$32))</f>
        <v>0</v>
      </c>
      <c r="J68" s="144"/>
      <c r="K68" s="10"/>
      <c r="L68" s="10"/>
      <c r="M68" s="10"/>
    </row>
    <row r="69" spans="1:13" ht="16" thickBot="1">
      <c r="A69" s="470" t="s">
        <v>22</v>
      </c>
      <c r="B69" s="470"/>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c r="A71" s="179" t="s">
        <v>71</v>
      </c>
      <c r="B71" s="180" t="s">
        <v>99</v>
      </c>
      <c r="C71" s="11" t="s">
        <v>100</v>
      </c>
      <c r="E71" s="10"/>
      <c r="F71" s="10"/>
      <c r="G71" s="473"/>
      <c r="H71" s="179" t="s">
        <v>71</v>
      </c>
      <c r="I71" s="180" t="s">
        <v>101</v>
      </c>
      <c r="J71" s="11" t="s">
        <v>100</v>
      </c>
      <c r="K71" s="10"/>
      <c r="L71" s="10"/>
      <c r="M71" s="10"/>
    </row>
    <row r="72" spans="1:13">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c r="A74" s="358" t="s">
        <v>182</v>
      </c>
      <c r="B74" s="184"/>
      <c r="C74" s="184"/>
      <c r="D74" s="184"/>
      <c r="E74" s="184"/>
      <c r="F74" s="184"/>
      <c r="G74" s="473"/>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xlLmEwjHoXlvosDcHVERlQ9w8Qylj147wgmwYGWYNxVsN1NH5MXGtQYlkemDcAoItDgl0RHBrVgoDWK8skf7Ng==" saltValue="uLUkRFQAxmw8z0es1lKSRQ=="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98" priority="2" operator="containsText" text="not valid">
      <formula>NOT(ISERROR(SEARCH("not valid",A55)))</formula>
    </cfRule>
  </conditionalFormatting>
  <conditionalFormatting sqref="H55">
    <cfRule type="containsText" dxfId="197" priority="1" operator="containsText" text="not valid">
      <formula>NOT(ISERROR(SEARCH("not valid",H55)))</formula>
    </cfRule>
  </conditionalFormatting>
  <dataValidations count="1">
    <dataValidation type="list" allowBlank="1" showInputMessage="1" showErrorMessage="1" sqref="B38:B42 I38:I42" xr:uid="{00000000-0002-0000-1300-000000000000}">
      <formula1>Exception_c</formula1>
    </dataValidation>
  </dataValidations>
  <hyperlinks>
    <hyperlink ref="C72" r:id="rId1" xr:uid="{00000000-0004-0000-1300-000000000000}"/>
    <hyperlink ref="J72" r:id="rId2" xr:uid="{00000000-0004-0000-1300-000001000000}"/>
    <hyperlink ref="A74" r:id="rId3" xr:uid="{00000000-0004-0000-13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70C0"/>
  </sheetPr>
  <dimension ref="A1:F43"/>
  <sheetViews>
    <sheetView showGridLines="0" workbookViewId="0"/>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5: State Fiscal Year ",'2. Getting Started'!B6+4)</f>
        <v>Summary of Year 5: State Fiscal Year 2025</v>
      </c>
      <c r="B1" s="299"/>
      <c r="C1" s="299"/>
      <c r="D1" s="21" t="s">
        <v>14</v>
      </c>
      <c r="E1" s="20" t="str">
        <f>IF('2. Getting Started'!B2="","",'2. Getting Started'!B2)</f>
        <v/>
      </c>
    </row>
    <row r="2" spans="1:5" ht="18.5">
      <c r="A2" s="2" t="str">
        <f>CONCATENATE("State fiscal year ",'2. Getting Started'!B6+4," covers the period ",'2. Getting Started'!B4,", ",'2. Getting Started'!B6+3," through ",'2. Getting Started'!B5,", ",'2. Getting Started'!B6+4)</f>
        <v>State fiscal year 2025 covers the period July 1, 2024 through June 30, 2025</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Funds'!F30="Met",'2. Getting Started'!$B$6+2,IF('38. Total Local Funds'!$F22="Met",'2. Getting Started'!$B$6+1,IF('38. Total Local Funds'!$F14="Met",'2. Getting Started'!$B$6,'2. Getting Started'!$B10))))</f>
        <v>#N/A</v>
      </c>
      <c r="C6" s="3" t="e">
        <f>IF('2. Getting Started'!B11="","",IF('39. Total State &amp; Local Funds'!F30="Met",'2. Getting Started'!$B$6+2,IF('39. Total State &amp; Local Funds'!$F22="Met",'2. Getting Started'!$B$6+1,IF('39. Total State &amp; Local Funds'!$F14="Met",'2. Getting Started'!$B$6,'2. Getting Started'!$B11))))</f>
        <v>#N/A</v>
      </c>
      <c r="D6" s="3" t="e">
        <f>IF('2. Getting Started'!B12="","",IF('40. Local Funds Per Capita'!F31="Met",'2. Getting Started'!$B$6+2,IF('40. Local Funds Per Capita'!$F23="Met",'2. Getting Started'!$B$6+1,IF('40. Local Funds Per Capita'!$F15="Met",'2. Getting Started'!$B$6,'2. Getting Started'!$B12))))</f>
        <v>#N/A</v>
      </c>
      <c r="E6" s="257" t="e">
        <f>IF('2. Getting Started'!B13="","",IF('41.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Started'!$B$6+2,'11. Year 3 Amounts'!K30,IF(B6='2. Getting Started'!$B$6+1,'8. Year 2 Amounts'!K30,IF(B6='2. Getting Started'!$B$6,'5. Year 1 Amounts'!K30,'2. Getting Started'!$C10))))</f>
        <v>#N/A</v>
      </c>
      <c r="C7" s="205" t="e">
        <f>IF(C6="","",IF(C6='2. Getting Started'!$B$6+2,'11. Year 3 Amounts'!M30,IF(C6='2. Getting Started'!$B$6+1,'8. Year 2 Amounts'!M30,IF(C6='2. Getting Started'!$B$6,'5. Year 1 Amounts'!M30,'2. Getting Started'!$C11))))</f>
        <v>#N/A</v>
      </c>
      <c r="D7" s="205" t="e">
        <f>IF(D6="","",IF(D6='2. Getting Started'!$B$6+2,'11. Year 3 Amounts'!K31,IF(D6='2. Getting Started'!$B$6+1,'8. Year 2 Amounts'!K31,IF(D6='2. Getting Started'!$B$6,'5. Year 1 Amounts'!K31,'2. Getting Started'!$C12))))</f>
        <v>#N/A</v>
      </c>
      <c r="E7" s="267" t="e">
        <f>IF(E6="","",IF(E6='2. Getting Started'!$B$6+2,'11. Year 3 Amounts'!M31,IF(E6='2. Getting Started'!$B$6+1,'8. Year 2 Amounts'!M31,IF(E6='2. Getting Started'!$B$6,'5. Year 1 Amounts'!M31,'2. Getting Started'!$C13))))</f>
        <v>#N/A</v>
      </c>
    </row>
    <row r="8" spans="1:5">
      <c r="A8" s="243" t="s">
        <v>9</v>
      </c>
      <c r="B8" s="205" t="str">
        <f>'17. Year 5 Amounts'!D30</f>
        <v/>
      </c>
      <c r="C8" s="205" t="str">
        <f>'17. Year 5 Amounts'!F30</f>
        <v/>
      </c>
      <c r="D8" s="205" t="str">
        <f>'17. Year 5 Amounts'!D31</f>
        <v/>
      </c>
      <c r="E8" s="267" t="str">
        <f>'17. Year 5 Amounts'!F31</f>
        <v/>
      </c>
    </row>
    <row r="9" spans="1:5">
      <c r="A9" s="243" t="s">
        <v>117</v>
      </c>
      <c r="B9" s="201" t="str">
        <f>IF(B8="","",IF(B8&gt;=B7,"Met",IF(AND(B8&lt;B7,'38. Total Local Funds'!$B46="Met"),"Met with Exceptions &amp; Adjustments","Did Not Meet")))</f>
        <v/>
      </c>
      <c r="C9" s="201" t="str">
        <f>IF(C8="","",IF(C8&gt;=C7,"Met",IF(AND(C8&lt;C7,'39. Total State &amp; Local Funds'!$B46="Met"),"Met with Exceptions &amp; Adjustments","Did Not Meet")))</f>
        <v/>
      </c>
      <c r="D9" s="201" t="str">
        <f>IF(D8="","",IF(D8&gt;=D7,"Met",IF(AND(D8&lt;D7,'40. Local Funds Per Capita'!$B47="Met"),"Met with Exceptions &amp; Adjustments","Did Not Meet")))</f>
        <v/>
      </c>
      <c r="E9" s="259" t="str">
        <f>IF(E8="","",IF(E8&gt;=E7,"Met",IF(AND(E8&lt;E7,'41. State &amp; Local Funds Per Cap'!$B47="Met"),"Met with Exceptions &amp; Adjustments","Did Not Meet")))</f>
        <v/>
      </c>
    </row>
    <row r="10" spans="1:5">
      <c r="A10" s="246" t="s">
        <v>46</v>
      </c>
      <c r="B10" s="256" t="str">
        <f>IF(B9="","",IF(B9="Did Not Meet",'38. Total Local Funds'!$B44-'38. Total Local Funds'!$B45,0))</f>
        <v/>
      </c>
      <c r="C10" s="256" t="str">
        <f>IF(C9="","",IF(C9="Did Not Meet",'39. Total State &amp; Local Funds'!$B44-'39. Total State &amp; Local Funds'!$B45,0))</f>
        <v/>
      </c>
      <c r="D10" s="256" t="str">
        <f>IF(D9="","",IF(D9="Did Not Meet",(('40. Local Funds Per Capita'!$B45-'40. Local Funds Per Capita'!$B46)*'17. Year 5 Amounts'!B1),0))</f>
        <v/>
      </c>
      <c r="E10" s="261" t="str">
        <f>IF(E9="","",IF(E9="Did Not Meet",(('41. State &amp; Local Funds Per Cap'!$B45-'41. State &amp; Local Funds Per Cap'!$B46)*'17. Year 5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Started'!$B$6+3,'14. Year 4 Amounts'!K30,IF(B14='2. Getting Started'!$B$6+2,'11. Year 3 Amounts'!K30,IF(B14='2. Getting Started'!$B$6+1,'8. Year 2 Amounts'!K30,IF(B14='2. Getting Started'!$B$6,'5. Year 1 Amounts'!K30,'2. Getting Started'!$C10)))))</f>
        <v>#N/A</v>
      </c>
      <c r="C15" s="17" t="e">
        <f>IF(C14="","",IF(C14='2. Getting Started'!$B$6+3,'14. Year 4 Amounts'!M30,IF(C14='2. Getting Started'!$B$6+2,'11. Year 3 Amounts'!M30,IF(C14='2. Getting Started'!$B$6+1,'8. Year 2 Amounts'!M30,IF(C14='2. Getting Started'!$B$6,'5. Year 1 Amounts'!M30,'2. Getting Started'!$C11)))))</f>
        <v>#N/A</v>
      </c>
      <c r="D15" s="17" t="e">
        <f>IF(D14="","",IF(D14='2. Getting Started'!$B$6+3,'14. Year 4 Amounts'!K31,IF(D14='2. Getting Started'!$B$6+2,'11. Year 3 Amounts'!K31,IF(D14='2. Getting Started'!$B$6+1,'8. Year 2 Amounts'!K31,IF(D14='2. Getting Started'!$B$6,'5. Year 1 Amounts'!K31,'2. Getting Started'!$C12)))))</f>
        <v>#N/A</v>
      </c>
      <c r="E15" s="258" t="e">
        <f>IF(E14="","",IF(E14='2. Getting Started'!$B$6+3,'14. Year 4 Amounts'!M31,IF(E14='2. Getting Started'!$B$6+2,'11. Year 3 Amounts'!M31,IF(E14='2. Getting Started'!$B$6+1,'8. Year 2 Amounts'!M31,IF(E14='2. Getting Started'!$B$6,'5. Year 1 Amounts'!M31,'2. Getting Started'!$C13)))))</f>
        <v>#N/A</v>
      </c>
    </row>
    <row r="16" spans="1:5">
      <c r="A16" s="243" t="s">
        <v>11</v>
      </c>
      <c r="B16" s="17" t="str">
        <f>'17. Year 5 Amounts'!K30</f>
        <v/>
      </c>
      <c r="C16" s="17" t="str">
        <f>'17. Year 5 Amounts'!M30</f>
        <v/>
      </c>
      <c r="D16" s="17" t="str">
        <f>'17. Year 5 Amounts'!K31</f>
        <v/>
      </c>
      <c r="E16" s="258" t="str">
        <f>'17. Year 5 Amounts'!M31</f>
        <v/>
      </c>
    </row>
    <row r="17" spans="1:5">
      <c r="A17" s="243" t="s">
        <v>117</v>
      </c>
      <c r="B17" s="201" t="str">
        <f>IF(B16="","",IF(B16&gt;=B15,"Met",IF(AND(B16&lt;B15,'38. Total Local Funds'!F46="Met"),"Met with Exceptions &amp; Adjustments","Did Not Meet")))</f>
        <v/>
      </c>
      <c r="C17" s="201" t="str">
        <f>IF(C16="","",IF(C16&gt;=C15,"Met",IF(AND(C16&lt;C15,'39. Total State &amp; Local Funds'!F46="Met"),"Met with Exceptions &amp; Adjustments","Did Not Meet")))</f>
        <v/>
      </c>
      <c r="D17" s="201" t="str">
        <f>IF(D16="","",IF(D16&gt;=D15,"Met",IF(AND(D16&lt;D15,'40. Local Funds Per Capita'!F47="Met"),"Met with Exceptions &amp; Adjustments","Did Not Meet")))</f>
        <v/>
      </c>
      <c r="E17" s="259" t="str">
        <f>IF(E16="","",IF(E16&gt;=E15,"Met",IF(AND(E16&lt;E15,'41. State &amp; Local Funds Per Cap'!F47="Met"),"Met with Exceptions &amp; Adjustments","Did Not Meet")))</f>
        <v/>
      </c>
    </row>
    <row r="18" spans="1:5">
      <c r="A18" s="246" t="s">
        <v>46</v>
      </c>
      <c r="B18" s="256" t="str">
        <f>IF(B17="","",IF(B17="Did Not Meet",'38. Total Local Funds'!F44-'38. Total Local Funds'!F45,0))</f>
        <v/>
      </c>
      <c r="C18" s="256" t="str">
        <f>IF(C17="","",IF(C17="Did Not Meet",'39. Total State &amp; Local Funds'!F44-'39. Total State &amp; Local Funds'!F45,0))</f>
        <v/>
      </c>
      <c r="D18" s="256" t="str">
        <f>IF(D17="","",IF(D17="Did Not Meet",(('40. Local Funds Per Capita'!F45-'40. Local Funds Per Capita'!F46)*'14. Year 4 Amounts'!I1),0))</f>
        <v/>
      </c>
      <c r="E18" s="261" t="str">
        <f>IF(E17="","",IF(E17="Did Not Meet",(('41. State &amp; Local Funds Per Cap'!F45-'41. State &amp; Local Funds Per Cap'!F46)*'14. Year 4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131</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Started'!B6+4)</f>
        <v>Exceptions and Adjustment Claimed for State Fiscal Year 2025</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'18. Year 5 Exc &amp; Adj'!F22</f>
        <v>0</v>
      </c>
      <c r="C34" s="258">
        <f>'18. Year 5 Exc &amp; Adj'!F22</f>
        <v>0</v>
      </c>
      <c r="D34" s="326">
        <f>'18. Year 5 Exc &amp; Adj'!M22</f>
        <v>0</v>
      </c>
      <c r="E34" s="17">
        <f>'18. Year 5 Exc &amp; Adj'!M22</f>
        <v>0</v>
      </c>
    </row>
    <row r="35" spans="1:5">
      <c r="A35" s="224" t="s">
        <v>140</v>
      </c>
      <c r="B35" s="17" t="str">
        <f>'18. Year 5 Exc &amp; Adj'!B32</f>
        <v/>
      </c>
      <c r="C35" s="258" t="str">
        <f>'18. Year 5 Exc &amp; Adj'!C32</f>
        <v/>
      </c>
      <c r="D35" s="326" t="str">
        <f>'18. Year 5 Exc &amp; Adj'!I32</f>
        <v/>
      </c>
      <c r="E35" s="258" t="str">
        <f>'18. Year 5 Exc &amp; Adj'!J32</f>
        <v/>
      </c>
    </row>
    <row r="36" spans="1:5">
      <c r="A36" s="224" t="s">
        <v>141</v>
      </c>
      <c r="B36" s="17">
        <f>'18. Year 5 Exc &amp; Adj'!C43</f>
        <v>0</v>
      </c>
      <c r="C36" s="258">
        <f>'18. Year 5 Exc &amp; Adj'!C43</f>
        <v>0</v>
      </c>
      <c r="D36" s="326">
        <f>'18. Year 5 Exc &amp; Adj'!J43</f>
        <v>0</v>
      </c>
      <c r="E36" s="17">
        <f>'18. Year 5 Exc &amp; Adj'!J43</f>
        <v>0</v>
      </c>
    </row>
    <row r="37" spans="1:5">
      <c r="A37" s="224" t="s">
        <v>142</v>
      </c>
      <c r="B37" s="17">
        <f>'18. Year 5 Exc &amp; Adj'!B53</f>
        <v>0</v>
      </c>
      <c r="C37" s="258">
        <f>'18. Year 5 Exc &amp; Adj'!B53</f>
        <v>0</v>
      </c>
      <c r="D37" s="326">
        <f>'18. Year 5 Exc &amp; Adj'!I53</f>
        <v>0</v>
      </c>
      <c r="E37" s="17">
        <f>'18. Year 5 Exc &amp; Adj'!I53</f>
        <v>0</v>
      </c>
    </row>
    <row r="38" spans="1:5">
      <c r="A38" s="224" t="str">
        <f>IF('3b. High Cost Fund'!B7="No","This exception is not valid for your state.","Exception (e)")</f>
        <v>Exception (e)</v>
      </c>
      <c r="B38" s="331">
        <f>IF('3b. High Cost Fund'!B7="No","",'18. Year 5 Exc &amp; Adj'!B63)</f>
        <v>0</v>
      </c>
      <c r="C38" s="332">
        <f>IF('3b. High Cost Fund'!B7="No","",'18. Year 5 Exc &amp; Adj'!B63)</f>
        <v>0</v>
      </c>
      <c r="D38" s="326">
        <f>IF('3b. High Cost Fund'!B7="No","",'18. Year 5 Exc &amp; Adj'!I63)</f>
        <v>0</v>
      </c>
      <c r="E38" s="331">
        <f>IF('3b. High Cost Fund'!B7="No","",'18. Year 5 Exc &amp; Adj'!I63)</f>
        <v>0</v>
      </c>
    </row>
    <row r="39" spans="1:5">
      <c r="A39" s="224" t="s">
        <v>143</v>
      </c>
      <c r="B39" s="17">
        <f>AdjDataYear5Budget[Projected Adjustment]</f>
        <v>0</v>
      </c>
      <c r="C39" s="17">
        <f>AdjDataYear5Budget[Projected Adjustment]</f>
        <v>0</v>
      </c>
      <c r="D39" s="327">
        <f>AdjDataYear5Expenditures[[Adjustment ]]</f>
        <v>0</v>
      </c>
      <c r="E39" s="17">
        <f>AdjDataYear5Expenditures[[Adjustment ]]</f>
        <v>0</v>
      </c>
    </row>
    <row r="40" spans="1:5">
      <c r="A40" s="246" t="s">
        <v>124</v>
      </c>
      <c r="B40" s="328">
        <f>SUM(B34:B39)</f>
        <v>0</v>
      </c>
      <c r="C40" s="329">
        <f>SUM(C34:C39)</f>
        <v>0</v>
      </c>
      <c r="D40" s="330">
        <f>SUM(D34:D39)</f>
        <v>0</v>
      </c>
      <c r="E40" s="329">
        <f>SUM(E34:E39)</f>
        <v>0</v>
      </c>
    </row>
    <row r="41" spans="1:5" ht="29.25"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DCsnFEvfcrzEY6M4NkC/3f4H1fBHQAJ37TlFFKkI6Gmf7tsRpitXebOsMGmnFs3vvzjC4DKP9f1BzdIQ/8hWnA==" saltValue="e9oMlW6R3d5DTileYQzVuA==" spinCount="100000" sheet="1" objects="1" scenarios="1" formatColumns="0" formatRows="0"/>
  <mergeCells count="5">
    <mergeCell ref="A11:E11"/>
    <mergeCell ref="A19:E19"/>
    <mergeCell ref="A28:E28"/>
    <mergeCell ref="A30:E30"/>
    <mergeCell ref="A43:E43"/>
  </mergeCells>
  <conditionalFormatting sqref="B9:E9">
    <cfRule type="containsText" dxfId="196" priority="3" operator="containsText" text="Did Not Meet">
      <formula>NOT(ISERROR(SEARCH("Did Not Meet",B9)))</formula>
    </cfRule>
    <cfRule type="containsText" dxfId="195" priority="4" operator="containsText" text="Met">
      <formula>NOT(ISERROR(SEARCH("Met",B9)))</formula>
    </cfRule>
  </conditionalFormatting>
  <conditionalFormatting sqref="B17:E17">
    <cfRule type="containsText" dxfId="194" priority="1" operator="containsText" text="Did Not Meet">
      <formula>NOT(ISERROR(SEARCH("Did Not Meet",B17)))</formula>
    </cfRule>
    <cfRule type="containsText" dxfId="193" priority="2" operator="containsText" text="Met">
      <formula>NOT(ISERROR(SEARCH("Met",B17)))</formula>
    </cfRule>
  </conditionalFormatting>
  <hyperlinks>
    <hyperlink ref="A29" location="'4. Multi-Year MOE Summary'!A8" display="Go to the Multi-Year MOE Summary" xr:uid="{00000000-0004-0000-1400-000000000000}"/>
    <hyperlink ref="A42" r:id="rId1" xr:uid="{00000000-0004-0000-14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Started'!B6+5," -  LEA Effort - Budgeted Amounts")</f>
        <v>Eligibility Standard - State Fiscal Year 2026 -  LEA Effort - Budgeted Amounts</v>
      </c>
      <c r="B2" s="23"/>
      <c r="C2" s="23"/>
      <c r="D2" s="23"/>
      <c r="E2" s="23"/>
      <c r="F2" s="24"/>
      <c r="G2" s="467"/>
      <c r="H2" s="22" t="str">
        <f>CONCATENATE("Compliance Standard - State Fiscal Year ",'2. Getting Started'!B6+5," - LEA Effort - Final Expenditures")</f>
        <v>Compliance Standard - State Fiscal Year 2026 - LEA Effort - Final Expenditures</v>
      </c>
      <c r="I2" s="23"/>
      <c r="J2" s="23"/>
      <c r="K2" s="23"/>
      <c r="L2" s="23"/>
      <c r="M2" s="24"/>
    </row>
    <row r="3" spans="1:13" s="25" customFormat="1" ht="24" customHeight="1">
      <c r="A3" s="26"/>
      <c r="B3" s="27"/>
      <c r="D3" s="28" t="str">
        <f>CONCATENATE("SFY ",'2. Getting Started'!$B6+5," Budget")</f>
        <v>SFY 2026 Budget</v>
      </c>
      <c r="E3" s="29"/>
      <c r="F3" s="30"/>
      <c r="G3" s="467"/>
      <c r="H3" s="26"/>
      <c r="I3" s="27"/>
      <c r="J3" s="31"/>
      <c r="K3" s="28" t="str">
        <f>CONCATENATE("SFY ",'2. Getting Started'!$B6+5," Final Expenditures")</f>
        <v>SFY 2026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NWYihXY27qrlzdQPDv6RMc0jwlTpllf8cJYYHFlIsyrj2K9/2O4TbyWRxtJUSAI2/3ER0yWxlDTaU3/b89ltag==" saltValue="PQZoJY4vDkTDdn7f00cgp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500-000000000000}"/>
    <dataValidation allowBlank="1" showInputMessage="1" showErrorMessage="1" prompt="Don't forget to enter Child Count in Cell I1." sqref="H5" xr:uid="{00000000-0002-0000-1500-000001000000}"/>
  </dataValidations>
  <hyperlinks>
    <hyperlink ref="A33" r:id="rId1" xr:uid="{00000000-0004-0000-1500-000000000000}"/>
  </hyperlinks>
  <pageMargins left="0.75" right="0.75" top="1" bottom="1" header="0.5" footer="0.5"/>
  <pageSetup orientation="portrait" horizontalDpi="4294967292" verticalDpi="4294967292"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5"/>
    <pageSetUpPr autoPageBreaks="0"/>
  </sheetPr>
  <dimension ref="A1:AB75"/>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176</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Started'!B6+5," Budget")</f>
        <v>Eligibility Standard -- Exceptions to MOE as Permitted by 34 CFR §300.204 and Adjustment to MOE as Permitted by 34 CFR §300.205 -- Projections for State Fiscal Year 2026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Started'!B6+5)</f>
        <v>Compliance Standard -- Exceptions to MOE as Permitted by 34 CFR §300.204 and Adjustment to MOE as Permitted by 34 CFR §300.205 -- Final Expenditures for  State Fiscal Year 2026</v>
      </c>
      <c r="I3" s="61"/>
      <c r="J3" s="61"/>
      <c r="K3" s="61"/>
      <c r="L3" s="61"/>
      <c r="M3" s="62"/>
      <c r="O3" s="64"/>
      <c r="P3" s="64"/>
      <c r="Q3" s="64"/>
      <c r="R3" s="64"/>
      <c r="S3" s="64"/>
      <c r="T3" s="64"/>
    </row>
    <row r="4" spans="1:20">
      <c r="A4" s="65"/>
      <c r="B4" s="66"/>
      <c r="C4" s="67"/>
      <c r="D4" s="67"/>
      <c r="E4" s="67"/>
      <c r="F4" s="68"/>
      <c r="G4" s="473"/>
      <c r="H4" s="65" t="s">
        <v>59</v>
      </c>
      <c r="I4" s="66"/>
      <c r="J4" s="67"/>
      <c r="K4" s="67"/>
      <c r="L4" s="67"/>
      <c r="M4" s="68"/>
      <c r="N4" s="70"/>
      <c r="O4" s="70"/>
      <c r="P4" s="70"/>
      <c r="Q4" s="70"/>
      <c r="R4" s="70"/>
      <c r="S4" s="70"/>
    </row>
    <row r="5" spans="1:20">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c r="A8" s="186"/>
      <c r="B8" s="187"/>
      <c r="C8" s="187"/>
      <c r="D8" s="188"/>
      <c r="E8" s="188"/>
      <c r="F8" s="84">
        <f>D8+E8</f>
        <v>0</v>
      </c>
      <c r="G8" s="473"/>
      <c r="H8" s="186"/>
      <c r="I8" s="187"/>
      <c r="J8" s="187"/>
      <c r="K8" s="188"/>
      <c r="L8" s="188"/>
      <c r="M8" s="84">
        <f>K8+L8</f>
        <v>0</v>
      </c>
      <c r="N8" s="85"/>
      <c r="O8" s="85"/>
    </row>
    <row r="9" spans="1:20">
      <c r="A9" s="186"/>
      <c r="B9" s="187"/>
      <c r="C9" s="187"/>
      <c r="D9" s="188"/>
      <c r="E9" s="188"/>
      <c r="F9" s="84">
        <f>D9+E9</f>
        <v>0</v>
      </c>
      <c r="G9" s="473"/>
      <c r="H9" s="186"/>
      <c r="I9" s="187"/>
      <c r="J9" s="187"/>
      <c r="K9" s="188"/>
      <c r="L9" s="188"/>
      <c r="M9" s="84">
        <f>K9+L9</f>
        <v>0</v>
      </c>
      <c r="N9" s="85"/>
      <c r="O9" s="85"/>
    </row>
    <row r="10" spans="1:20">
      <c r="A10" s="186"/>
      <c r="B10" s="187"/>
      <c r="C10" s="187"/>
      <c r="D10" s="188"/>
      <c r="E10" s="188"/>
      <c r="F10" s="84">
        <f>D10+E10</f>
        <v>0</v>
      </c>
      <c r="G10" s="473"/>
      <c r="H10" s="186"/>
      <c r="I10" s="187"/>
      <c r="J10" s="187"/>
      <c r="K10" s="188"/>
      <c r="L10" s="188"/>
      <c r="M10" s="84">
        <f>K10+L10</f>
        <v>0</v>
      </c>
      <c r="N10" s="85"/>
      <c r="O10" s="85"/>
    </row>
    <row r="11" spans="1:20">
      <c r="A11" s="186"/>
      <c r="B11" s="187"/>
      <c r="C11" s="187"/>
      <c r="D11" s="188"/>
      <c r="E11" s="188"/>
      <c r="F11" s="84">
        <f>D11+E11</f>
        <v>0</v>
      </c>
      <c r="G11" s="473"/>
      <c r="H11" s="186"/>
      <c r="I11" s="187"/>
      <c r="J11" s="187"/>
      <c r="K11" s="188"/>
      <c r="L11" s="188"/>
      <c r="M11" s="84">
        <f>K11+L11</f>
        <v>0</v>
      </c>
      <c r="N11" s="85"/>
      <c r="O11" s="85"/>
    </row>
    <row r="12" spans="1:20">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3"/>
      <c r="H16" s="189"/>
      <c r="I16" s="190"/>
      <c r="J16" s="100"/>
      <c r="K16" s="188"/>
      <c r="L16" s="188"/>
      <c r="M16" s="84">
        <f t="shared" ref="M16:M20" si="3">K16+L16</f>
        <v>0</v>
      </c>
      <c r="N16" s="85"/>
      <c r="O16" s="85"/>
    </row>
    <row r="17" spans="1:19">
      <c r="A17" s="189"/>
      <c r="B17" s="190"/>
      <c r="C17" s="100"/>
      <c r="D17" s="188"/>
      <c r="E17" s="188"/>
      <c r="F17" s="84">
        <f t="shared" si="2"/>
        <v>0</v>
      </c>
      <c r="G17" s="473"/>
      <c r="H17" s="189"/>
      <c r="I17" s="190"/>
      <c r="J17" s="100"/>
      <c r="K17" s="188"/>
      <c r="L17" s="188"/>
      <c r="M17" s="84">
        <f t="shared" si="3"/>
        <v>0</v>
      </c>
      <c r="N17" s="85"/>
      <c r="O17" s="85"/>
    </row>
    <row r="18" spans="1:19">
      <c r="A18" s="189"/>
      <c r="B18" s="190"/>
      <c r="C18" s="100"/>
      <c r="D18" s="188"/>
      <c r="E18" s="188"/>
      <c r="F18" s="84">
        <f t="shared" si="2"/>
        <v>0</v>
      </c>
      <c r="G18" s="473"/>
      <c r="H18" s="189"/>
      <c r="I18" s="190"/>
      <c r="J18" s="100"/>
      <c r="K18" s="188"/>
      <c r="L18" s="188"/>
      <c r="M18" s="84">
        <f t="shared" si="3"/>
        <v>0</v>
      </c>
      <c r="N18" s="85"/>
      <c r="O18" s="85"/>
    </row>
    <row r="19" spans="1:19">
      <c r="A19" s="189"/>
      <c r="B19" s="190"/>
      <c r="C19" s="100"/>
      <c r="D19" s="188"/>
      <c r="E19" s="188"/>
      <c r="F19" s="84">
        <f t="shared" si="2"/>
        <v>0</v>
      </c>
      <c r="G19" s="473"/>
      <c r="H19" s="189"/>
      <c r="I19" s="190"/>
      <c r="J19" s="100"/>
      <c r="K19" s="188"/>
      <c r="L19" s="188"/>
      <c r="M19" s="84">
        <f t="shared" si="3"/>
        <v>0</v>
      </c>
      <c r="N19" s="85"/>
      <c r="O19" s="85"/>
    </row>
    <row r="20" spans="1:19">
      <c r="A20" s="189"/>
      <c r="B20" s="190"/>
      <c r="C20" s="100"/>
      <c r="D20" s="188"/>
      <c r="E20" s="188"/>
      <c r="F20" s="84">
        <f t="shared" si="2"/>
        <v>0</v>
      </c>
      <c r="G20" s="473"/>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c r="A24" s="112" t="s">
        <v>105</v>
      </c>
      <c r="B24" s="113"/>
      <c r="C24" s="113"/>
      <c r="D24" s="63"/>
      <c r="E24" s="120"/>
      <c r="F24" s="120"/>
      <c r="G24" s="473"/>
      <c r="H24" s="112" t="s">
        <v>105</v>
      </c>
      <c r="I24" s="113"/>
      <c r="J24" s="113"/>
      <c r="K24" s="63"/>
      <c r="L24" s="120"/>
      <c r="M24" s="120"/>
      <c r="N24" s="119"/>
      <c r="O24" s="119"/>
      <c r="P24" s="119"/>
      <c r="Q24" s="119"/>
    </row>
    <row r="25" spans="1:19">
      <c r="A25" s="121" t="s">
        <v>71</v>
      </c>
      <c r="B25" s="122" t="s">
        <v>77</v>
      </c>
      <c r="C25" s="123"/>
      <c r="D25" s="124"/>
      <c r="E25" s="123"/>
      <c r="F25" s="123"/>
      <c r="G25" s="473"/>
      <c r="H25" s="121" t="s">
        <v>71</v>
      </c>
      <c r="I25" s="122" t="s">
        <v>77</v>
      </c>
      <c r="J25" s="123"/>
      <c r="K25" s="124"/>
      <c r="L25" s="123"/>
      <c r="M25" s="123"/>
      <c r="N25" s="119"/>
      <c r="O25" s="119"/>
      <c r="P25" s="119"/>
      <c r="Q25" s="119"/>
    </row>
    <row r="26" spans="1:19">
      <c r="A26" s="125" t="str">
        <f>CONCATENATE("SFY ",'2. Getting Started'!B6+5," Projected Child Count")</f>
        <v>SFY 2026 Projected Child Count</v>
      </c>
      <c r="B26" s="126" t="str">
        <f>IF('20. Year 6 Amounts'!B1="","",'20. Year 6 Amounts'!B1)</f>
        <v/>
      </c>
      <c r="C26" s="123"/>
      <c r="D26" s="124"/>
      <c r="E26" s="123"/>
      <c r="F26" s="123"/>
      <c r="G26" s="473"/>
      <c r="H26" s="125" t="str">
        <f>CONCATENATE("SFY ",'2. Getting Started'!B6+5," Child Count")</f>
        <v>SFY 2026 Child Count</v>
      </c>
      <c r="I26" s="126" t="str">
        <f>IF('20. Year 6 Amounts'!I1="","",'20. Year 6 Amounts'!I1)</f>
        <v/>
      </c>
      <c r="J26" s="123"/>
      <c r="K26" s="124"/>
      <c r="L26" s="123"/>
      <c r="M26" s="123"/>
      <c r="N26" s="119"/>
      <c r="O26" s="119"/>
      <c r="P26" s="119"/>
      <c r="Q26" s="119"/>
    </row>
    <row r="27" spans="1:19">
      <c r="A27" s="125" t="str">
        <f>CONCATENATE("SFY ",'2. Getting Started'!B6+4," Projected Child Count")</f>
        <v>SFY 2025 Projected Child Count</v>
      </c>
      <c r="B27" s="126" t="str">
        <f>IF('17. Year 5 Amounts'!B1="","",'17. Year 5 Amounts'!B1)</f>
        <v/>
      </c>
      <c r="C27" s="119"/>
      <c r="D27" s="128"/>
      <c r="E27" s="119"/>
      <c r="F27" s="123"/>
      <c r="G27" s="473"/>
      <c r="H27" s="125" t="str">
        <f>CONCATENATE("SFY ",'2. Getting Started'!B6+4," Child Count")</f>
        <v>SFY 2025 Child Count</v>
      </c>
      <c r="I27" s="126" t="str">
        <f>IF('17. Year 5 Amounts'!I1="","",'17. Year 5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3"/>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3"/>
      <c r="H29" s="133" t="s">
        <v>79</v>
      </c>
      <c r="I29" s="134" t="str">
        <f>IF(I26="","",IF(I28&lt;=0,ABS(I28/I27),""))</f>
        <v/>
      </c>
      <c r="J29" s="135"/>
      <c r="K29" s="136"/>
      <c r="L29" s="135"/>
      <c r="M29" s="10"/>
      <c r="N29" s="137"/>
      <c r="O29" s="137"/>
      <c r="P29" s="138"/>
      <c r="Q29" s="138"/>
    </row>
    <row r="30" spans="1:19">
      <c r="A30" s="115" t="s">
        <v>71</v>
      </c>
      <c r="B30" s="116" t="s">
        <v>0</v>
      </c>
      <c r="C30" s="116" t="s">
        <v>2</v>
      </c>
      <c r="D30" s="10"/>
      <c r="E30" s="72"/>
      <c r="F30" s="72"/>
      <c r="G30" s="473"/>
      <c r="H30" s="115" t="s">
        <v>71</v>
      </c>
      <c r="I30" s="116" t="s">
        <v>75</v>
      </c>
      <c r="J30" s="116" t="s">
        <v>76</v>
      </c>
      <c r="K30" s="10"/>
      <c r="L30" s="72"/>
      <c r="M30" s="72"/>
      <c r="N30" s="138"/>
      <c r="O30" s="138"/>
    </row>
    <row r="31" spans="1:19">
      <c r="A31" s="139" t="str">
        <f>CONCATENATE("SFY ",'2. Getting Started'!B6+4," Budget")</f>
        <v>SFY 2025 Budget</v>
      </c>
      <c r="B31" s="140" t="str">
        <f>IF('17. Year 5 Amounts'!D30="","",'17. Year 5 Amounts'!D30)</f>
        <v/>
      </c>
      <c r="C31" s="140" t="str">
        <f>IF('17. Year 5 Amounts'!F30="","",'17. Year 5 Amounts'!F30)</f>
        <v/>
      </c>
      <c r="D31" s="141"/>
      <c r="E31" s="74"/>
      <c r="F31" s="74"/>
      <c r="G31" s="473"/>
      <c r="H31" s="139" t="str">
        <f>CONCATENATE("SFY ",'2. Getting Started'!B6+4," Final Expenditures")</f>
        <v>SFY 2025 Final Expenditures</v>
      </c>
      <c r="I31" s="140" t="str">
        <f>IF('17. Year 5 Amounts'!K30="","",'17. Year 5 Amounts'!K30)</f>
        <v/>
      </c>
      <c r="J31" s="140" t="str">
        <f>IF('17. Year 5 Amounts'!M30="","",'17. Year 5 Amounts'!M30)</f>
        <v/>
      </c>
      <c r="K31" s="142"/>
      <c r="L31" s="74"/>
      <c r="M31" s="74"/>
    </row>
    <row r="32" spans="1:19">
      <c r="A32" s="117" t="s">
        <v>80</v>
      </c>
      <c r="B32" s="143" t="str">
        <f>IF(OR($B26="",B29="",B31=""),"",($B29*B31))</f>
        <v/>
      </c>
      <c r="C32" s="143" t="str">
        <f>IF(OR($B26="",B29="",C31=""),"",($B29*C31))</f>
        <v/>
      </c>
      <c r="D32" s="142"/>
      <c r="E32" s="118"/>
      <c r="F32" s="118"/>
      <c r="G32" s="473"/>
      <c r="H32" s="117" t="s">
        <v>81</v>
      </c>
      <c r="I32" s="143" t="str">
        <f>IF(OR($I26="",I29="",I31=""),"",($I29*I31))</f>
        <v/>
      </c>
      <c r="J32" s="143" t="str">
        <f>IF(OR($I26="",I29="",J31=""),"",($I29*J31))</f>
        <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c r="A55" s="167" t="str">
        <f>IF('3b. High Cost Fund'!B8="No","This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Fund'!B8="No","This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Fund'!B8="No","","SEA under §300.704. MUST be explicitly permitted by the SEA.")</f>
        <v>SEA under §300.704. MUST be explicitly permitted by the SEA.</v>
      </c>
      <c r="B56" s="168"/>
      <c r="C56" s="169"/>
      <c r="D56" s="170"/>
      <c r="E56" s="163"/>
      <c r="F56" s="144"/>
      <c r="G56" s="473"/>
      <c r="H56" s="71" t="str">
        <f>IF('3b. High Cost Fund'!B8="No","","SEA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Fund'!$B8="No"),"Invalid entry. This exception is valid only in states with high-cost funds. If your state has a high-cost fund, please indicate that on tab 3b.","")</f>
        <v/>
      </c>
      <c r="D58" s="144"/>
      <c r="E58" s="144"/>
      <c r="F58" s="10"/>
      <c r="G58" s="473"/>
      <c r="H58" s="196"/>
      <c r="I58" s="197"/>
      <c r="J58" s="337" t="str">
        <f>IF(AND(I58&lt;&gt;"",'3b. High Cost Fund'!$B8="No"),"Invalid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3"/>
      <c r="H59" s="196"/>
      <c r="I59" s="197"/>
      <c r="J59" s="144"/>
      <c r="K59" s="10"/>
      <c r="L59" s="10"/>
      <c r="M59" s="10"/>
    </row>
    <row r="60" spans="1:26">
      <c r="A60" s="196"/>
      <c r="B60" s="197"/>
      <c r="C60" s="144"/>
      <c r="D60" s="10"/>
      <c r="E60" s="10"/>
      <c r="F60" s="10"/>
      <c r="G60" s="473"/>
      <c r="H60" s="196"/>
      <c r="I60" s="197"/>
      <c r="J60" s="144"/>
      <c r="K60" s="10"/>
      <c r="L60" s="10"/>
      <c r="M60" s="10"/>
    </row>
    <row r="61" spans="1:26">
      <c r="A61" s="196"/>
      <c r="B61" s="197"/>
      <c r="C61" s="144"/>
      <c r="D61" s="10"/>
      <c r="E61" s="10"/>
      <c r="F61" s="10"/>
      <c r="G61" s="473"/>
      <c r="H61" s="196"/>
      <c r="I61" s="197"/>
      <c r="J61" s="144"/>
      <c r="K61" s="10"/>
      <c r="L61" s="10"/>
      <c r="M61" s="10"/>
    </row>
    <row r="62" spans="1:26">
      <c r="A62" s="196"/>
      <c r="B62" s="197"/>
      <c r="C62" s="144"/>
      <c r="D62" s="10"/>
      <c r="E62" s="10"/>
      <c r="F62" s="10"/>
      <c r="G62" s="473"/>
      <c r="H62" s="196"/>
      <c r="I62" s="197"/>
      <c r="J62" s="144"/>
      <c r="K62" s="10"/>
      <c r="L62" s="10"/>
      <c r="M62" s="10"/>
    </row>
    <row r="63" spans="1:26">
      <c r="A63" s="173" t="s">
        <v>89</v>
      </c>
      <c r="B63" s="174">
        <f>IF('3b. High Cost Fund'!$B8="No",0,SUM(B58:B62))</f>
        <v>0</v>
      </c>
      <c r="C63" s="144"/>
      <c r="D63" s="10"/>
      <c r="E63" s="10"/>
      <c r="F63" s="10"/>
      <c r="G63" s="473"/>
      <c r="H63" s="175" t="s">
        <v>90</v>
      </c>
      <c r="I63" s="174">
        <f>IF('3b. High Cost Fund'!$B8="No",0,SUM(I58:I62))</f>
        <v>0</v>
      </c>
      <c r="J63" s="144"/>
      <c r="K63" s="10"/>
      <c r="L63" s="10"/>
      <c r="M63" s="10"/>
    </row>
    <row r="64" spans="1:26" ht="16" thickBot="1">
      <c r="A64" s="470" t="s">
        <v>22</v>
      </c>
      <c r="B64" s="470"/>
      <c r="C64" s="144"/>
      <c r="D64" s="10"/>
      <c r="E64" s="10"/>
      <c r="F64" s="10"/>
      <c r="G64" s="473"/>
      <c r="H64" s="470" t="s">
        <v>22</v>
      </c>
      <c r="I64" s="470"/>
      <c r="J64" s="144"/>
      <c r="K64" s="10"/>
      <c r="L64" s="10"/>
      <c r="M64" s="10"/>
    </row>
    <row r="65" spans="1:13">
      <c r="A65" s="347" t="s">
        <v>107</v>
      </c>
      <c r="B65" s="348"/>
      <c r="C65" s="144"/>
      <c r="D65" s="10"/>
      <c r="E65" s="10"/>
      <c r="F65" s="10"/>
      <c r="G65" s="473"/>
      <c r="H65" s="347" t="s">
        <v>106</v>
      </c>
      <c r="I65" s="348"/>
      <c r="J65" s="144"/>
      <c r="K65" s="10"/>
      <c r="L65" s="10"/>
      <c r="M65" s="10"/>
    </row>
    <row r="66" spans="1:13">
      <c r="A66" s="242" t="s">
        <v>123</v>
      </c>
      <c r="B66" s="265" t="s">
        <v>124</v>
      </c>
      <c r="C66" s="144"/>
      <c r="D66" s="10"/>
      <c r="E66" s="10"/>
      <c r="F66" s="10"/>
      <c r="G66" s="473"/>
      <c r="H66" s="269" t="s">
        <v>123</v>
      </c>
      <c r="I66" s="270" t="s">
        <v>124</v>
      </c>
      <c r="J66" s="144"/>
      <c r="K66" s="10"/>
      <c r="L66" s="10"/>
      <c r="M66" s="10"/>
    </row>
    <row r="67" spans="1:13">
      <c r="A67" s="103" t="s">
        <v>0</v>
      </c>
      <c r="B67" s="240">
        <f>IF(B$28&gt;=0,(F$22+C$43+B$53+B$63),(F$22+C$43+B$53+B$63+B$32))</f>
        <v>0</v>
      </c>
      <c r="C67" s="144"/>
      <c r="D67" s="10"/>
      <c r="E67" s="10"/>
      <c r="F67" s="10"/>
      <c r="G67" s="473"/>
      <c r="H67" s="103" t="s">
        <v>0</v>
      </c>
      <c r="I67" s="240">
        <f>IF(I$28&gt;=0,(M$22+J$43+I$53+I$63),(M$22+J$43+I$53+I$63+I$32))</f>
        <v>0</v>
      </c>
      <c r="J67" s="144"/>
      <c r="K67" s="10"/>
      <c r="L67" s="10"/>
      <c r="M67" s="10"/>
    </row>
    <row r="68" spans="1:13">
      <c r="A68" s="241" t="s">
        <v>2</v>
      </c>
      <c r="B68" s="174">
        <f>IF(B$28&gt;=0,(F$22+C$43+B$53+B$63),(F$22+C$43+B$53+B$63+C$32))</f>
        <v>0</v>
      </c>
      <c r="C68" s="144"/>
      <c r="D68" s="10"/>
      <c r="E68" s="10"/>
      <c r="F68" s="10"/>
      <c r="G68" s="473"/>
      <c r="H68" s="241" t="s">
        <v>2</v>
      </c>
      <c r="I68" s="174">
        <f>IF(I$28&gt;=0,(M$22+J$43+I$53+I$63),(M$22+J$43+I$53+I$63+J$32))</f>
        <v>0</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c r="A71" s="179" t="s">
        <v>71</v>
      </c>
      <c r="B71" s="180" t="s">
        <v>99</v>
      </c>
      <c r="C71" s="11" t="s">
        <v>100</v>
      </c>
      <c r="E71" s="10"/>
      <c r="F71" s="10"/>
      <c r="G71" s="473"/>
      <c r="H71" s="179" t="s">
        <v>71</v>
      </c>
      <c r="I71" s="180" t="s">
        <v>101</v>
      </c>
      <c r="J71" s="11" t="s">
        <v>100</v>
      </c>
      <c r="K71" s="10"/>
      <c r="L71" s="10"/>
      <c r="M71" s="10"/>
    </row>
    <row r="72" spans="1:13">
      <c r="A72" s="181" t="s">
        <v>102</v>
      </c>
      <c r="B72" s="198">
        <v>0</v>
      </c>
      <c r="C72" s="182" t="s">
        <v>103</v>
      </c>
      <c r="D72" s="10"/>
      <c r="E72" s="10"/>
      <c r="F72" s="10"/>
      <c r="G72" s="473"/>
      <c r="H72" s="181" t="s">
        <v>104</v>
      </c>
      <c r="I72" s="198">
        <v>0</v>
      </c>
      <c r="J72" s="321"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c r="A74" s="358" t="s">
        <v>182</v>
      </c>
      <c r="B74" s="184"/>
      <c r="C74" s="184"/>
      <c r="D74" s="184"/>
      <c r="E74" s="184"/>
      <c r="F74" s="184"/>
      <c r="G74" s="473"/>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4WRQiq3UjwhzUQU2xdaENmJLZcetZLl340UexvsfcglPpQ49E675PP8FLkB9MgZliN3+V20n9WggEvvOAiY8dw==" saltValue="QQ7XGmFzfQF2pv43SxCjDA=="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192" priority="2" operator="containsText" text="not valid">
      <formula>NOT(ISERROR(SEARCH("not valid",A55)))</formula>
    </cfRule>
  </conditionalFormatting>
  <conditionalFormatting sqref="H55">
    <cfRule type="containsText" dxfId="191" priority="1" operator="containsText" text="not valid">
      <formula>NOT(ISERROR(SEARCH("not valid",H55)))</formula>
    </cfRule>
  </conditionalFormatting>
  <dataValidations count="1">
    <dataValidation type="list" allowBlank="1" showInputMessage="1" showErrorMessage="1" sqref="B38:B42 I38:I42" xr:uid="{00000000-0002-0000-1600-000000000000}">
      <formula1>Exception_c</formula1>
    </dataValidation>
  </dataValidations>
  <hyperlinks>
    <hyperlink ref="C72" r:id="rId1" xr:uid="{00000000-0004-0000-1600-000000000000}"/>
    <hyperlink ref="J72" r:id="rId2" xr:uid="{00000000-0004-0000-1600-000001000000}"/>
    <hyperlink ref="A74" r:id="rId3" xr:uid="{00000000-0004-0000-16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0070C0"/>
  </sheetPr>
  <dimension ref="A1:F43"/>
  <sheetViews>
    <sheetView showGridLines="0" workbookViewId="0">
      <selection activeCell="A5" sqref="A5"/>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6: State Fiscal Year ",'2. Getting Started'!B6+5)</f>
        <v>Summary of Year 6: State Fiscal Year 2026</v>
      </c>
      <c r="B1" s="299"/>
      <c r="C1" s="299"/>
      <c r="D1" s="21" t="s">
        <v>14</v>
      </c>
      <c r="E1" s="20" t="str">
        <f>IF('2. Getting Started'!B2="","",'2. Getting Started'!B2)</f>
        <v/>
      </c>
    </row>
    <row r="2" spans="1:5" ht="18.5">
      <c r="A2" s="2" t="str">
        <f>CONCATENATE("State fiscal year ",'2. Getting Started'!B6+5," covers the period ",'2. Getting Started'!B4,", ",'2. Getting Started'!B6+4," through ",'2. Getting Started'!B5,", ",'2. Getting Started'!B6+5)</f>
        <v>State fiscal year 2026 covers the period July 1, 2025 through June 30, 2026</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Started'!$B$6+3,'14. Year 4 Amounts'!K30,IF(B6='2. Getting Started'!$B$6+2,'11. Year 3 Amounts'!K30,IF(B6='2. Getting Started'!$B$6+1,'8. Year 2 Amounts'!K30,IF(B6='2. Getting Started'!$B$6,'5. Year 1 Amounts'!K30,'2. Getting Started'!$C10)))))</f>
        <v>#N/A</v>
      </c>
      <c r="C7" s="205" t="e">
        <f>IF(C6="","",IF(C6='2. Getting Started'!$B$6+3,'14. Year 4 Amounts'!M30,IF(C6='2. Getting Started'!$B$6+2,'11. Year 3 Amounts'!M30,IF(C6='2. Getting Started'!$B$6+1,'8. Year 2 Amounts'!M30,IF(C6='2. Getting Started'!$B$6,'5. Year 1 Amounts'!M30,'2. Getting Started'!$C11)))))</f>
        <v>#N/A</v>
      </c>
      <c r="D7" s="205" t="e">
        <f>IF(D6="","",IF(D6='2. Getting Started'!$B$6+3,'14. Year 4 Amounts'!K31,IF(D6='2. Getting Started'!$B$6+2,'11. Year 3 Amounts'!K31,IF(D6='2. Getting Started'!$B$6+1,'8. Year 2 Amounts'!K31,IF(D6='2. Getting Started'!$B$6,'5. Year 1 Amounts'!K31,'2. Getting Started'!$C12)))))</f>
        <v>#N/A</v>
      </c>
      <c r="E7" s="267" t="e">
        <f>IF(E6="","",IF(E6='2. Getting Started'!$B$6+3,'14. Year 4 Amounts'!M31,IF(E6='2. Getting Started'!$B$6+2,'11. Year 3 Amounts'!M31,IF(E6='2. Getting Started'!$B$6+1,'8. Year 2 Amounts'!M31,IF(E6='2. Getting Started'!$B$6,'5. Year 1 Amounts'!M31,'2. Getting Started'!$C13)))))</f>
        <v>#N/A</v>
      </c>
    </row>
    <row r="8" spans="1:5">
      <c r="A8" s="243" t="s">
        <v>9</v>
      </c>
      <c r="B8" s="205" t="str">
        <f>'20. Year 6 Amounts'!D30</f>
        <v/>
      </c>
      <c r="C8" s="205" t="str">
        <f>'20. Year 6 Amounts'!F30</f>
        <v/>
      </c>
      <c r="D8" s="205" t="str">
        <f>'20. Year 6 Amounts'!D31</f>
        <v/>
      </c>
      <c r="E8" s="267" t="str">
        <f>'20. Year 6 Amounts'!F31</f>
        <v/>
      </c>
    </row>
    <row r="9" spans="1:5">
      <c r="A9" s="243" t="s">
        <v>117</v>
      </c>
      <c r="B9" s="201" t="str">
        <f>IF(B8="","",IF(B8&gt;=B7,"Met",IF(AND(B8&lt;B7,'38. Total Local Funds'!$B54="Met"),"Met with Exceptions &amp; Adjustments","Did Not Meet")))</f>
        <v/>
      </c>
      <c r="C9" s="201" t="str">
        <f>IF(C8="","",IF(C8&gt;=C7,"Met",IF(AND(C8&lt;C7,'39. Total State &amp; Local Funds'!$B54="Met"),"Met with Exceptions &amp; Adjustments","Did Not Meet")))</f>
        <v/>
      </c>
      <c r="D9" s="201" t="str">
        <f>IF(D8="","",IF(D8&gt;=D7,"Met",IF(AND(D8&lt;D7,'40. Local Funds Per Capita'!$B55="Met"),"Met with Exceptions &amp; Adjustments","Did Not Meet")))</f>
        <v/>
      </c>
      <c r="E9" s="259" t="str">
        <f>IF(E8="","",IF(E8&gt;=E7,"Met",IF(AND(E8&lt;E7,'41. State &amp; Local Funds Per Cap'!$B55="Met"),"Met with Exceptions &amp; Adjustments","Did Not Meet")))</f>
        <v/>
      </c>
    </row>
    <row r="10" spans="1:5">
      <c r="A10" s="246" t="s">
        <v>46</v>
      </c>
      <c r="B10" s="256" t="str">
        <f>IF(B9="","",IF(B9="Did Not Meet",'38. Total Local Funds'!$B52-'38. Total Local Funds'!$B53,0))</f>
        <v/>
      </c>
      <c r="C10" s="256" t="str">
        <f>IF(C9="","",IF(C9="Did Not Meet",'39. Total State &amp; Local Funds'!$B52-'39. Total State &amp; Local Funds'!$B53,0))</f>
        <v/>
      </c>
      <c r="D10" s="256" t="str">
        <f>IF(D9="","",IF(D9="Did Not Meet",(('40. Local Funds Per Capita'!$B53-'40. Local Funds Per Capita'!$B54)*'20. Year 6 Amounts'!B1),0))</f>
        <v/>
      </c>
      <c r="E10" s="261" t="str">
        <f>IF(E9="","",IF(E9="Did Not Meet",(('41. State &amp; Local Funds Per Cap'!$B53-'41. State &amp; Local Funds Per Cap'!$B54)*'20. Year 6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'20. Year 6 Amounts'!K30</f>
        <v/>
      </c>
      <c r="C16" s="17" t="str">
        <f>'20. Year 6 Amounts'!M30</f>
        <v/>
      </c>
      <c r="D16" s="17" t="str">
        <f>'20. Year 6 Amounts'!K31</f>
        <v/>
      </c>
      <c r="E16" s="258" t="str">
        <f>'20. Year 6 Amounts'!M31</f>
        <v/>
      </c>
    </row>
    <row r="17" spans="1:5">
      <c r="A17" s="243" t="s">
        <v>117</v>
      </c>
      <c r="B17" s="201" t="str">
        <f>IF(B16="","",IF(B16&gt;=B15,"Met",IF(AND(B16&lt;B15,'38. Total Local Funds'!F54="Met"),"Met with Exceptions &amp; Adjustments","Did Not Meet")))</f>
        <v/>
      </c>
      <c r="C17" s="201" t="str">
        <f>IF(C16="","",IF(C16&gt;=C15,"Met",IF(AND(C16&lt;C15,'39. Total State &amp; Local Funds'!F54="Met"),"Met with Exceptions &amp; Adjustments","Did Not Meet")))</f>
        <v/>
      </c>
      <c r="D17" s="201" t="str">
        <f>IF(D16="","",IF(D16&gt;=D15,"Met",IF(AND(D16&lt;D15,'40. Local Funds Per Capita'!F55="Met"),"Met with Exceptions &amp; Adjustments","Did Not Meet")))</f>
        <v/>
      </c>
      <c r="E17" s="259" t="str">
        <f>IF(E16="","",IF(E16&gt;=E15,"Met",IF(AND(E16&lt;E15,'41. State &amp; Local Funds Per Cap'!F55="Met"),"Met with Exceptions &amp; Adjustments","Did Not Meet")))</f>
        <v/>
      </c>
    </row>
    <row r="18" spans="1:5">
      <c r="A18" s="246" t="s">
        <v>46</v>
      </c>
      <c r="B18" s="256" t="str">
        <f>IF(B17="","",IF(B17="Did Not Meet",'38. Total Local Funds'!F52-'38. Total Local Funds'!F53,0))</f>
        <v/>
      </c>
      <c r="C18" s="256" t="str">
        <f>IF(C17="","",IF(C17="Did Not Meet",'39. Total State &amp; Local Funds'!F52-'39. Total State &amp; Local Funds'!F53,0))</f>
        <v/>
      </c>
      <c r="D18" s="256" t="str">
        <f>IF(D17="","",IF(D17="Did Not Meet",(('40. Local Funds Per Capita'!F53-'40. Local Funds Per Capita'!F54)*'20. Year 6 Amounts'!I1),0))</f>
        <v/>
      </c>
      <c r="E18" s="261" t="str">
        <f>IF(E17="","",IF(E17="Did Not Meet",(('41. State &amp; Local Funds Per Cap'!F53-'41. State &amp; Local Funds Per Cap'!F54)*'20. Year 6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132</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Started'!B6+5)</f>
        <v>Exceptions and Adjustment Claimed for State Fiscal Year 2026</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'21. Year 6 Exc &amp; Adj'!F22</f>
        <v>0</v>
      </c>
      <c r="C34" s="258">
        <f>'21. Year 6 Exc &amp; Adj'!F22</f>
        <v>0</v>
      </c>
      <c r="D34" s="326">
        <f>'21. Year 6 Exc &amp; Adj'!M22</f>
        <v>0</v>
      </c>
      <c r="E34" s="17">
        <f>'21. Year 6 Exc &amp; Adj'!M22</f>
        <v>0</v>
      </c>
    </row>
    <row r="35" spans="1:5">
      <c r="A35" s="224" t="s">
        <v>140</v>
      </c>
      <c r="B35" s="17" t="str">
        <f>'21. Year 6 Exc &amp; Adj'!B32</f>
        <v/>
      </c>
      <c r="C35" s="258" t="str">
        <f>'21. Year 6 Exc &amp; Adj'!C32</f>
        <v/>
      </c>
      <c r="D35" s="326" t="str">
        <f>'21. Year 6 Exc &amp; Adj'!I32</f>
        <v/>
      </c>
      <c r="E35" s="258" t="str">
        <f>'21. Year 6 Exc &amp; Adj'!J32</f>
        <v/>
      </c>
    </row>
    <row r="36" spans="1:5">
      <c r="A36" s="224" t="s">
        <v>141</v>
      </c>
      <c r="B36" s="17">
        <f>'21. Year 6 Exc &amp; Adj'!C43</f>
        <v>0</v>
      </c>
      <c r="C36" s="258">
        <f>'21. Year 6 Exc &amp; Adj'!C43</f>
        <v>0</v>
      </c>
      <c r="D36" s="326">
        <f>'21. Year 6 Exc &amp; Adj'!J43</f>
        <v>0</v>
      </c>
      <c r="E36" s="17">
        <f>'21. Year 6 Exc &amp; Adj'!J43</f>
        <v>0</v>
      </c>
    </row>
    <row r="37" spans="1:5">
      <c r="A37" s="224" t="s">
        <v>142</v>
      </c>
      <c r="B37" s="17">
        <f>'21. Year 6 Exc &amp; Adj'!B53</f>
        <v>0</v>
      </c>
      <c r="C37" s="258">
        <f>'21. Year 6 Exc &amp; Adj'!B53</f>
        <v>0</v>
      </c>
      <c r="D37" s="326">
        <f>'21. Year 6 Exc &amp; Adj'!I53</f>
        <v>0</v>
      </c>
      <c r="E37" s="17">
        <f>'21. Year 6 Exc &amp; Adj'!I53</f>
        <v>0</v>
      </c>
    </row>
    <row r="38" spans="1:5">
      <c r="A38" s="224" t="str">
        <f>IF('3b. High Cost Fund'!B8="No","This exception is not valid for your state.","Exception (e)")</f>
        <v>Exception (e)</v>
      </c>
      <c r="B38" s="331">
        <f>IF('3b. High Cost Fund'!B8="No","",'21. Year 6 Exc &amp; Adj'!B63)</f>
        <v>0</v>
      </c>
      <c r="C38" s="332">
        <f>IF('3b. High Cost Fund'!B8="No","",'21. Year 6 Exc &amp; Adj'!B63)</f>
        <v>0</v>
      </c>
      <c r="D38" s="326">
        <f>IF('3b. High Cost Fund'!B8="No","",'21. Year 6 Exc &amp; Adj'!I63)</f>
        <v>0</v>
      </c>
      <c r="E38" s="331">
        <f>IF('3b. High Cost Fund'!B8="No","",'21. Year 6 Exc &amp; Adj'!I63)</f>
        <v>0</v>
      </c>
    </row>
    <row r="39" spans="1:5">
      <c r="A39" s="224" t="s">
        <v>143</v>
      </c>
      <c r="B39" s="17">
        <f>AdjDataYear6Budget[Projected Adjustment]</f>
        <v>0</v>
      </c>
      <c r="C39" s="17">
        <f>AdjDataYear6Budget[Projected Adjustment]</f>
        <v>0</v>
      </c>
      <c r="D39" s="327">
        <f>AdjDataYear6Expenditures[[Adjustment ]]</f>
        <v>0</v>
      </c>
      <c r="E39" s="17">
        <f>AdjDataYear6Expenditures[[Adjustment ]]</f>
        <v>0</v>
      </c>
    </row>
    <row r="40" spans="1:5">
      <c r="A40" s="246" t="s">
        <v>124</v>
      </c>
      <c r="B40" s="328">
        <f>SUM(B34:B39)</f>
        <v>0</v>
      </c>
      <c r="C40" s="329">
        <f>SUM(C34:C39)</f>
        <v>0</v>
      </c>
      <c r="D40" s="330">
        <f>SUM(D34:D39)</f>
        <v>0</v>
      </c>
      <c r="E40" s="329">
        <f>SUM(E34:E39)</f>
        <v>0</v>
      </c>
    </row>
    <row r="41" spans="1:5" ht="28.5"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Dc5OTVn4N/mdE6ItnpzSZSvXKh6OWFu6b503Yef1BfRtwmIFhasOQGiJG1bxX4X30Eqe0+6GGqIsk1AdjX8xDA==" saltValue="sPsy/8CeZziOUdeWQ3njtQ==" spinCount="100000" sheet="1" objects="1" scenarios="1" formatColumns="0" formatRows="0"/>
  <mergeCells count="5">
    <mergeCell ref="A11:E11"/>
    <mergeCell ref="A19:E19"/>
    <mergeCell ref="A28:E28"/>
    <mergeCell ref="A30:E30"/>
    <mergeCell ref="A43:E43"/>
  </mergeCells>
  <conditionalFormatting sqref="B9:E9">
    <cfRule type="containsText" dxfId="190" priority="3" operator="containsText" text="Did Not Meet">
      <formula>NOT(ISERROR(SEARCH("Did Not Meet",B9)))</formula>
    </cfRule>
    <cfRule type="containsText" dxfId="189" priority="4" operator="containsText" text="Met">
      <formula>NOT(ISERROR(SEARCH("Met",B9)))</formula>
    </cfRule>
  </conditionalFormatting>
  <conditionalFormatting sqref="B17:E17">
    <cfRule type="containsText" dxfId="188" priority="1" operator="containsText" text="Did Not Meet">
      <formula>NOT(ISERROR(SEARCH("Did Not Meet",B17)))</formula>
    </cfRule>
    <cfRule type="containsText" dxfId="187" priority="2" operator="containsText" text="Met">
      <formula>NOT(ISERROR(SEARCH("Met",B17)))</formula>
    </cfRule>
  </conditionalFormatting>
  <hyperlinks>
    <hyperlink ref="A29" location="'4. Multi-Year MOE Summary'!A9" display="Go to the Multi-Year MOE Summary" xr:uid="{00000000-0004-0000-1700-000000000000}"/>
    <hyperlink ref="A42" r:id="rId1" xr:uid="{00000000-0004-0000-17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Started'!B6+6," -  LEA Effort - Budgeted Amounts")</f>
        <v>Eligibility Standard - State Fiscal Year 2027 -  LEA Effort - Budgeted Amounts</v>
      </c>
      <c r="B2" s="23"/>
      <c r="C2" s="23"/>
      <c r="D2" s="23"/>
      <c r="E2" s="23"/>
      <c r="F2" s="24"/>
      <c r="G2" s="467"/>
      <c r="H2" s="22" t="str">
        <f>CONCATENATE("Compliance Standard - State Fiscal Year ",'2. Getting Started'!B6+6," - LEA Effort - Final Expenditures")</f>
        <v>Compliance Standard - State Fiscal Year 2027 - LEA Effort - Final Expenditures</v>
      </c>
      <c r="I2" s="23"/>
      <c r="J2" s="23"/>
      <c r="K2" s="23"/>
      <c r="L2" s="23"/>
      <c r="M2" s="24"/>
    </row>
    <row r="3" spans="1:13" s="25" customFormat="1" ht="24" customHeight="1">
      <c r="A3" s="26"/>
      <c r="B3" s="27"/>
      <c r="D3" s="28" t="str">
        <f>CONCATENATE("SFY ",'2. Getting Started'!$B6+6," Budget")</f>
        <v>SFY 2027 Budget</v>
      </c>
      <c r="E3" s="29"/>
      <c r="F3" s="30"/>
      <c r="G3" s="467"/>
      <c r="H3" s="26"/>
      <c r="I3" s="27"/>
      <c r="J3" s="31"/>
      <c r="K3" s="28" t="str">
        <f>CONCATENATE("SFY ",'2. Getting Started'!$B6+6," Final Expenditures")</f>
        <v>SFY 2027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1Yzth4jluHZaNh0fHUOQKSZL4nnW6Ac5Ruob8svl2e2YvHZun/yiLCn8KfmTW19Jzho9AKVhQG1pBIi1br3wwA==" saltValue="Uu2voDgbv4N1sKVM6ymF6A=="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800-000000000000}"/>
    <dataValidation allowBlank="1" showInputMessage="1" showErrorMessage="1" prompt="Don't forget to enter Child Count in Cell I1." sqref="H5" xr:uid="{00000000-0002-0000-1800-000001000000}"/>
  </dataValidations>
  <hyperlinks>
    <hyperlink ref="A33" r:id="rId1" xr:uid="{00000000-0004-0000-1800-000000000000}"/>
  </hyperlinks>
  <pageMargins left="0.75" right="0.75" top="1" bottom="1" header="0.5" footer="0.5"/>
  <pageSetup orientation="portrait" horizontalDpi="4294967292" verticalDpi="4294967292"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5"/>
    <pageSetUpPr autoPageBreaks="0"/>
  </sheetPr>
  <dimension ref="A1:AB75"/>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176</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Started'!B6+6," Budget")</f>
        <v>Eligibility Standard -- Exceptions to MOE as Permitted by 34 CFR §300.204 and Adjustment to MOE as Permitted by 34 CFR §300.205 -- Projections for State Fiscal Year 2027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Started'!B6+6)</f>
        <v>Compliance Standard -- Exceptions to MOE as Permitted by 34 CFR §300.204 and Adjustment to MOE as Permitted by 34 CFR §300.205 -- Final Expenditures for  State Fiscal Year 2027</v>
      </c>
      <c r="I3" s="61"/>
      <c r="J3" s="61"/>
      <c r="K3" s="61"/>
      <c r="L3" s="61"/>
      <c r="M3" s="62"/>
      <c r="O3" s="64"/>
      <c r="P3" s="64"/>
      <c r="Q3" s="64"/>
      <c r="R3" s="64"/>
      <c r="S3" s="64"/>
      <c r="T3" s="64"/>
    </row>
    <row r="4" spans="1:20">
      <c r="A4" s="65" t="s">
        <v>59</v>
      </c>
      <c r="B4" s="66"/>
      <c r="C4" s="67"/>
      <c r="D4" s="67"/>
      <c r="E4" s="67"/>
      <c r="F4" s="68"/>
      <c r="G4" s="473"/>
      <c r="H4" s="65" t="s">
        <v>59</v>
      </c>
      <c r="I4" s="66"/>
      <c r="J4" s="67"/>
      <c r="K4" s="67"/>
      <c r="L4" s="67"/>
      <c r="M4" s="68"/>
      <c r="N4" s="70"/>
      <c r="O4" s="70"/>
      <c r="P4" s="70"/>
      <c r="Q4" s="70"/>
      <c r="R4" s="70"/>
      <c r="S4" s="70"/>
    </row>
    <row r="5" spans="1:20">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c r="A8" s="186"/>
      <c r="B8" s="187"/>
      <c r="C8" s="187"/>
      <c r="D8" s="188"/>
      <c r="E8" s="188"/>
      <c r="F8" s="84">
        <f>D8+E8</f>
        <v>0</v>
      </c>
      <c r="G8" s="473"/>
      <c r="H8" s="186"/>
      <c r="I8" s="187"/>
      <c r="J8" s="187"/>
      <c r="K8" s="188"/>
      <c r="L8" s="188"/>
      <c r="M8" s="84">
        <f>K8+L8</f>
        <v>0</v>
      </c>
      <c r="N8" s="85"/>
      <c r="O8" s="85"/>
    </row>
    <row r="9" spans="1:20">
      <c r="A9" s="186"/>
      <c r="B9" s="187"/>
      <c r="C9" s="187"/>
      <c r="D9" s="188"/>
      <c r="E9" s="188"/>
      <c r="F9" s="84">
        <f>D9+E9</f>
        <v>0</v>
      </c>
      <c r="G9" s="473"/>
      <c r="H9" s="186"/>
      <c r="I9" s="187"/>
      <c r="J9" s="187"/>
      <c r="K9" s="188"/>
      <c r="L9" s="188"/>
      <c r="M9" s="84">
        <f>K9+L9</f>
        <v>0</v>
      </c>
      <c r="N9" s="85"/>
      <c r="O9" s="85"/>
    </row>
    <row r="10" spans="1:20">
      <c r="A10" s="186"/>
      <c r="B10" s="187"/>
      <c r="C10" s="187"/>
      <c r="D10" s="188"/>
      <c r="E10" s="188"/>
      <c r="F10" s="84">
        <f>D10+E10</f>
        <v>0</v>
      </c>
      <c r="G10" s="473"/>
      <c r="H10" s="186"/>
      <c r="I10" s="187"/>
      <c r="J10" s="187"/>
      <c r="K10" s="188"/>
      <c r="L10" s="188"/>
      <c r="M10" s="84">
        <f>K10+L10</f>
        <v>0</v>
      </c>
      <c r="N10" s="85"/>
      <c r="O10" s="85"/>
    </row>
    <row r="11" spans="1:20">
      <c r="A11" s="186"/>
      <c r="B11" s="187"/>
      <c r="C11" s="187"/>
      <c r="D11" s="188"/>
      <c r="E11" s="188"/>
      <c r="F11" s="84">
        <f>D11+E11</f>
        <v>0</v>
      </c>
      <c r="G11" s="473"/>
      <c r="H11" s="186"/>
      <c r="I11" s="187"/>
      <c r="J11" s="187"/>
      <c r="K11" s="188"/>
      <c r="L11" s="188"/>
      <c r="M11" s="84">
        <f>K11+L11</f>
        <v>0</v>
      </c>
      <c r="N11" s="85"/>
      <c r="O11" s="85"/>
    </row>
    <row r="12" spans="1:20">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3"/>
      <c r="H16" s="189"/>
      <c r="I16" s="190"/>
      <c r="J16" s="100"/>
      <c r="K16" s="188"/>
      <c r="L16" s="188"/>
      <c r="M16" s="84">
        <f t="shared" ref="M16:M20" si="3">K16+L16</f>
        <v>0</v>
      </c>
      <c r="N16" s="85"/>
      <c r="O16" s="85"/>
    </row>
    <row r="17" spans="1:19">
      <c r="A17" s="189"/>
      <c r="B17" s="190"/>
      <c r="C17" s="100"/>
      <c r="D17" s="188"/>
      <c r="E17" s="188"/>
      <c r="F17" s="84">
        <f t="shared" si="2"/>
        <v>0</v>
      </c>
      <c r="G17" s="473"/>
      <c r="H17" s="189"/>
      <c r="I17" s="190"/>
      <c r="J17" s="100"/>
      <c r="K17" s="188"/>
      <c r="L17" s="188"/>
      <c r="M17" s="84">
        <f t="shared" si="3"/>
        <v>0</v>
      </c>
      <c r="N17" s="85"/>
      <c r="O17" s="85"/>
    </row>
    <row r="18" spans="1:19">
      <c r="A18" s="189"/>
      <c r="B18" s="190"/>
      <c r="C18" s="100"/>
      <c r="D18" s="188"/>
      <c r="E18" s="188"/>
      <c r="F18" s="84">
        <f t="shared" si="2"/>
        <v>0</v>
      </c>
      <c r="G18" s="473"/>
      <c r="H18" s="189"/>
      <c r="I18" s="190"/>
      <c r="J18" s="100"/>
      <c r="K18" s="188"/>
      <c r="L18" s="188"/>
      <c r="M18" s="84">
        <f t="shared" si="3"/>
        <v>0</v>
      </c>
      <c r="N18" s="85"/>
      <c r="O18" s="85"/>
    </row>
    <row r="19" spans="1:19">
      <c r="A19" s="189"/>
      <c r="B19" s="190"/>
      <c r="C19" s="100"/>
      <c r="D19" s="188"/>
      <c r="E19" s="188"/>
      <c r="F19" s="84">
        <f t="shared" si="2"/>
        <v>0</v>
      </c>
      <c r="G19" s="473"/>
      <c r="H19" s="189"/>
      <c r="I19" s="190"/>
      <c r="J19" s="100"/>
      <c r="K19" s="188"/>
      <c r="L19" s="188"/>
      <c r="M19" s="84">
        <f t="shared" si="3"/>
        <v>0</v>
      </c>
      <c r="N19" s="85"/>
      <c r="O19" s="85"/>
    </row>
    <row r="20" spans="1:19">
      <c r="A20" s="189"/>
      <c r="B20" s="190"/>
      <c r="C20" s="100"/>
      <c r="D20" s="188"/>
      <c r="E20" s="188"/>
      <c r="F20" s="84">
        <f t="shared" si="2"/>
        <v>0</v>
      </c>
      <c r="G20" s="473"/>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c r="A24" s="112" t="s">
        <v>105</v>
      </c>
      <c r="B24" s="113"/>
      <c r="C24" s="113"/>
      <c r="D24" s="63"/>
      <c r="E24" s="120"/>
      <c r="F24" s="120"/>
      <c r="G24" s="473"/>
      <c r="H24" s="112" t="s">
        <v>105</v>
      </c>
      <c r="I24" s="113"/>
      <c r="J24" s="113"/>
      <c r="K24" s="63"/>
      <c r="L24" s="120"/>
      <c r="M24" s="120"/>
      <c r="N24" s="119"/>
      <c r="O24" s="119"/>
      <c r="P24" s="119"/>
      <c r="Q24" s="119"/>
    </row>
    <row r="25" spans="1:19">
      <c r="A25" s="121" t="s">
        <v>71</v>
      </c>
      <c r="B25" s="122" t="s">
        <v>77</v>
      </c>
      <c r="C25" s="123"/>
      <c r="D25" s="124"/>
      <c r="E25" s="123"/>
      <c r="F25" s="123"/>
      <c r="G25" s="473"/>
      <c r="H25" s="121" t="s">
        <v>71</v>
      </c>
      <c r="I25" s="122" t="s">
        <v>77</v>
      </c>
      <c r="J25" s="123"/>
      <c r="K25" s="124"/>
      <c r="L25" s="123"/>
      <c r="M25" s="123"/>
      <c r="N25" s="119"/>
      <c r="O25" s="119"/>
      <c r="P25" s="119"/>
      <c r="Q25" s="119"/>
    </row>
    <row r="26" spans="1:19">
      <c r="A26" s="125" t="str">
        <f>CONCATENATE("SFY ",'2. Getting Started'!B6+6," Projected Child Count")</f>
        <v>SFY 2027 Projected Child Count</v>
      </c>
      <c r="B26" s="126" t="str">
        <f>IF('23. Year 7 Amounts'!B1="","",'23. Year 7 Amounts'!B1)</f>
        <v/>
      </c>
      <c r="C26" s="123"/>
      <c r="D26" s="124"/>
      <c r="E26" s="123"/>
      <c r="F26" s="123"/>
      <c r="G26" s="473"/>
      <c r="H26" s="125" t="str">
        <f>CONCATENATE("SFY ",'2. Getting Started'!B6+6," Child Count")</f>
        <v>SFY 2027 Child Count</v>
      </c>
      <c r="I26" s="126" t="str">
        <f>IF('23. Year 7 Amounts'!I1="","",'23. Year 7 Amounts'!I1)</f>
        <v/>
      </c>
      <c r="J26" s="123"/>
      <c r="K26" s="124"/>
      <c r="L26" s="123"/>
      <c r="M26" s="123"/>
      <c r="N26" s="119"/>
      <c r="O26" s="119"/>
      <c r="P26" s="119"/>
      <c r="Q26" s="119"/>
    </row>
    <row r="27" spans="1:19">
      <c r="A27" s="125" t="str">
        <f>CONCATENATE("SFY ",'2. Getting Started'!B6+5," Projected Child Count")</f>
        <v>SFY 2026 Projected Child Count</v>
      </c>
      <c r="B27" s="126" t="str">
        <f>IF('20. Year 6 Amounts'!B1="","",'20. Year 6 Amounts'!B1)</f>
        <v/>
      </c>
      <c r="C27" s="119"/>
      <c r="D27" s="128"/>
      <c r="E27" s="119"/>
      <c r="F27" s="123"/>
      <c r="G27" s="473"/>
      <c r="H27" s="125" t="str">
        <f>CONCATENATE("SFY ",'2. Getting Started'!B6+5," Child Count")</f>
        <v>SFY 2026 Child Count</v>
      </c>
      <c r="I27" s="126" t="str">
        <f>IF('20. Year 6 Amounts'!I1="","",'20. Year 6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3"/>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3"/>
      <c r="H29" s="133" t="s">
        <v>79</v>
      </c>
      <c r="I29" s="134" t="str">
        <f>IF(I26="","",IF(I28&lt;=0,ABS(I28/I27),""))</f>
        <v/>
      </c>
      <c r="J29" s="135"/>
      <c r="K29" s="136"/>
      <c r="L29" s="135"/>
      <c r="M29" s="10"/>
      <c r="N29" s="137"/>
      <c r="O29" s="137"/>
      <c r="P29" s="138"/>
      <c r="Q29" s="138"/>
    </row>
    <row r="30" spans="1:19">
      <c r="A30" s="115" t="s">
        <v>71</v>
      </c>
      <c r="B30" s="116" t="s">
        <v>0</v>
      </c>
      <c r="C30" s="116" t="s">
        <v>2</v>
      </c>
      <c r="D30" s="10"/>
      <c r="E30" s="72"/>
      <c r="F30" s="72"/>
      <c r="G30" s="473"/>
      <c r="H30" s="115" t="s">
        <v>71</v>
      </c>
      <c r="I30" s="116" t="s">
        <v>75</v>
      </c>
      <c r="J30" s="116" t="s">
        <v>76</v>
      </c>
      <c r="K30" s="10"/>
      <c r="L30" s="72"/>
      <c r="M30" s="72"/>
      <c r="N30" s="138"/>
      <c r="O30" s="138"/>
    </row>
    <row r="31" spans="1:19">
      <c r="A31" s="139" t="str">
        <f>CONCATENATE("SFY ",'2. Getting Started'!B6+5," Budget")</f>
        <v>SFY 2026 Budget</v>
      </c>
      <c r="B31" s="140" t="str">
        <f>IF('20. Year 6 Amounts'!D30="","",'20. Year 6 Amounts'!D30)</f>
        <v/>
      </c>
      <c r="C31" s="140" t="str">
        <f>IF('20. Year 6 Amounts'!F30="","",'20. Year 6 Amounts'!F30)</f>
        <v/>
      </c>
      <c r="D31" s="141"/>
      <c r="E31" s="74"/>
      <c r="F31" s="74"/>
      <c r="G31" s="473"/>
      <c r="H31" s="139" t="str">
        <f>CONCATENATE("SFY ",'2. Getting Started'!B6+5," Final Expenditures")</f>
        <v>SFY 2026 Final Expenditures</v>
      </c>
      <c r="I31" s="140" t="str">
        <f>IF('20. Year 6 Amounts'!K30="","",'20. Year 6 Amounts'!K30)</f>
        <v/>
      </c>
      <c r="J31" s="140" t="str">
        <f>IF('20. Year 6 Amounts'!M30="","",'20. Year 6 Amounts'!M30)</f>
        <v/>
      </c>
      <c r="K31" s="142"/>
      <c r="L31" s="74"/>
      <c r="M31" s="74"/>
    </row>
    <row r="32" spans="1:19">
      <c r="A32" s="117" t="s">
        <v>80</v>
      </c>
      <c r="B32" s="143" t="str">
        <f>IF(OR($B26="",B29="",B31=""),"",($B29*B31))</f>
        <v/>
      </c>
      <c r="C32" s="143" t="str">
        <f>IF(OR($B26="",B29="",C31=""),"",($B29*C31))</f>
        <v/>
      </c>
      <c r="D32" s="142"/>
      <c r="E32" s="118"/>
      <c r="F32" s="118"/>
      <c r="G32" s="473"/>
      <c r="H32" s="117" t="s">
        <v>81</v>
      </c>
      <c r="I32" s="143" t="str">
        <f>IF(OR($I26="",I29="",I31=""),"",($I29*I31))</f>
        <v/>
      </c>
      <c r="J32" s="143" t="str">
        <f>IF(OR($I26="",I29="",J31=""),"",($I29*J31))</f>
        <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c r="A55" s="167" t="str">
        <f>IF('3b. High Cost Fund'!$B9="No","This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Fund'!$B9="No","This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Fund'!$B9="No","","SEA under §300.704. MUST be explicitly permitted by the SEA.")</f>
        <v>SEA under §300.704. MUST be explicitly permitted by the SEA.</v>
      </c>
      <c r="B56" s="168"/>
      <c r="C56" s="169"/>
      <c r="D56" s="170"/>
      <c r="E56" s="163"/>
      <c r="F56" s="144"/>
      <c r="G56" s="473"/>
      <c r="H56" s="71" t="str">
        <f>IF('3b. High Cost Fund'!$B9="No","","SEA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Fund'!$B9="No"),"Invalid entry. This exception is valid only in states with high-cost funds. If your state has a high-cost fund, please indicate that on tab 3b.","")</f>
        <v/>
      </c>
      <c r="D58" s="144"/>
      <c r="E58" s="144"/>
      <c r="F58" s="10"/>
      <c r="G58" s="473"/>
      <c r="H58" s="196"/>
      <c r="I58" s="197"/>
      <c r="J58" s="337" t="str">
        <f>IF(AND(I58&lt;&gt;"",'3b. High Cost Fund'!$B9="No"),"Invalid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3"/>
      <c r="H59" s="196"/>
      <c r="I59" s="197"/>
      <c r="J59" s="144"/>
      <c r="K59" s="10"/>
      <c r="L59" s="10"/>
      <c r="M59" s="10"/>
    </row>
    <row r="60" spans="1:26">
      <c r="A60" s="196"/>
      <c r="B60" s="197"/>
      <c r="C60" s="144"/>
      <c r="D60" s="10"/>
      <c r="E60" s="10"/>
      <c r="F60" s="10"/>
      <c r="G60" s="473"/>
      <c r="H60" s="196"/>
      <c r="I60" s="197"/>
      <c r="J60" s="144"/>
      <c r="K60" s="10"/>
      <c r="L60" s="10"/>
      <c r="M60" s="10"/>
    </row>
    <row r="61" spans="1:26">
      <c r="A61" s="196"/>
      <c r="B61" s="197"/>
      <c r="C61" s="144"/>
      <c r="D61" s="10"/>
      <c r="E61" s="10"/>
      <c r="F61" s="10"/>
      <c r="G61" s="473"/>
      <c r="H61" s="196"/>
      <c r="I61" s="197"/>
      <c r="J61" s="144"/>
      <c r="K61" s="10"/>
      <c r="L61" s="10"/>
      <c r="M61" s="10"/>
    </row>
    <row r="62" spans="1:26">
      <c r="A62" s="196"/>
      <c r="B62" s="197"/>
      <c r="C62" s="144"/>
      <c r="D62" s="10"/>
      <c r="E62" s="10"/>
      <c r="F62" s="10"/>
      <c r="G62" s="473"/>
      <c r="H62" s="196"/>
      <c r="I62" s="197"/>
      <c r="J62" s="144"/>
      <c r="K62" s="10"/>
      <c r="L62" s="10"/>
      <c r="M62" s="10"/>
    </row>
    <row r="63" spans="1:26">
      <c r="A63" s="173" t="s">
        <v>89</v>
      </c>
      <c r="B63" s="174">
        <f>IF('3b. High Cost Fund'!$B9="No",0,SUM(B58:B62))</f>
        <v>0</v>
      </c>
      <c r="C63" s="144"/>
      <c r="D63" s="10"/>
      <c r="E63" s="10"/>
      <c r="F63" s="10"/>
      <c r="G63" s="473"/>
      <c r="H63" s="175" t="s">
        <v>90</v>
      </c>
      <c r="I63" s="174">
        <f>IF('3b. High Cost Fund'!$B9="No",0,SUM(I58:I62))</f>
        <v>0</v>
      </c>
      <c r="J63" s="144"/>
      <c r="K63" s="10"/>
      <c r="L63" s="10"/>
      <c r="M63" s="10"/>
    </row>
    <row r="64" spans="1:26" ht="16" thickBot="1">
      <c r="A64" s="470" t="s">
        <v>22</v>
      </c>
      <c r="B64" s="470"/>
      <c r="C64" s="144"/>
      <c r="D64" s="10"/>
      <c r="E64" s="10"/>
      <c r="F64" s="10"/>
      <c r="G64" s="473"/>
      <c r="H64" s="470" t="s">
        <v>22</v>
      </c>
      <c r="I64" s="470"/>
      <c r="J64" s="144"/>
      <c r="K64" s="10"/>
      <c r="L64" s="10"/>
      <c r="M64" s="10"/>
    </row>
    <row r="65" spans="1:13">
      <c r="A65" s="347" t="s">
        <v>107</v>
      </c>
      <c r="B65" s="348"/>
      <c r="C65" s="144"/>
      <c r="D65" s="10"/>
      <c r="E65" s="10"/>
      <c r="F65" s="10"/>
      <c r="G65" s="473"/>
      <c r="H65" s="347" t="s">
        <v>106</v>
      </c>
      <c r="I65" s="348"/>
      <c r="J65" s="144"/>
      <c r="K65" s="10"/>
      <c r="L65" s="10"/>
      <c r="M65" s="10"/>
    </row>
    <row r="66" spans="1:13">
      <c r="A66" s="242" t="s">
        <v>123</v>
      </c>
      <c r="B66" s="265" t="s">
        <v>124</v>
      </c>
      <c r="C66" s="144"/>
      <c r="D66" s="10"/>
      <c r="E66" s="10"/>
      <c r="F66" s="10"/>
      <c r="G66" s="473"/>
      <c r="H66" s="269" t="s">
        <v>123</v>
      </c>
      <c r="I66" s="270" t="s">
        <v>124</v>
      </c>
      <c r="J66" s="144"/>
      <c r="K66" s="10"/>
      <c r="L66" s="10"/>
      <c r="M66" s="10"/>
    </row>
    <row r="67" spans="1:13">
      <c r="A67" s="103" t="s">
        <v>0</v>
      </c>
      <c r="B67" s="240">
        <f>IF(B$28&gt;=0,(F$22+C$43+B$53+B$63),(F$22+C$43+B$53+B$63+B$32))</f>
        <v>0</v>
      </c>
      <c r="C67" s="144"/>
      <c r="D67" s="10"/>
      <c r="E67" s="10"/>
      <c r="F67" s="10"/>
      <c r="G67" s="473"/>
      <c r="H67" s="103" t="s">
        <v>0</v>
      </c>
      <c r="I67" s="240">
        <f>IF(I$28&gt;=0,(M$22+J$43+I$53+I$63),(M$22+J$43+I$53+I$63+I$32))</f>
        <v>0</v>
      </c>
      <c r="J67" s="144"/>
      <c r="K67" s="10"/>
      <c r="L67" s="10"/>
      <c r="M67" s="10"/>
    </row>
    <row r="68" spans="1:13">
      <c r="A68" s="241" t="s">
        <v>2</v>
      </c>
      <c r="B68" s="174">
        <f>IF(B$28&gt;=0,(F$22+C$43+B$53+B$63),(F$22+C$43+B$53+B$63+C$32))</f>
        <v>0</v>
      </c>
      <c r="C68" s="144"/>
      <c r="D68" s="10"/>
      <c r="E68" s="10"/>
      <c r="F68" s="10"/>
      <c r="G68" s="473"/>
      <c r="H68" s="241" t="s">
        <v>2</v>
      </c>
      <c r="I68" s="174">
        <f>IF(I$28&gt;=0,(M$22+J$43+I$53+I$63),(M$22+J$43+I$53+I$63+J$32))</f>
        <v>0</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c r="A71" s="179" t="s">
        <v>71</v>
      </c>
      <c r="B71" s="180" t="s">
        <v>99</v>
      </c>
      <c r="C71" s="11" t="s">
        <v>100</v>
      </c>
      <c r="E71" s="10"/>
      <c r="F71" s="10"/>
      <c r="G71" s="473"/>
      <c r="H71" s="179" t="s">
        <v>71</v>
      </c>
      <c r="I71" s="180" t="s">
        <v>101</v>
      </c>
      <c r="J71" s="11" t="s">
        <v>100</v>
      </c>
      <c r="K71" s="10"/>
      <c r="L71" s="10"/>
      <c r="M71" s="10"/>
    </row>
    <row r="72" spans="1:13">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c r="A74" s="358" t="s">
        <v>182</v>
      </c>
      <c r="B74" s="184"/>
      <c r="C74" s="184"/>
      <c r="D74" s="184"/>
      <c r="E74" s="184"/>
      <c r="F74" s="184"/>
      <c r="G74" s="473"/>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CR1HkriwCjl+Y7EJHWeIn4/RVQE8LkLkLhYTPxe+S/KT4CuY9WST24NnGBjtWjwJK2TmXJtha1IMtctefgSMTA==" saltValue="MN8h8Rw9DTUnQsveplV84w=="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86" priority="3" operator="containsText" text="not valid">
      <formula>NOT(ISERROR(SEARCH("not valid",A55)))</formula>
    </cfRule>
  </conditionalFormatting>
  <conditionalFormatting sqref="H55">
    <cfRule type="containsText" dxfId="185" priority="1" operator="containsText" text="not valid">
      <formula>NOT(ISERROR(SEARCH("not valid",H55)))</formula>
    </cfRule>
  </conditionalFormatting>
  <dataValidations count="1">
    <dataValidation type="list" allowBlank="1" showInputMessage="1" showErrorMessage="1" sqref="B38:B42 I38:I42" xr:uid="{00000000-0002-0000-1900-000000000000}">
      <formula1>Exception_c</formula1>
    </dataValidation>
  </dataValidations>
  <hyperlinks>
    <hyperlink ref="C72" r:id="rId1" xr:uid="{00000000-0004-0000-1900-000000000000}"/>
    <hyperlink ref="J72" r:id="rId2" xr:uid="{00000000-0004-0000-1900-000001000000}"/>
    <hyperlink ref="A74" r:id="rId3" xr:uid="{00000000-0004-0000-19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0070C0"/>
  </sheetPr>
  <dimension ref="A1:F43"/>
  <sheetViews>
    <sheetView showGridLines="0" workbookViewId="0">
      <selection activeCell="A5" sqref="A5"/>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7: State Fiscal Year ",'2. Getting Started'!B6+6)</f>
        <v>Summary of Year 7: State Fiscal Year 2027</v>
      </c>
      <c r="B1" s="299"/>
      <c r="C1" s="299"/>
      <c r="D1" s="21" t="s">
        <v>14</v>
      </c>
      <c r="E1" s="20" t="str">
        <f>IF('2. Getting Started'!B2="","",'2. Getting Started'!B2)</f>
        <v/>
      </c>
    </row>
    <row r="2" spans="1:5" ht="18.5">
      <c r="A2" s="2" t="str">
        <f>CONCATENATE("State fiscal year ",'2. Getting Started'!B6+6," covers the period ",'2. Getting Started'!B4,", ",'2. Getting Started'!B6+5," through ",'2. Getting Started'!B5,", ",'2. Getting Started'!B6+6)</f>
        <v>State fiscal year 2027 covers the period July 1, 2026 through June 30, 2027</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'23. Year 7 Amounts'!D30</f>
        <v/>
      </c>
      <c r="C8" s="205" t="str">
        <f>'23. Year 7 Amounts'!F30</f>
        <v/>
      </c>
      <c r="D8" s="205" t="str">
        <f>'23. Year 7 Amounts'!D31</f>
        <v/>
      </c>
      <c r="E8" s="267" t="str">
        <f>'23. Year 7 Amounts'!F31</f>
        <v/>
      </c>
    </row>
    <row r="9" spans="1:5">
      <c r="A9" s="243" t="s">
        <v>117</v>
      </c>
      <c r="B9" s="201" t="str">
        <f>IF(B8="","",IF(B8&gt;=B7,"Met",IF(AND(B8&lt;B7,'38. Total Local Funds'!$B62="Met"),"Met with Exceptions &amp; Adjustments","Did Not Meet")))</f>
        <v/>
      </c>
      <c r="C9" s="201" t="str">
        <f>IF(C8="","",IF(C8&gt;=C7,"Met",IF(AND(C8&lt;C7,'39. Total State &amp; Local Funds'!$B62="Met"),"Met with Exceptions &amp; Adjustments","Did Not Meet")))</f>
        <v/>
      </c>
      <c r="D9" s="201" t="str">
        <f>IF(D8="","",IF(D8&gt;=D7,"Met",IF(AND(D8&lt;D7,'40. Local Funds Per Capita'!$B63="Met"),"Met with Exceptions &amp; Adjustments","Did Not Meet")))</f>
        <v/>
      </c>
      <c r="E9" s="259" t="str">
        <f>IF(E8="","",IF(E8&gt;=E7,"Met",IF(AND(E8&lt;E7,'41. State &amp; Local Funds Per Cap'!$B63="Met"),"Met with Exceptions &amp; Adjustments","Did Not Meet")))</f>
        <v/>
      </c>
    </row>
    <row r="10" spans="1:5">
      <c r="A10" s="246" t="s">
        <v>46</v>
      </c>
      <c r="B10" s="256" t="str">
        <f>IF(B9="","",IF(B9="Did Not Meet",'38. Total Local Funds'!$B60-'38. Total Local Funds'!$B61,0))</f>
        <v/>
      </c>
      <c r="C10" s="256" t="str">
        <f>IF(C9="","",IF(C9="Did Not Meet",'39. Total State &amp; Local Funds'!$B60-'39. Total State &amp; Local Funds'!$B61,0))</f>
        <v/>
      </c>
      <c r="D10" s="256" t="str">
        <f>IF(D9="","",IF(D9="Did Not Meet",(('40. Local Funds Per Capita'!$B61-'40. Local Funds Per Capita'!$B62)*'23. Year 7 Amounts'!B1),0))</f>
        <v/>
      </c>
      <c r="E10" s="261" t="str">
        <f>IF(E9="","",IF(E9="Did Not Meet",(('41. State &amp; Local Funds Per Cap'!$B61-'41. State &amp; Local Funds Per Cap'!$B62)*'23. Year 7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'23. Year 7 Amounts'!K30</f>
        <v/>
      </c>
      <c r="C16" s="17" t="str">
        <f>'23. Year 7 Amounts'!M30</f>
        <v/>
      </c>
      <c r="D16" s="17" t="str">
        <f>'23. Year 7 Amounts'!K31</f>
        <v/>
      </c>
      <c r="E16" s="258" t="str">
        <f>'23. Year 7 Amounts'!M31</f>
        <v/>
      </c>
    </row>
    <row r="17" spans="1:5">
      <c r="A17" s="243" t="s">
        <v>117</v>
      </c>
      <c r="B17" s="201" t="str">
        <f>IF(B16="","",IF(B16&gt;=B15,"Met",IF(AND(B16&lt;B15,'38. Total Local Funds'!F62="Met"),"Met with Exceptions &amp; Adjustments","Did Not Meet")))</f>
        <v/>
      </c>
      <c r="C17" s="201" t="str">
        <f>IF(C16="","",IF(C16&gt;=C15,"Met",IF(AND(C16&lt;C15,'39. Total State &amp; Local Funds'!F62="Met"),"Met with Exceptions &amp; Adjustments","Did Not Meet")))</f>
        <v/>
      </c>
      <c r="D17" s="201" t="str">
        <f>IF(D16="","",IF(D16&gt;=D15,"Met",IF(AND(D16&lt;D15,'40. Local Funds Per Capita'!F63="Met"),"Met with Exceptions &amp; Adjustments","Did Not Meet")))</f>
        <v/>
      </c>
      <c r="E17" s="259" t="str">
        <f>IF(E16="","",IF(E16&gt;=E15,"Met",IF(AND(E16&lt;E15,'41. State &amp; Local Funds Per Cap'!F63="Met"),"Met with Exceptions &amp; Adjustments","Did Not Meet")))</f>
        <v/>
      </c>
    </row>
    <row r="18" spans="1:5">
      <c r="A18" s="246" t="s">
        <v>46</v>
      </c>
      <c r="B18" s="256" t="str">
        <f>IF(B17="","",IF(B17="Did Not Meet",'38. Total Local Funds'!F60-'38. Total Local Funds'!F61,0))</f>
        <v/>
      </c>
      <c r="C18" s="256" t="str">
        <f>IF(C17="","",IF(C17="Did Not Meet",'39. Total State &amp; Local Funds'!F60-'39. Total State &amp; Local Funds'!F61,0))</f>
        <v/>
      </c>
      <c r="D18" s="256" t="str">
        <f>IF(D17="","",IF(D17="Did Not Meet",(('40. Local Funds Per Capita'!F61-'40. Local Funds Per Capita'!F62)*'23. Year 7 Amounts'!I1),0))</f>
        <v/>
      </c>
      <c r="E18" s="261" t="str">
        <f>IF(E17="","",IF(E17="Did Not Meet",(('41. State &amp; Local Funds Per Cap'!F61-'41. State &amp; Local Funds Per Cap'!F62)*'23. Year 7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133</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Started'!B6+6)</f>
        <v>Exceptions and Adjustment Claimed for State Fiscal Year 2027</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'24. Year 7 Exc &amp; Adj'!F22</f>
        <v>0</v>
      </c>
      <c r="C34" s="258">
        <f>'24. Year 7 Exc &amp; Adj'!F22</f>
        <v>0</v>
      </c>
      <c r="D34" s="326">
        <f>'24. Year 7 Exc &amp; Adj'!M22</f>
        <v>0</v>
      </c>
      <c r="E34" s="17">
        <f>'24. Year 7 Exc &amp; Adj'!M22</f>
        <v>0</v>
      </c>
    </row>
    <row r="35" spans="1:5">
      <c r="A35" s="224" t="s">
        <v>140</v>
      </c>
      <c r="B35" s="17" t="str">
        <f>'24. Year 7 Exc &amp; Adj'!B32</f>
        <v/>
      </c>
      <c r="C35" s="258" t="str">
        <f>'24. Year 7 Exc &amp; Adj'!C32</f>
        <v/>
      </c>
      <c r="D35" s="326" t="str">
        <f>'24. Year 7 Exc &amp; Adj'!I32</f>
        <v/>
      </c>
      <c r="E35" s="258" t="str">
        <f>'24. Year 7 Exc &amp; Adj'!J32</f>
        <v/>
      </c>
    </row>
    <row r="36" spans="1:5">
      <c r="A36" s="224" t="s">
        <v>141</v>
      </c>
      <c r="B36" s="17">
        <f>'24. Year 7 Exc &amp; Adj'!C43</f>
        <v>0</v>
      </c>
      <c r="C36" s="258">
        <f>'24. Year 7 Exc &amp; Adj'!C43</f>
        <v>0</v>
      </c>
      <c r="D36" s="326">
        <f>'24. Year 7 Exc &amp; Adj'!J43</f>
        <v>0</v>
      </c>
      <c r="E36" s="17">
        <f>'24. Year 7 Exc &amp; Adj'!J43</f>
        <v>0</v>
      </c>
    </row>
    <row r="37" spans="1:5">
      <c r="A37" s="224" t="s">
        <v>142</v>
      </c>
      <c r="B37" s="17">
        <f>'24. Year 7 Exc &amp; Adj'!B53</f>
        <v>0</v>
      </c>
      <c r="C37" s="258">
        <f>'24. Year 7 Exc &amp; Adj'!B53</f>
        <v>0</v>
      </c>
      <c r="D37" s="326">
        <f>'24. Year 7 Exc &amp; Adj'!I53</f>
        <v>0</v>
      </c>
      <c r="E37" s="17">
        <f>'24. Year 7 Exc &amp; Adj'!I53</f>
        <v>0</v>
      </c>
    </row>
    <row r="38" spans="1:5">
      <c r="A38" s="224" t="str">
        <f>IF('3b. High Cost Fund'!$B9="No","This exception is not valid for your state.","Exception (e)")</f>
        <v>Exception (e)</v>
      </c>
      <c r="B38" s="331">
        <f>IF('3b. High Cost Fund'!$B9="No","",'24. Year 7 Exc &amp; Adj'!B63)</f>
        <v>0</v>
      </c>
      <c r="C38" s="332">
        <f>IF('3b. High Cost Fund'!$B9="No","",'24. Year 7 Exc &amp; Adj'!B63)</f>
        <v>0</v>
      </c>
      <c r="D38" s="326">
        <f>IF('3b. High Cost Fund'!$B9="No","",'24. Year 7 Exc &amp; Adj'!I63)</f>
        <v>0</v>
      </c>
      <c r="E38" s="331">
        <f>IF('3b. High Cost Fund'!$B9="No","",'24. Year 7 Exc &amp; Adj'!I63)</f>
        <v>0</v>
      </c>
    </row>
    <row r="39" spans="1:5">
      <c r="A39" s="224" t="s">
        <v>143</v>
      </c>
      <c r="B39" s="17">
        <f>AdjDataYear7Budget[Projected Adjustment]</f>
        <v>0</v>
      </c>
      <c r="C39" s="17">
        <f>AdjDataYear7Budget[Projected Adjustment]</f>
        <v>0</v>
      </c>
      <c r="D39" s="327">
        <f>AdjDataYear7Expenditures[[Adjustment ]]</f>
        <v>0</v>
      </c>
      <c r="E39" s="17">
        <f>AdjDataYear7Expenditures[[Adjustment ]]</f>
        <v>0</v>
      </c>
    </row>
    <row r="40" spans="1:5">
      <c r="A40" s="246" t="s">
        <v>124</v>
      </c>
      <c r="B40" s="328">
        <f>SUM(B34:B39)</f>
        <v>0</v>
      </c>
      <c r="C40" s="329">
        <f>SUM(C34:C39)</f>
        <v>0</v>
      </c>
      <c r="D40" s="330">
        <f>SUM(D34:D39)</f>
        <v>0</v>
      </c>
      <c r="E40" s="329">
        <f>SUM(E34:E39)</f>
        <v>0</v>
      </c>
    </row>
    <row r="41" spans="1:5" ht="28.5"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piJ5rwUfddHmzrH08m1vO65gBROwKddnhnM8CB+sOOJ3FW2VR2ISdyVXiPcumwafba7KiNnK0iiOC2ObaF0PGQ==" saltValue="sfclPyXN/uEYM0JByfWrkw==" spinCount="100000" sheet="1" objects="1" scenarios="1" formatColumns="0" formatRows="0"/>
  <mergeCells count="5">
    <mergeCell ref="A11:E11"/>
    <mergeCell ref="A19:E19"/>
    <mergeCell ref="A28:E28"/>
    <mergeCell ref="A30:E30"/>
    <mergeCell ref="A43:E43"/>
  </mergeCells>
  <conditionalFormatting sqref="B9:E9">
    <cfRule type="containsText" dxfId="184" priority="3" operator="containsText" text="Did Not Meet">
      <formula>NOT(ISERROR(SEARCH("Did Not Meet",B9)))</formula>
    </cfRule>
    <cfRule type="containsText" dxfId="183" priority="4" operator="containsText" text="Met">
      <formula>NOT(ISERROR(SEARCH("Met",B9)))</formula>
    </cfRule>
  </conditionalFormatting>
  <conditionalFormatting sqref="B17:E17">
    <cfRule type="containsText" dxfId="182" priority="1" operator="containsText" text="Did Not Meet">
      <formula>NOT(ISERROR(SEARCH("Did Not Meet",B17)))</formula>
    </cfRule>
    <cfRule type="containsText" dxfId="181" priority="2" operator="containsText" text="Met">
      <formula>NOT(ISERROR(SEARCH("Met",B17)))</formula>
    </cfRule>
  </conditionalFormatting>
  <hyperlinks>
    <hyperlink ref="A29" location="'4. Multi-Year MOE Summary'!A10" display="Go to the Multi-Year MOE Summary" xr:uid="{00000000-0004-0000-1A00-000000000000}"/>
    <hyperlink ref="A42" r:id="rId1" xr:uid="{00000000-0004-0000-1A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FF0000"/>
    <pageSetUpPr autoPageBreaks="0"/>
  </sheetPr>
  <dimension ref="A1:N35"/>
  <sheetViews>
    <sheetView showGridLines="0" workbookViewId="0">
      <pane ySplit="4" topLeftCell="A23" activePane="bottomLeft" state="frozen"/>
      <selection activeCell="A32" sqref="A32:A33"/>
      <selection pane="bottomLeft" activeCell="A32" sqref="A32:A33"/>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Started'!B6+7," -  LEA Effort - Budgeted Amounts")</f>
        <v>Eligibility Standard - State Fiscal Year 2028 -  LEA Effort - Budgeted Amounts</v>
      </c>
      <c r="B2" s="23"/>
      <c r="C2" s="23"/>
      <c r="D2" s="23"/>
      <c r="E2" s="23"/>
      <c r="F2" s="24"/>
      <c r="G2" s="467"/>
      <c r="H2" s="22" t="str">
        <f>CONCATENATE("Compliance Standard - State Fiscal Year ",'2. Getting Started'!B6+7," - LEA Effort - Final Expenditures")</f>
        <v>Compliance Standard - State Fiscal Year 2028 - LEA Effort - Final Expenditures</v>
      </c>
      <c r="I2" s="23"/>
      <c r="J2" s="23"/>
      <c r="K2" s="23"/>
      <c r="L2" s="23"/>
      <c r="M2" s="24"/>
    </row>
    <row r="3" spans="1:13" s="25" customFormat="1" ht="24" customHeight="1">
      <c r="A3" s="26"/>
      <c r="B3" s="27"/>
      <c r="D3" s="28" t="str">
        <f>CONCATENATE("SFY ",'2. Getting Started'!$B6+7," Budget")</f>
        <v>SFY 2028 Budget</v>
      </c>
      <c r="E3" s="29"/>
      <c r="F3" s="30"/>
      <c r="G3" s="467"/>
      <c r="H3" s="26"/>
      <c r="I3" s="27"/>
      <c r="J3" s="31"/>
      <c r="K3" s="28" t="str">
        <f>CONCATENATE("SFY ",'2. Getting Started'!$B6+7," Final Expenditures")</f>
        <v>SFY 2028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formatColumns="0" formatRows="0"/>
  <mergeCells count="2">
    <mergeCell ref="G1:G31"/>
    <mergeCell ref="A34:M34"/>
  </mergeCells>
  <dataValidations count="2">
    <dataValidation allowBlank="1" showInputMessage="1" showErrorMessage="1" prompt="Don't forget to enter Projected Child Count in Cell B1." sqref="A5" xr:uid="{00000000-0002-0000-1B00-000000000000}"/>
    <dataValidation allowBlank="1" showInputMessage="1" showErrorMessage="1" prompt="Don't forget to enter Child Count in Cell I1." sqref="H5" xr:uid="{00000000-0002-0000-1B00-000001000000}"/>
  </dataValidations>
  <hyperlinks>
    <hyperlink ref="A33" r:id="rId1" xr:uid="{00000000-0004-0000-1B00-000000000000}"/>
  </hyperlinks>
  <pageMargins left="0.75" right="0.75" top="1" bottom="1" header="0.5" footer="0.5"/>
  <pageSetup orientation="portrait" horizontalDpi="4294967292" verticalDpi="4294967292"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4">
    <tabColor rgb="FF00B050"/>
  </sheetPr>
  <dimension ref="A1:AD13"/>
  <sheetViews>
    <sheetView workbookViewId="0">
      <selection activeCell="A5" sqref="A5"/>
    </sheetView>
  </sheetViews>
  <sheetFormatPr defaultColWidth="9.1796875" defaultRowHeight="14.5"/>
  <cols>
    <col min="1" max="1" width="138.81640625" bestFit="1" customWidth="1"/>
    <col min="4" max="4" width="9.1796875" style="361"/>
    <col min="6" max="6" width="9.1796875" style="361"/>
    <col min="8" max="8" width="9.1796875" style="361"/>
    <col min="11" max="11" width="9.1796875" style="361"/>
    <col min="13" max="13" width="9.1796875" style="361"/>
    <col min="15" max="15" width="9.1796875" style="361"/>
    <col min="18" max="18" width="9.1796875" style="361"/>
    <col min="20" max="20" width="9.1796875" style="361"/>
    <col min="22" max="22" width="9.1796875" style="361"/>
    <col min="25" max="25" width="9.1796875" style="361"/>
    <col min="27" max="30" width="9.1796875" style="361"/>
  </cols>
  <sheetData>
    <row r="1" spans="1:1">
      <c r="A1" s="2" t="s">
        <v>1172</v>
      </c>
    </row>
    <row r="2" spans="1:1">
      <c r="A2" t="s">
        <v>1175</v>
      </c>
    </row>
    <row r="3" spans="1:1">
      <c r="A3" s="2" t="s">
        <v>1176</v>
      </c>
    </row>
    <row r="4" spans="1:1">
      <c r="A4" t="s">
        <v>1177</v>
      </c>
    </row>
    <row r="5" spans="1:1">
      <c r="A5" t="s">
        <v>1214</v>
      </c>
    </row>
    <row r="6" spans="1:1">
      <c r="A6" t="s">
        <v>1173</v>
      </c>
    </row>
    <row r="7" spans="1:1">
      <c r="A7" s="2" t="s">
        <v>1178</v>
      </c>
    </row>
    <row r="8" spans="1:1">
      <c r="A8" t="s">
        <v>1179</v>
      </c>
    </row>
    <row r="9" spans="1:1">
      <c r="A9" t="s">
        <v>1180</v>
      </c>
    </row>
    <row r="10" spans="1:1">
      <c r="A10" t="s">
        <v>1182</v>
      </c>
    </row>
    <row r="11" spans="1:1" ht="15.5">
      <c r="A11" s="371" t="s">
        <v>1181</v>
      </c>
    </row>
    <row r="12" spans="1:1">
      <c r="A12" t="s">
        <v>1183</v>
      </c>
    </row>
    <row r="13" spans="1:1">
      <c r="A13" s="2" t="s">
        <v>1174</v>
      </c>
    </row>
  </sheetData>
  <hyperlinks>
    <hyperlink ref="A11" r:id="rId1" xr:uid="{00000000-0004-0000-0100-000000000000}"/>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5"/>
    <pageSetUpPr autoPageBreaks="0"/>
  </sheetPr>
  <dimension ref="A1:AB75"/>
  <sheetViews>
    <sheetView showGridLines="0" zoomScale="90" zoomScaleNormal="90" zoomScalePageLayoutView="90" workbookViewId="0">
      <pane ySplit="3" topLeftCell="A4" activePane="bottomLeft" state="frozen"/>
      <selection activeCell="A32" sqref="A32:A33"/>
      <selection pane="bottomLeft" activeCell="A32" sqref="A32:A33"/>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176</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Started'!B6+7," Budget")</f>
        <v>Eligibility Standard -- Exceptions to MOE as Permitted by 34 CFR §300.204 and Adjustment to MOE as Permitted by 34 CFR §300.205 -- Projections for State Fiscal Year 2028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Started'!B6+7)</f>
        <v>Compliance Standard -- Exceptions to MOE as Permitted by 34 CFR §300.204 and Adjustment to MOE as Permitted by 34 CFR §300.205 -- Final Expenditures for  State Fiscal Year 2028</v>
      </c>
      <c r="I3" s="61"/>
      <c r="J3" s="61"/>
      <c r="K3" s="61"/>
      <c r="L3" s="61"/>
      <c r="M3" s="62"/>
      <c r="O3" s="64"/>
      <c r="P3" s="64"/>
      <c r="Q3" s="64"/>
      <c r="R3" s="64"/>
      <c r="S3" s="64"/>
      <c r="T3" s="64"/>
    </row>
    <row r="4" spans="1:20">
      <c r="A4" s="65" t="s">
        <v>59</v>
      </c>
      <c r="B4" s="66"/>
      <c r="C4" s="67"/>
      <c r="D4" s="67"/>
      <c r="E4" s="67"/>
      <c r="F4" s="68"/>
      <c r="G4" s="473"/>
      <c r="H4" s="65" t="s">
        <v>59</v>
      </c>
      <c r="I4" s="66"/>
      <c r="J4" s="67"/>
      <c r="K4" s="67"/>
      <c r="L4" s="67"/>
      <c r="M4" s="68"/>
      <c r="N4" s="70"/>
      <c r="O4" s="70"/>
      <c r="P4" s="70"/>
      <c r="Q4" s="70"/>
      <c r="R4" s="70"/>
      <c r="S4" s="70"/>
    </row>
    <row r="5" spans="1:20">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c r="A8" s="186"/>
      <c r="B8" s="187"/>
      <c r="C8" s="187"/>
      <c r="D8" s="188"/>
      <c r="E8" s="188"/>
      <c r="F8" s="84">
        <f>D8+E8</f>
        <v>0</v>
      </c>
      <c r="G8" s="473"/>
      <c r="H8" s="186"/>
      <c r="I8" s="187"/>
      <c r="J8" s="187"/>
      <c r="K8" s="188"/>
      <c r="L8" s="188"/>
      <c r="M8" s="84">
        <f>K8+L8</f>
        <v>0</v>
      </c>
      <c r="N8" s="85"/>
      <c r="O8" s="85"/>
    </row>
    <row r="9" spans="1:20">
      <c r="A9" s="186"/>
      <c r="B9" s="187"/>
      <c r="C9" s="187"/>
      <c r="D9" s="188"/>
      <c r="E9" s="188"/>
      <c r="F9" s="84">
        <f>D9+E9</f>
        <v>0</v>
      </c>
      <c r="G9" s="473"/>
      <c r="H9" s="186"/>
      <c r="I9" s="187"/>
      <c r="J9" s="187"/>
      <c r="K9" s="188"/>
      <c r="L9" s="188"/>
      <c r="M9" s="84">
        <f>K9+L9</f>
        <v>0</v>
      </c>
      <c r="N9" s="85"/>
      <c r="O9" s="85"/>
    </row>
    <row r="10" spans="1:20">
      <c r="A10" s="186"/>
      <c r="B10" s="187"/>
      <c r="C10" s="187"/>
      <c r="D10" s="188"/>
      <c r="E10" s="188"/>
      <c r="F10" s="84">
        <f>D10+E10</f>
        <v>0</v>
      </c>
      <c r="G10" s="473"/>
      <c r="H10" s="186"/>
      <c r="I10" s="187"/>
      <c r="J10" s="187"/>
      <c r="K10" s="188"/>
      <c r="L10" s="188"/>
      <c r="M10" s="84">
        <f>K10+L10</f>
        <v>0</v>
      </c>
      <c r="N10" s="85"/>
      <c r="O10" s="85"/>
    </row>
    <row r="11" spans="1:20">
      <c r="A11" s="186"/>
      <c r="B11" s="187"/>
      <c r="C11" s="187"/>
      <c r="D11" s="188"/>
      <c r="E11" s="188"/>
      <c r="F11" s="84">
        <f>D11+E11</f>
        <v>0</v>
      </c>
      <c r="G11" s="473"/>
      <c r="H11" s="186"/>
      <c r="I11" s="187"/>
      <c r="J11" s="187"/>
      <c r="K11" s="188"/>
      <c r="L11" s="188"/>
      <c r="M11" s="84">
        <f>K11+L11</f>
        <v>0</v>
      </c>
      <c r="N11" s="85"/>
      <c r="O11" s="85"/>
    </row>
    <row r="12" spans="1:20">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3"/>
      <c r="H16" s="189"/>
      <c r="I16" s="190"/>
      <c r="J16" s="100"/>
      <c r="K16" s="188"/>
      <c r="L16" s="188"/>
      <c r="M16" s="84">
        <f t="shared" ref="M16:M20" si="3">K16+L16</f>
        <v>0</v>
      </c>
      <c r="N16" s="85"/>
      <c r="O16" s="85"/>
    </row>
    <row r="17" spans="1:19">
      <c r="A17" s="189"/>
      <c r="B17" s="190"/>
      <c r="C17" s="100"/>
      <c r="D17" s="188"/>
      <c r="E17" s="188"/>
      <c r="F17" s="84">
        <f t="shared" si="2"/>
        <v>0</v>
      </c>
      <c r="G17" s="473"/>
      <c r="H17" s="189"/>
      <c r="I17" s="190"/>
      <c r="J17" s="100"/>
      <c r="K17" s="188"/>
      <c r="L17" s="188"/>
      <c r="M17" s="84">
        <f t="shared" si="3"/>
        <v>0</v>
      </c>
      <c r="N17" s="85"/>
      <c r="O17" s="85"/>
    </row>
    <row r="18" spans="1:19">
      <c r="A18" s="189"/>
      <c r="B18" s="190"/>
      <c r="C18" s="100"/>
      <c r="D18" s="188"/>
      <c r="E18" s="188"/>
      <c r="F18" s="84">
        <f t="shared" si="2"/>
        <v>0</v>
      </c>
      <c r="G18" s="473"/>
      <c r="H18" s="189"/>
      <c r="I18" s="190"/>
      <c r="J18" s="100"/>
      <c r="K18" s="188"/>
      <c r="L18" s="188"/>
      <c r="M18" s="84">
        <f t="shared" si="3"/>
        <v>0</v>
      </c>
      <c r="N18" s="85"/>
      <c r="O18" s="85"/>
    </row>
    <row r="19" spans="1:19">
      <c r="A19" s="189"/>
      <c r="B19" s="190"/>
      <c r="C19" s="100"/>
      <c r="D19" s="188"/>
      <c r="E19" s="188"/>
      <c r="F19" s="84">
        <f t="shared" si="2"/>
        <v>0</v>
      </c>
      <c r="G19" s="473"/>
      <c r="H19" s="189"/>
      <c r="I19" s="190"/>
      <c r="J19" s="100"/>
      <c r="K19" s="188"/>
      <c r="L19" s="188"/>
      <c r="M19" s="84">
        <f t="shared" si="3"/>
        <v>0</v>
      </c>
      <c r="N19" s="85"/>
      <c r="O19" s="85"/>
    </row>
    <row r="20" spans="1:19">
      <c r="A20" s="189"/>
      <c r="B20" s="190"/>
      <c r="C20" s="100"/>
      <c r="D20" s="188"/>
      <c r="E20" s="188"/>
      <c r="F20" s="84">
        <f t="shared" si="2"/>
        <v>0</v>
      </c>
      <c r="G20" s="473"/>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c r="A24" s="112" t="s">
        <v>105</v>
      </c>
      <c r="B24" s="113"/>
      <c r="C24" s="113"/>
      <c r="D24" s="63"/>
      <c r="E24" s="120"/>
      <c r="F24" s="120"/>
      <c r="G24" s="473"/>
      <c r="H24" s="112" t="s">
        <v>105</v>
      </c>
      <c r="I24" s="113"/>
      <c r="J24" s="113"/>
      <c r="K24" s="63"/>
      <c r="L24" s="120"/>
      <c r="M24" s="120"/>
      <c r="N24" s="119"/>
      <c r="O24" s="119"/>
      <c r="P24" s="119"/>
      <c r="Q24" s="119"/>
    </row>
    <row r="25" spans="1:19">
      <c r="A25" s="121" t="s">
        <v>71</v>
      </c>
      <c r="B25" s="122" t="s">
        <v>77</v>
      </c>
      <c r="C25" s="123"/>
      <c r="D25" s="124"/>
      <c r="E25" s="123"/>
      <c r="F25" s="123"/>
      <c r="G25" s="473"/>
      <c r="H25" s="121" t="s">
        <v>71</v>
      </c>
      <c r="I25" s="122" t="s">
        <v>77</v>
      </c>
      <c r="J25" s="123"/>
      <c r="K25" s="124"/>
      <c r="L25" s="123"/>
      <c r="M25" s="123"/>
      <c r="N25" s="119"/>
      <c r="O25" s="119"/>
      <c r="P25" s="119"/>
      <c r="Q25" s="119"/>
    </row>
    <row r="26" spans="1:19">
      <c r="A26" s="125" t="str">
        <f>CONCATENATE("SFY ",'2. Getting Started'!B6+7," Projected Child Count")</f>
        <v>SFY 2028 Projected Child Count</v>
      </c>
      <c r="B26" s="126" t="str">
        <f>IF('26. Year 8 Amounts'!B1="","",'26. Year 8 Amounts'!B1)</f>
        <v/>
      </c>
      <c r="C26" s="123"/>
      <c r="D26" s="124"/>
      <c r="E26" s="123"/>
      <c r="F26" s="123"/>
      <c r="G26" s="473"/>
      <c r="H26" s="125" t="str">
        <f>CONCATENATE("SFY ",'2. Getting Started'!B6+7," Child Count")</f>
        <v>SFY 2028 Child Count</v>
      </c>
      <c r="I26" s="126" t="str">
        <f>IF('26. Year 8 Amounts'!I1="","",'26. Year 8 Amounts'!I1)</f>
        <v/>
      </c>
      <c r="J26" s="123"/>
      <c r="K26" s="124"/>
      <c r="L26" s="123"/>
      <c r="M26" s="123"/>
      <c r="N26" s="119"/>
      <c r="O26" s="119"/>
      <c r="P26" s="119"/>
      <c r="Q26" s="119"/>
    </row>
    <row r="27" spans="1:19">
      <c r="A27" s="125" t="str">
        <f>CONCATENATE("SFY ",'2. Getting Started'!B6+6," Projected Child Count")</f>
        <v>SFY 2027 Projected Child Count</v>
      </c>
      <c r="B27" s="126" t="str">
        <f>IF('23. Year 7 Amounts'!B1="","",'23. Year 7 Amounts'!B1)</f>
        <v/>
      </c>
      <c r="C27" s="119"/>
      <c r="D27" s="128"/>
      <c r="E27" s="119"/>
      <c r="F27" s="123"/>
      <c r="G27" s="473"/>
      <c r="H27" s="125" t="str">
        <f>CONCATENATE("SFY ",'2. Getting Started'!B6+6," Child Count")</f>
        <v>SFY 2027 Child Count</v>
      </c>
      <c r="I27" s="126" t="str">
        <f>IF('23. Year 7 Amounts'!I1="","",'23. Year 7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3"/>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3"/>
      <c r="H29" s="133" t="s">
        <v>79</v>
      </c>
      <c r="I29" s="134" t="str">
        <f>IF(I26="","",IF(I28&lt;=0,ABS(I28/I27),""))</f>
        <v/>
      </c>
      <c r="J29" s="135"/>
      <c r="K29" s="136"/>
      <c r="L29" s="135"/>
      <c r="M29" s="10"/>
      <c r="N29" s="137"/>
      <c r="O29" s="137"/>
      <c r="P29" s="138"/>
      <c r="Q29" s="138"/>
    </row>
    <row r="30" spans="1:19">
      <c r="A30" s="115" t="s">
        <v>71</v>
      </c>
      <c r="B30" s="116" t="s">
        <v>0</v>
      </c>
      <c r="C30" s="116" t="s">
        <v>2</v>
      </c>
      <c r="D30" s="10"/>
      <c r="E30" s="72"/>
      <c r="F30" s="72"/>
      <c r="G30" s="473"/>
      <c r="H30" s="115" t="s">
        <v>71</v>
      </c>
      <c r="I30" s="116" t="s">
        <v>75</v>
      </c>
      <c r="J30" s="116" t="s">
        <v>76</v>
      </c>
      <c r="K30" s="10"/>
      <c r="L30" s="72"/>
      <c r="M30" s="72"/>
      <c r="N30" s="138"/>
      <c r="O30" s="138"/>
    </row>
    <row r="31" spans="1:19">
      <c r="A31" s="139" t="str">
        <f>CONCATENATE("SFY ",'2. Getting Started'!B6+6," Budget")</f>
        <v>SFY 2027 Budget</v>
      </c>
      <c r="B31" s="140" t="str">
        <f>IF('23. Year 7 Amounts'!D30="","",'23. Year 7 Amounts'!D30)</f>
        <v/>
      </c>
      <c r="C31" s="140" t="str">
        <f>IF('23. Year 7 Amounts'!F30="","",'23. Year 7 Amounts'!F30)</f>
        <v/>
      </c>
      <c r="D31" s="141"/>
      <c r="E31" s="74"/>
      <c r="F31" s="74"/>
      <c r="G31" s="473"/>
      <c r="H31" s="139" t="str">
        <f>CONCATENATE("SFY ",'2. Getting Started'!B6+6," Final Expenditures")</f>
        <v>SFY 2027 Final Expenditures</v>
      </c>
      <c r="I31" s="140" t="str">
        <f>IF('23. Year 7 Amounts'!K30="","",'23. Year 7 Amounts'!K30)</f>
        <v/>
      </c>
      <c r="J31" s="140" t="str">
        <f>IF('23. Year 7 Amounts'!M30="","",'23. Year 7 Amounts'!M30)</f>
        <v/>
      </c>
      <c r="K31" s="142"/>
      <c r="L31" s="74"/>
      <c r="M31" s="74"/>
    </row>
    <row r="32" spans="1:19">
      <c r="A32" s="117" t="s">
        <v>80</v>
      </c>
      <c r="B32" s="143" t="str">
        <f>IF(OR($B26="",B29="",B31=""),"",($B29*B31))</f>
        <v/>
      </c>
      <c r="C32" s="143" t="str">
        <f>IF(OR($B26="",B29="",C31=""),"",($B29*C31))</f>
        <v/>
      </c>
      <c r="D32" s="142"/>
      <c r="E32" s="118"/>
      <c r="F32" s="118"/>
      <c r="G32" s="473"/>
      <c r="H32" s="117" t="s">
        <v>81</v>
      </c>
      <c r="I32" s="143" t="str">
        <f>IF(OR($I26="",I29="",I31=""),"",($I29*I31))</f>
        <v/>
      </c>
      <c r="J32" s="143" t="str">
        <f>IF(OR($I26="",I29="",J31=""),"",($I29*J31))</f>
        <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c r="A55" s="167" t="str">
        <f>IF('3b. High Cost Fund'!$B10="No","This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Fund'!$B10="No","This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Fund'!$B10="No","","SEA under §300.704. MUST be explicitly permitted by the SEA.")</f>
        <v>SEA under §300.704. MUST be explicitly permitted by the SEA.</v>
      </c>
      <c r="B56" s="168"/>
      <c r="C56" s="169"/>
      <c r="D56" s="170"/>
      <c r="E56" s="163"/>
      <c r="F56" s="144"/>
      <c r="G56" s="473"/>
      <c r="H56" s="71" t="str">
        <f>IF('3b. High Cost Fund'!$B10="No","","SEA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Fund'!$B10="No"),"Invalid entry. This exception is valid only in states with high-cost funds. If your state has a high-cost fund, please indicate that on tab 3b.","")</f>
        <v/>
      </c>
      <c r="D58" s="144"/>
      <c r="E58" s="144"/>
      <c r="F58" s="10"/>
      <c r="G58" s="473"/>
      <c r="H58" s="196"/>
      <c r="I58" s="197"/>
      <c r="J58" s="337" t="str">
        <f>IF(AND(I58&lt;&gt;"",'3b. High Cost Fund'!$B10="No"),"Invalid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3"/>
      <c r="H59" s="196"/>
      <c r="I59" s="197"/>
      <c r="J59" s="144"/>
      <c r="K59" s="10"/>
      <c r="L59" s="10"/>
      <c r="M59" s="10"/>
    </row>
    <row r="60" spans="1:26">
      <c r="A60" s="196"/>
      <c r="B60" s="197"/>
      <c r="C60" s="144"/>
      <c r="D60" s="10"/>
      <c r="E60" s="10"/>
      <c r="F60" s="10"/>
      <c r="G60" s="473"/>
      <c r="H60" s="196"/>
      <c r="I60" s="197"/>
      <c r="J60" s="144"/>
      <c r="K60" s="10"/>
      <c r="L60" s="10"/>
      <c r="M60" s="10"/>
    </row>
    <row r="61" spans="1:26">
      <c r="A61" s="196"/>
      <c r="B61" s="197"/>
      <c r="C61" s="144"/>
      <c r="D61" s="10"/>
      <c r="E61" s="10"/>
      <c r="F61" s="10"/>
      <c r="G61" s="473"/>
      <c r="H61" s="196"/>
      <c r="I61" s="197"/>
      <c r="J61" s="144"/>
      <c r="K61" s="10"/>
      <c r="L61" s="10"/>
      <c r="M61" s="10"/>
    </row>
    <row r="62" spans="1:26">
      <c r="A62" s="196"/>
      <c r="B62" s="197"/>
      <c r="C62" s="144"/>
      <c r="D62" s="10"/>
      <c r="E62" s="10"/>
      <c r="F62" s="10"/>
      <c r="G62" s="473"/>
      <c r="H62" s="196"/>
      <c r="I62" s="197"/>
      <c r="J62" s="144"/>
      <c r="K62" s="10"/>
      <c r="L62" s="10"/>
      <c r="M62" s="10"/>
    </row>
    <row r="63" spans="1:26">
      <c r="A63" s="173" t="s">
        <v>89</v>
      </c>
      <c r="B63" s="174">
        <f>IF('3b. High Cost Fund'!$B10="No",0,SUM(B58:B62))</f>
        <v>0</v>
      </c>
      <c r="C63" s="144"/>
      <c r="D63" s="10"/>
      <c r="E63" s="10"/>
      <c r="F63" s="10"/>
      <c r="G63" s="473"/>
      <c r="H63" s="175" t="s">
        <v>90</v>
      </c>
      <c r="I63" s="174">
        <f>IF('3b. High Cost Fund'!$B10="No",0,SUM(I58:I62))</f>
        <v>0</v>
      </c>
      <c r="J63" s="144"/>
      <c r="K63" s="10"/>
      <c r="L63" s="10"/>
      <c r="M63" s="10"/>
    </row>
    <row r="64" spans="1:26" ht="16" thickBot="1">
      <c r="A64" s="470" t="s">
        <v>22</v>
      </c>
      <c r="B64" s="470"/>
      <c r="C64" s="144"/>
      <c r="D64" s="10"/>
      <c r="E64" s="10"/>
      <c r="F64" s="10"/>
      <c r="G64" s="473"/>
      <c r="H64" s="470" t="s">
        <v>22</v>
      </c>
      <c r="I64" s="470"/>
      <c r="J64" s="144"/>
      <c r="K64" s="10"/>
      <c r="L64" s="10"/>
      <c r="M64" s="10"/>
    </row>
    <row r="65" spans="1:13">
      <c r="A65" s="347" t="s">
        <v>107</v>
      </c>
      <c r="B65" s="348"/>
      <c r="C65" s="144"/>
      <c r="D65" s="10"/>
      <c r="E65" s="10"/>
      <c r="F65" s="10"/>
      <c r="G65" s="473"/>
      <c r="H65" s="347" t="s">
        <v>106</v>
      </c>
      <c r="I65" s="348"/>
      <c r="J65" s="144"/>
      <c r="K65" s="10"/>
      <c r="L65" s="10"/>
      <c r="M65" s="10"/>
    </row>
    <row r="66" spans="1:13">
      <c r="A66" s="242" t="s">
        <v>123</v>
      </c>
      <c r="B66" s="265" t="s">
        <v>124</v>
      </c>
      <c r="C66" s="144"/>
      <c r="D66" s="10"/>
      <c r="E66" s="10"/>
      <c r="F66" s="10"/>
      <c r="G66" s="473"/>
      <c r="H66" s="269" t="s">
        <v>123</v>
      </c>
      <c r="I66" s="270" t="s">
        <v>124</v>
      </c>
      <c r="J66" s="144"/>
      <c r="K66" s="10"/>
      <c r="L66" s="10"/>
      <c r="M66" s="10"/>
    </row>
    <row r="67" spans="1:13">
      <c r="A67" s="103" t="s">
        <v>0</v>
      </c>
      <c r="B67" s="240">
        <f>IF(B$28&gt;=0,(F$22+C$43+B$53+B$63),(F$22+C$43+B$53+B$63+B$32))</f>
        <v>0</v>
      </c>
      <c r="C67" s="144"/>
      <c r="D67" s="10"/>
      <c r="E67" s="10"/>
      <c r="F67" s="10"/>
      <c r="G67" s="473"/>
      <c r="H67" s="103" t="s">
        <v>0</v>
      </c>
      <c r="I67" s="240">
        <f>IF(I$28&gt;=0,(M$22+J$43+I$53+I$63),(M$22+J$43+I$53+I$63+I$32))</f>
        <v>0</v>
      </c>
      <c r="J67" s="144"/>
      <c r="K67" s="10"/>
      <c r="L67" s="10"/>
      <c r="M67" s="10"/>
    </row>
    <row r="68" spans="1:13">
      <c r="A68" s="241" t="s">
        <v>2</v>
      </c>
      <c r="B68" s="174">
        <f>IF(B$28&gt;=0,(F$22+C$43+B$53+B$63),(F$22+C$43+B$53+B$63+C$32))</f>
        <v>0</v>
      </c>
      <c r="C68" s="144"/>
      <c r="D68" s="10"/>
      <c r="E68" s="10"/>
      <c r="F68" s="10"/>
      <c r="G68" s="473"/>
      <c r="H68" s="241" t="s">
        <v>2</v>
      </c>
      <c r="I68" s="174">
        <f>IF(I$28&gt;=0,(M$22+J$43+I$53+I$63),(M$22+J$43+I$53+I$63+J$32))</f>
        <v>0</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c r="A71" s="179" t="s">
        <v>71</v>
      </c>
      <c r="B71" s="180" t="s">
        <v>99</v>
      </c>
      <c r="C71" s="11" t="s">
        <v>100</v>
      </c>
      <c r="E71" s="10"/>
      <c r="F71" s="10"/>
      <c r="G71" s="473"/>
      <c r="H71" s="179" t="s">
        <v>71</v>
      </c>
      <c r="I71" s="180" t="s">
        <v>101</v>
      </c>
      <c r="J71" s="11" t="s">
        <v>100</v>
      </c>
      <c r="K71" s="10"/>
      <c r="L71" s="10"/>
      <c r="M71" s="10"/>
    </row>
    <row r="72" spans="1:13">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c r="A74" s="358" t="s">
        <v>182</v>
      </c>
      <c r="B74" s="184"/>
      <c r="C74" s="184"/>
      <c r="D74" s="184"/>
      <c r="E74" s="184"/>
      <c r="F74" s="184"/>
      <c r="G74" s="473"/>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JbnIrD20lr0unOXe0ouq4BaA1atxexxvY4VvFqj1Q4ThwKUjju8RW4Y/juaw8wfZifvfOQvzdOv8Fglr6DccCw==" saltValue="e/NRqrQpl703m2cD/AGQWA=="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80" priority="2" operator="containsText" text="not valid">
      <formula>NOT(ISERROR(SEARCH("not valid",A55)))</formula>
    </cfRule>
  </conditionalFormatting>
  <conditionalFormatting sqref="H55">
    <cfRule type="containsText" dxfId="179" priority="1" operator="containsText" text="not valid">
      <formula>NOT(ISERROR(SEARCH("not valid",H55)))</formula>
    </cfRule>
  </conditionalFormatting>
  <dataValidations count="1">
    <dataValidation type="list" allowBlank="1" showInputMessage="1" showErrorMessage="1" sqref="B38:B42 I38:I42" xr:uid="{00000000-0002-0000-1C00-000000000000}">
      <formula1>Exception_c</formula1>
    </dataValidation>
  </dataValidations>
  <hyperlinks>
    <hyperlink ref="C72" r:id="rId1" xr:uid="{00000000-0004-0000-1C00-000000000000}"/>
    <hyperlink ref="J72" r:id="rId2" xr:uid="{00000000-0004-0000-1C00-000001000000}"/>
    <hyperlink ref="A74" r:id="rId3" xr:uid="{00000000-0004-0000-1C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0070C0"/>
  </sheetPr>
  <dimension ref="A1:F43"/>
  <sheetViews>
    <sheetView showGridLines="0" workbookViewId="0">
      <selection activeCell="A32" sqref="A32:A33"/>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8: State Fiscal Year ",'2. Getting Started'!B6+7)</f>
        <v>Summary of Year 8: State Fiscal Year 2028</v>
      </c>
      <c r="B1" s="299"/>
      <c r="C1" s="299"/>
      <c r="D1" s="21" t="s">
        <v>14</v>
      </c>
      <c r="E1" s="20" t="str">
        <f>IF('2. Getting Started'!B2="","",'2. Getting Started'!B2)</f>
        <v/>
      </c>
    </row>
    <row r="2" spans="1:5" ht="18.5">
      <c r="A2" s="2" t="str">
        <f>CONCATENATE("State fiscal year ",'2. Getting Started'!B6+7," covers the period ",'2. Getting Started'!B4,", ",'2. Getting Started'!B6+6," through ",'2. Getting Started'!B5,", ",'2. Getting Started'!B6+7)</f>
        <v>State fiscal year 2028 covers the period July 1, 2027 through June 30, 2028</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'26. Year 8 Amounts'!D30</f>
        <v/>
      </c>
      <c r="C8" s="205" t="str">
        <f>'26. Year 8 Amounts'!F30</f>
        <v/>
      </c>
      <c r="D8" s="205" t="str">
        <f>'26. Year 8 Amounts'!D31</f>
        <v/>
      </c>
      <c r="E8" s="267" t="str">
        <f>'26. Year 8 Amounts'!F31</f>
        <v/>
      </c>
    </row>
    <row r="9" spans="1:5">
      <c r="A9" s="243" t="s">
        <v>117</v>
      </c>
      <c r="B9" s="201" t="str">
        <f>IF(B8="","",IF(B8&gt;=B7,"Met",IF(AND(B8&lt;B7,'38. Total Local Funds'!$B70="Met"),"Met with Exceptions &amp; Adjustments","Did Not Meet")))</f>
        <v/>
      </c>
      <c r="C9" s="201" t="str">
        <f>IF(C8="","",IF(C8&gt;=C7,"Met",IF(AND(C8&lt;C7,'39. Total State &amp; Local Funds'!$B70="Met"),"Met with Exceptions &amp; Adjustments","Did Not Meet")))</f>
        <v/>
      </c>
      <c r="D9" s="201" t="str">
        <f>IF(D8="","",IF(D8&gt;=D7,"Met",IF(AND(D8&lt;D7,'40. Local Funds Per Capita'!$B71="Met"),"Met with Exceptions &amp; Adjustments","Did Not Meet")))</f>
        <v/>
      </c>
      <c r="E9" s="259" t="str">
        <f>IF(E8="","",IF(E8&gt;=E7,"Met",IF(AND(E8&lt;E7,'41. State &amp; Local Funds Per Cap'!$B71="Met"),"Met with Exceptions &amp; Adjustments","Did Not Meet")))</f>
        <v/>
      </c>
    </row>
    <row r="10" spans="1:5">
      <c r="A10" s="246" t="s">
        <v>46</v>
      </c>
      <c r="B10" s="256" t="str">
        <f>IF(B9="","",IF(B9="Did Not Meet",'38. Total Local Funds'!$B68-'38. Total Local Funds'!$B69,0))</f>
        <v/>
      </c>
      <c r="C10" s="256" t="str">
        <f>IF(C9="","",IF(C9="Did Not Meet",'39. Total State &amp; Local Funds'!$B68-'39. Total State &amp; Local Funds'!$B69,0))</f>
        <v/>
      </c>
      <c r="D10" s="256" t="str">
        <f>IF(D9="","",IF(D9="Did Not Meet",(('40. Local Funds Per Capita'!$B69-'40. Local Funds Per Capita'!$B70)*'26. Year 8 Amounts'!B1),0))</f>
        <v/>
      </c>
      <c r="E10" s="261" t="str">
        <f>IF(E9="","",IF(E9="Did Not Meet",(('41. State &amp; Local Funds Per Cap'!$B69-'41. State &amp; Local Funds Per Cap'!$B70)*'26. Year 8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'26. Year 8 Amounts'!K30</f>
        <v/>
      </c>
      <c r="C16" s="17" t="str">
        <f>'26. Year 8 Amounts'!M30</f>
        <v/>
      </c>
      <c r="D16" s="17" t="str">
        <f>'26. Year 8 Amounts'!K31</f>
        <v/>
      </c>
      <c r="E16" s="258" t="str">
        <f>'26. Year 8 Amounts'!M31</f>
        <v/>
      </c>
    </row>
    <row r="17" spans="1:5">
      <c r="A17" s="243" t="s">
        <v>117</v>
      </c>
      <c r="B17" s="201" t="str">
        <f>IF(B16="","",IF(B16&gt;=B15,"Met",IF(AND(B16&lt;B15,'38. Total Local Funds'!F70="Met"),"Met with Exceptions &amp; Adjustments","Did Not Meet")))</f>
        <v/>
      </c>
      <c r="C17" s="201" t="str">
        <f>IF(C16="","",IF(C16&gt;=C15,"Met",IF(AND(C16&lt;C15,'39. Total State &amp; Local Funds'!F70="Met"),"Met with Exceptions &amp; Adjustments","Did Not Meet")))</f>
        <v/>
      </c>
      <c r="D17" s="201" t="str">
        <f>IF(D16="","",IF(D16&gt;=D15,"Met",IF(AND(D16&lt;D15,'40. Local Funds Per Capita'!F71="Met"),"Met with Exceptions &amp; Adjustments","Did Not Meet")))</f>
        <v/>
      </c>
      <c r="E17" s="259" t="str">
        <f>IF(E16="","",IF(E16&gt;=E15,"Met",IF(AND(E16&lt;E15,'41. State &amp; Local Funds Per Cap'!F71="Met"),"Met with Exceptions &amp; Adjustments","Did Not Meet")))</f>
        <v/>
      </c>
    </row>
    <row r="18" spans="1:5">
      <c r="A18" s="246" t="s">
        <v>46</v>
      </c>
      <c r="B18" s="256" t="str">
        <f>IF(B17="","",IF(B17="Did Not Meet",'38. Total Local Funds'!F68-'38. Total Local Funds'!F69,0))</f>
        <v/>
      </c>
      <c r="C18" s="256" t="str">
        <f>IF(C17="","",IF(C17="Did Not Meet",'39. Total State &amp; Local Funds'!F68-'39. Total State &amp; Local Funds'!F69,0))</f>
        <v/>
      </c>
      <c r="D18" s="256" t="str">
        <f>IF(D17="","",IF(D17="Did Not Meet",(('40. Local Funds Per Capita'!F69-'40. Local Funds Per Capita'!F70)*'26. Year 8 Amounts'!I1),0))</f>
        <v/>
      </c>
      <c r="E18" s="261" t="str">
        <f>IF(E17="","",IF(E17="Did Not Meet",(('41. State &amp; Local Funds Per Cap'!F69-'41. State &amp; Local Funds Per Cap'!F70)*'26. Year 8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134</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Started'!B6+7)</f>
        <v>Exceptions and Adjustment Claimed for State Fiscal Year 2028</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'27. Year 8 Exc &amp; Adj'!F22</f>
        <v>0</v>
      </c>
      <c r="C34" s="258">
        <f>'27. Year 8 Exc &amp; Adj'!F22</f>
        <v>0</v>
      </c>
      <c r="D34" s="326">
        <f>'27. Year 8 Exc &amp; Adj'!M22</f>
        <v>0</v>
      </c>
      <c r="E34" s="17">
        <f>'27. Year 8 Exc &amp; Adj'!M22</f>
        <v>0</v>
      </c>
    </row>
    <row r="35" spans="1:5">
      <c r="A35" s="224" t="s">
        <v>140</v>
      </c>
      <c r="B35" s="17" t="str">
        <f>'27. Year 8 Exc &amp; Adj'!B32</f>
        <v/>
      </c>
      <c r="C35" s="258" t="str">
        <f>'27. Year 8 Exc &amp; Adj'!C32</f>
        <v/>
      </c>
      <c r="D35" s="326" t="str">
        <f>'27. Year 8 Exc &amp; Adj'!I32</f>
        <v/>
      </c>
      <c r="E35" s="258" t="str">
        <f>'27. Year 8 Exc &amp; Adj'!J32</f>
        <v/>
      </c>
    </row>
    <row r="36" spans="1:5">
      <c r="A36" s="224" t="s">
        <v>141</v>
      </c>
      <c r="B36" s="17">
        <f>'27. Year 8 Exc &amp; Adj'!C43</f>
        <v>0</v>
      </c>
      <c r="C36" s="258">
        <f>'27. Year 8 Exc &amp; Adj'!C43</f>
        <v>0</v>
      </c>
      <c r="D36" s="326">
        <f>'27. Year 8 Exc &amp; Adj'!J43</f>
        <v>0</v>
      </c>
      <c r="E36" s="17">
        <f>'27. Year 8 Exc &amp; Adj'!J43</f>
        <v>0</v>
      </c>
    </row>
    <row r="37" spans="1:5">
      <c r="A37" s="224" t="s">
        <v>142</v>
      </c>
      <c r="B37" s="17">
        <f>'27. Year 8 Exc &amp; Adj'!B53</f>
        <v>0</v>
      </c>
      <c r="C37" s="258">
        <f>'27. Year 8 Exc &amp; Adj'!B53</f>
        <v>0</v>
      </c>
      <c r="D37" s="326">
        <f>'27. Year 8 Exc &amp; Adj'!I53</f>
        <v>0</v>
      </c>
      <c r="E37" s="17">
        <f>'27. Year 8 Exc &amp; Adj'!I53</f>
        <v>0</v>
      </c>
    </row>
    <row r="38" spans="1:5">
      <c r="A38" s="224" t="str">
        <f>IF('3b. High Cost Fund'!$B10="No","This exception is not valid for your state.","Exception (e)")</f>
        <v>Exception (e)</v>
      </c>
      <c r="B38" s="331">
        <f>IF('3b. High Cost Fund'!$B10="No","",'27. Year 8 Exc &amp; Adj'!B63)</f>
        <v>0</v>
      </c>
      <c r="C38" s="332">
        <f>IF('3b. High Cost Fund'!$B10="No","",'27. Year 8 Exc &amp; Adj'!B63)</f>
        <v>0</v>
      </c>
      <c r="D38" s="326">
        <f>IF('3b. High Cost Fund'!$B10="No","",'27. Year 8 Exc &amp; Adj'!I63)</f>
        <v>0</v>
      </c>
      <c r="E38" s="331">
        <f>IF('3b. High Cost Fund'!$B10="No","",'27. Year 8 Exc &amp; Adj'!I63)</f>
        <v>0</v>
      </c>
    </row>
    <row r="39" spans="1:5">
      <c r="A39" s="224" t="s">
        <v>143</v>
      </c>
      <c r="B39" s="17">
        <f>AdjDataYear8Budget[Projected Adjustment]</f>
        <v>0</v>
      </c>
      <c r="C39" s="17">
        <f>AdjDataYear8Budget[Projected Adjustment]</f>
        <v>0</v>
      </c>
      <c r="D39" s="327">
        <f>AdjDataYear8Expenditures[[Adjustment ]]</f>
        <v>0</v>
      </c>
      <c r="E39" s="17">
        <f>AdjDataYear8Expenditures[[Adjustment ]]</f>
        <v>0</v>
      </c>
    </row>
    <row r="40" spans="1:5">
      <c r="A40" s="246" t="s">
        <v>124</v>
      </c>
      <c r="B40" s="328">
        <f>SUM(B34:B39)</f>
        <v>0</v>
      </c>
      <c r="C40" s="329">
        <f>SUM(C34:C39)</f>
        <v>0</v>
      </c>
      <c r="D40" s="330">
        <f>SUM(D34:D39)</f>
        <v>0</v>
      </c>
      <c r="E40" s="329">
        <f>SUM(E34:E39)</f>
        <v>0</v>
      </c>
    </row>
    <row r="41" spans="1:5" ht="27"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PwWjVArc9cv74JQN9T77XcfdqQjIwlYfEUNeiMMA61rq15cZ5RCejC8VZNKOdk8+vWM7GMvjNC0lNy6eK5pcwg==" saltValue="LDqtcZPyqztXMYLBzFY+Sw==" spinCount="100000" sheet="1" objects="1" scenarios="1" formatColumns="0" formatRows="0"/>
  <mergeCells count="5">
    <mergeCell ref="A11:E11"/>
    <mergeCell ref="A19:E19"/>
    <mergeCell ref="A28:E28"/>
    <mergeCell ref="A30:E30"/>
    <mergeCell ref="A43:E43"/>
  </mergeCells>
  <conditionalFormatting sqref="B9:E9">
    <cfRule type="containsText" dxfId="178" priority="3" operator="containsText" text="Did Not Meet">
      <formula>NOT(ISERROR(SEARCH("Did Not Meet",B9)))</formula>
    </cfRule>
    <cfRule type="containsText" dxfId="177" priority="4" operator="containsText" text="Met">
      <formula>NOT(ISERROR(SEARCH("Met",B9)))</formula>
    </cfRule>
  </conditionalFormatting>
  <conditionalFormatting sqref="B17:E17">
    <cfRule type="containsText" dxfId="176" priority="1" operator="containsText" text="Did Not Meet">
      <formula>NOT(ISERROR(SEARCH("Did Not Meet",B17)))</formula>
    </cfRule>
    <cfRule type="containsText" dxfId="175" priority="2" operator="containsText" text="Met">
      <formula>NOT(ISERROR(SEARCH("Met",B17)))</formula>
    </cfRule>
  </conditionalFormatting>
  <hyperlinks>
    <hyperlink ref="A29" location="'4. Multi-Year MOE Summary'!A11" display="Go to the Multi-Year MOE Summary" xr:uid="{00000000-0004-0000-1D00-000000000000}"/>
    <hyperlink ref="A42" r:id="rId1" xr:uid="{00000000-0004-0000-1D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Started'!B6+8," -  LEA Effort - Budgeted Amounts")</f>
        <v>Eligibility Standard - State Fiscal Year 2029 -  LEA Effort - Budgeted Amounts</v>
      </c>
      <c r="B2" s="23"/>
      <c r="C2" s="23"/>
      <c r="D2" s="23"/>
      <c r="E2" s="23"/>
      <c r="F2" s="24"/>
      <c r="G2" s="467"/>
      <c r="H2" s="22" t="str">
        <f>CONCATENATE("Compliance Standard - State Fiscal Year ",'2. Getting Started'!B6+8," - LEA Effort - Final Expenditures")</f>
        <v>Compliance Standard - State Fiscal Year 2029 - LEA Effort - Final Expenditures</v>
      </c>
      <c r="I2" s="23"/>
      <c r="J2" s="23"/>
      <c r="K2" s="23"/>
      <c r="L2" s="23"/>
      <c r="M2" s="24"/>
    </row>
    <row r="3" spans="1:13" s="25" customFormat="1" ht="24" customHeight="1">
      <c r="A3" s="26"/>
      <c r="B3" s="27"/>
      <c r="D3" s="28" t="str">
        <f>CONCATENATE("SFY ",'2. Getting Started'!$B6+8," Budget")</f>
        <v>SFY 2029 Budget</v>
      </c>
      <c r="E3" s="29"/>
      <c r="F3" s="30"/>
      <c r="G3" s="467"/>
      <c r="H3" s="26"/>
      <c r="I3" s="27"/>
      <c r="J3" s="31"/>
      <c r="K3" s="28" t="str">
        <f>CONCATENATE("SFY ",'2. Getting Started'!$B6+8," Final Expenditures")</f>
        <v>SFY 2029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yrLb/+cc+BBXqWZyDo3SeIreme4C0gqZYOFwo1l+hqWjF3BTgh7FkKkA8ygH1OzaDZpM0aRSCaXWNCSBXksjsA==" saltValue="IkCSerVt/5rlbeJtoElWR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E00-000000000000}"/>
    <dataValidation allowBlank="1" showInputMessage="1" showErrorMessage="1" prompt="Don't forget to enter Child Count in Cell I1." sqref="H5" xr:uid="{00000000-0002-0000-1E00-000001000000}"/>
  </dataValidations>
  <hyperlinks>
    <hyperlink ref="A33" r:id="rId1" xr:uid="{00000000-0004-0000-1E00-000000000000}"/>
  </hyperlinks>
  <pageMargins left="0.75" right="0.75" top="1" bottom="1" header="0.5" footer="0.5"/>
  <pageSetup orientation="portrait" horizontalDpi="4294967292" verticalDpi="4294967292"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5"/>
    <pageSetUpPr autoPageBreaks="0"/>
  </sheetPr>
  <dimension ref="A1:AB79"/>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65" customHeight="1"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176</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Started'!B6+8," Budget")</f>
        <v>Eligibility Standard -- Exceptions to MOE as Permitted by 34 CFR §300.204 and Adjustment to MOE as Permitted by 34 CFR §300.205 -- Projections for State Fiscal Year 2029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Started'!B6+8)</f>
        <v>Compliance Standard -- Exceptions to MOE as Permitted by 34 CFR §300.204 and Adjustment to MOE as Permitted by 34 CFR §300.205 -- Final Expenditures for  State Fiscal Year 2029</v>
      </c>
      <c r="I3" s="61"/>
      <c r="J3" s="61"/>
      <c r="K3" s="61"/>
      <c r="L3" s="61"/>
      <c r="M3" s="62"/>
      <c r="O3" s="64"/>
      <c r="P3" s="64"/>
      <c r="Q3" s="64"/>
      <c r="R3" s="64"/>
      <c r="S3" s="64"/>
      <c r="T3" s="64"/>
    </row>
    <row r="4" spans="1:20" ht="15.5">
      <c r="A4" s="65" t="s">
        <v>59</v>
      </c>
      <c r="B4" s="66"/>
      <c r="C4" s="67"/>
      <c r="D4" s="67"/>
      <c r="E4" s="67"/>
      <c r="F4" s="68"/>
      <c r="G4" s="473"/>
      <c r="H4" s="65" t="s">
        <v>59</v>
      </c>
      <c r="I4" s="66"/>
      <c r="J4" s="67"/>
      <c r="K4" s="67"/>
      <c r="L4" s="67"/>
      <c r="M4" s="68"/>
      <c r="N4" s="70"/>
      <c r="O4" s="70"/>
      <c r="P4" s="70"/>
      <c r="Q4" s="70"/>
      <c r="R4" s="70"/>
      <c r="S4" s="70"/>
    </row>
    <row r="5" spans="1:20" ht="15.5">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ht="15.5">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ht="15.5">
      <c r="A8" s="186"/>
      <c r="B8" s="187"/>
      <c r="C8" s="187"/>
      <c r="D8" s="188"/>
      <c r="E8" s="188"/>
      <c r="F8" s="84">
        <f>D8+E8</f>
        <v>0</v>
      </c>
      <c r="G8" s="473"/>
      <c r="H8" s="186"/>
      <c r="I8" s="187"/>
      <c r="J8" s="187"/>
      <c r="K8" s="188"/>
      <c r="L8" s="188"/>
      <c r="M8" s="84">
        <f>K8+L8</f>
        <v>0</v>
      </c>
      <c r="N8" s="85"/>
      <c r="O8" s="85"/>
    </row>
    <row r="9" spans="1:20" ht="15.5">
      <c r="A9" s="186"/>
      <c r="B9" s="187"/>
      <c r="C9" s="187"/>
      <c r="D9" s="188"/>
      <c r="E9" s="188"/>
      <c r="F9" s="84">
        <f>D9+E9</f>
        <v>0</v>
      </c>
      <c r="G9" s="473"/>
      <c r="H9" s="186"/>
      <c r="I9" s="187"/>
      <c r="J9" s="187"/>
      <c r="K9" s="188"/>
      <c r="L9" s="188"/>
      <c r="M9" s="84">
        <f>K9+L9</f>
        <v>0</v>
      </c>
      <c r="N9" s="85"/>
      <c r="O9" s="85"/>
    </row>
    <row r="10" spans="1:20" ht="15.5">
      <c r="A10" s="186"/>
      <c r="B10" s="187"/>
      <c r="C10" s="187"/>
      <c r="D10" s="188"/>
      <c r="E10" s="188"/>
      <c r="F10" s="84">
        <f>D10+E10</f>
        <v>0</v>
      </c>
      <c r="G10" s="473"/>
      <c r="H10" s="186"/>
      <c r="I10" s="187"/>
      <c r="J10" s="187"/>
      <c r="K10" s="188"/>
      <c r="L10" s="188"/>
      <c r="M10" s="84">
        <f>K10+L10</f>
        <v>0</v>
      </c>
      <c r="N10" s="85"/>
      <c r="O10" s="85"/>
    </row>
    <row r="11" spans="1:20" ht="15.5">
      <c r="A11" s="186"/>
      <c r="B11" s="187"/>
      <c r="C11" s="187"/>
      <c r="D11" s="188"/>
      <c r="E11" s="188"/>
      <c r="F11" s="84">
        <f>D11+E11</f>
        <v>0</v>
      </c>
      <c r="G11" s="473"/>
      <c r="H11" s="186"/>
      <c r="I11" s="187"/>
      <c r="J11" s="187"/>
      <c r="K11" s="188"/>
      <c r="L11" s="188"/>
      <c r="M11" s="84">
        <f>K11+L11</f>
        <v>0</v>
      </c>
      <c r="N11" s="85"/>
      <c r="O11" s="85"/>
    </row>
    <row r="12" spans="1:20" ht="15.5">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ht="15.5">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ht="15.5">
      <c r="A16" s="189"/>
      <c r="B16" s="190"/>
      <c r="C16" s="100"/>
      <c r="D16" s="188"/>
      <c r="E16" s="188"/>
      <c r="F16" s="84">
        <f t="shared" ref="F16:F20" si="2">D16+E16</f>
        <v>0</v>
      </c>
      <c r="G16" s="473"/>
      <c r="H16" s="189"/>
      <c r="I16" s="190"/>
      <c r="J16" s="100"/>
      <c r="K16" s="188"/>
      <c r="L16" s="188"/>
      <c r="M16" s="84">
        <f t="shared" ref="M16:M20" si="3">K16+L16</f>
        <v>0</v>
      </c>
      <c r="N16" s="85"/>
      <c r="O16" s="85"/>
    </row>
    <row r="17" spans="1:19" ht="15.5">
      <c r="A17" s="189"/>
      <c r="B17" s="190"/>
      <c r="C17" s="100"/>
      <c r="D17" s="188"/>
      <c r="E17" s="188"/>
      <c r="F17" s="84">
        <f t="shared" si="2"/>
        <v>0</v>
      </c>
      <c r="G17" s="473"/>
      <c r="H17" s="189"/>
      <c r="I17" s="190"/>
      <c r="J17" s="100"/>
      <c r="K17" s="188"/>
      <c r="L17" s="188"/>
      <c r="M17" s="84">
        <f t="shared" si="3"/>
        <v>0</v>
      </c>
      <c r="N17" s="85"/>
      <c r="O17" s="85"/>
    </row>
    <row r="18" spans="1:19" ht="15.5">
      <c r="A18" s="189"/>
      <c r="B18" s="190"/>
      <c r="C18" s="100"/>
      <c r="D18" s="188"/>
      <c r="E18" s="188"/>
      <c r="F18" s="84">
        <f t="shared" si="2"/>
        <v>0</v>
      </c>
      <c r="G18" s="473"/>
      <c r="H18" s="189"/>
      <c r="I18" s="190"/>
      <c r="J18" s="100"/>
      <c r="K18" s="188"/>
      <c r="L18" s="188"/>
      <c r="M18" s="84">
        <f t="shared" si="3"/>
        <v>0</v>
      </c>
      <c r="N18" s="85"/>
      <c r="O18" s="85"/>
    </row>
    <row r="19" spans="1:19" ht="15.5">
      <c r="A19" s="189"/>
      <c r="B19" s="190"/>
      <c r="C19" s="100"/>
      <c r="D19" s="188"/>
      <c r="E19" s="188"/>
      <c r="F19" s="84">
        <f t="shared" si="2"/>
        <v>0</v>
      </c>
      <c r="G19" s="473"/>
      <c r="H19" s="189"/>
      <c r="I19" s="190"/>
      <c r="J19" s="100"/>
      <c r="K19" s="188"/>
      <c r="L19" s="188"/>
      <c r="M19" s="84">
        <f t="shared" si="3"/>
        <v>0</v>
      </c>
      <c r="N19" s="85"/>
      <c r="O19" s="85"/>
    </row>
    <row r="20" spans="1:19" ht="15.5">
      <c r="A20" s="189"/>
      <c r="B20" s="190"/>
      <c r="C20" s="100"/>
      <c r="D20" s="188"/>
      <c r="E20" s="188"/>
      <c r="F20" s="84">
        <f t="shared" si="2"/>
        <v>0</v>
      </c>
      <c r="G20" s="473"/>
      <c r="H20" s="189"/>
      <c r="I20" s="190"/>
      <c r="J20" s="100"/>
      <c r="K20" s="188"/>
      <c r="L20" s="188"/>
      <c r="M20" s="84">
        <f t="shared" si="3"/>
        <v>0</v>
      </c>
      <c r="N20" s="85"/>
      <c r="O20" s="85"/>
    </row>
    <row r="21" spans="1:19" ht="15.5">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ht="15.5">
      <c r="A24" s="112" t="s">
        <v>105</v>
      </c>
      <c r="B24" s="113"/>
      <c r="C24" s="113"/>
      <c r="D24" s="63"/>
      <c r="E24" s="120"/>
      <c r="F24" s="120"/>
      <c r="G24" s="473"/>
      <c r="H24" s="112" t="s">
        <v>105</v>
      </c>
      <c r="I24" s="113"/>
      <c r="J24" s="113"/>
      <c r="K24" s="63"/>
      <c r="L24" s="120"/>
      <c r="M24" s="120"/>
      <c r="N24" s="119"/>
      <c r="O24" s="119"/>
      <c r="P24" s="119"/>
      <c r="Q24" s="119"/>
    </row>
    <row r="25" spans="1:19" ht="15.5">
      <c r="A25" s="121" t="s">
        <v>71</v>
      </c>
      <c r="B25" s="122" t="s">
        <v>77</v>
      </c>
      <c r="C25" s="123"/>
      <c r="D25" s="124"/>
      <c r="E25" s="123"/>
      <c r="F25" s="123"/>
      <c r="G25" s="473"/>
      <c r="H25" s="121" t="s">
        <v>71</v>
      </c>
      <c r="I25" s="122" t="s">
        <v>77</v>
      </c>
      <c r="J25" s="123"/>
      <c r="K25" s="124"/>
      <c r="L25" s="123"/>
      <c r="M25" s="123"/>
      <c r="N25" s="119"/>
      <c r="O25" s="119"/>
      <c r="P25" s="119"/>
      <c r="Q25" s="119"/>
    </row>
    <row r="26" spans="1:19" ht="15.5">
      <c r="A26" s="125" t="str">
        <f>CONCATENATE("SFY ",'2. Getting Started'!B6+8," Projected Child Count")</f>
        <v>SFY 2029 Projected Child Count</v>
      </c>
      <c r="B26" s="126" t="str">
        <f>IF('29. Year 9 Amounts'!B1="","",'29. Year 9 Amounts'!B1)</f>
        <v/>
      </c>
      <c r="C26" s="123"/>
      <c r="D26" s="124"/>
      <c r="E26" s="123"/>
      <c r="F26" s="123"/>
      <c r="G26" s="473"/>
      <c r="H26" s="125" t="str">
        <f>CONCATENATE("SFY ",'2. Getting Started'!B6+8," Child Count")</f>
        <v>SFY 2029 Child Count</v>
      </c>
      <c r="I26" s="126" t="str">
        <f>IF('29. Year 9 Amounts'!I1="","",'29. Year 9 Amounts'!I1)</f>
        <v/>
      </c>
      <c r="J26" s="123"/>
      <c r="K26" s="124"/>
      <c r="L26" s="123"/>
      <c r="M26" s="123"/>
      <c r="N26" s="119"/>
      <c r="O26" s="119"/>
      <c r="P26" s="119"/>
      <c r="Q26" s="119"/>
    </row>
    <row r="27" spans="1:19" ht="15.5">
      <c r="A27" s="125" t="str">
        <f>CONCATENATE("SFY ",'2. Getting Started'!B6+7," Projected Child Count")</f>
        <v>SFY 2028 Projected Child Count</v>
      </c>
      <c r="B27" s="126" t="str">
        <f>IF('26. Year 8 Amounts'!B1="","",'26. Year 8 Amounts'!B1)</f>
        <v/>
      </c>
      <c r="C27" s="119"/>
      <c r="D27" s="128"/>
      <c r="E27" s="119"/>
      <c r="F27" s="123"/>
      <c r="G27" s="473"/>
      <c r="H27" s="125" t="str">
        <f>CONCATENATE("SFY ",'2. Getting Started'!B6+7," Child Count")</f>
        <v>SFY 2028 Child Count</v>
      </c>
      <c r="I27" s="126" t="str">
        <f>IF('26. Year 8 Amounts'!I1="","",'26. Year 8 Amounts'!I1)</f>
        <v/>
      </c>
      <c r="J27" s="119"/>
      <c r="K27" s="128"/>
      <c r="L27" s="119"/>
      <c r="M27" s="123"/>
      <c r="N27" s="129"/>
      <c r="O27" s="129"/>
      <c r="P27" s="129"/>
      <c r="Q27" s="129"/>
    </row>
    <row r="28" spans="1:19" ht="15.5">
      <c r="A28" s="127" t="s">
        <v>78</v>
      </c>
      <c r="B28" s="130" t="str">
        <f>IF(B26="","",B26-B27)</f>
        <v/>
      </c>
      <c r="C28" s="123" t="str">
        <f>IF(B28="","",IF(B28&gt;=0,"Not eligible for this exception",""))</f>
        <v/>
      </c>
      <c r="D28" s="124"/>
      <c r="E28" s="123"/>
      <c r="F28" s="123"/>
      <c r="G28" s="473"/>
      <c r="H28" s="127" t="s">
        <v>78</v>
      </c>
      <c r="I28" s="130" t="str">
        <f>IF(I26="","",I26-I27)</f>
        <v/>
      </c>
      <c r="J28" s="123" t="str">
        <f>IF(I28="","",IF(I28&gt;=0,"Not eligible for this exception",""))</f>
        <v/>
      </c>
      <c r="K28" s="124"/>
      <c r="L28" s="123"/>
      <c r="M28" s="123"/>
      <c r="N28" s="132"/>
      <c r="O28" s="132"/>
      <c r="P28" s="132"/>
      <c r="Q28" s="132"/>
    </row>
    <row r="29" spans="1:19" ht="15.5">
      <c r="A29" s="133" t="s">
        <v>79</v>
      </c>
      <c r="B29" s="134" t="str">
        <f>IF(B26="","",IF(B28&lt;=0,ABS(B28/B27),""))</f>
        <v/>
      </c>
      <c r="C29" s="135"/>
      <c r="D29" s="136"/>
      <c r="E29" s="135"/>
      <c r="F29" s="10"/>
      <c r="G29" s="473"/>
      <c r="H29" s="133" t="s">
        <v>79</v>
      </c>
      <c r="I29" s="134" t="str">
        <f>IF(I26="","",IF(I28&lt;=0,ABS(I28/I27),""))</f>
        <v/>
      </c>
      <c r="J29" s="135"/>
      <c r="K29" s="136"/>
      <c r="L29" s="135"/>
      <c r="M29" s="10"/>
      <c r="N29" s="137"/>
      <c r="O29" s="137"/>
      <c r="P29" s="138"/>
      <c r="Q29" s="138"/>
    </row>
    <row r="30" spans="1:19" ht="15.5">
      <c r="A30" s="115" t="s">
        <v>71</v>
      </c>
      <c r="B30" s="116" t="s">
        <v>0</v>
      </c>
      <c r="C30" s="116" t="s">
        <v>2</v>
      </c>
      <c r="D30" s="10"/>
      <c r="E30" s="72"/>
      <c r="F30" s="72"/>
      <c r="G30" s="473"/>
      <c r="H30" s="115" t="s">
        <v>71</v>
      </c>
      <c r="I30" s="116" t="s">
        <v>75</v>
      </c>
      <c r="J30" s="116" t="s">
        <v>76</v>
      </c>
      <c r="K30" s="10"/>
      <c r="L30" s="72"/>
      <c r="M30" s="72"/>
      <c r="N30" s="138"/>
      <c r="O30" s="138"/>
    </row>
    <row r="31" spans="1:19" ht="15.5">
      <c r="A31" s="139" t="str">
        <f>CONCATENATE("SFY ",'2. Getting Started'!B6+7," Budget")</f>
        <v>SFY 2028 Budget</v>
      </c>
      <c r="B31" s="140" t="str">
        <f>IF('26. Year 8 Amounts'!D30="","",'26. Year 8 Amounts'!D30)</f>
        <v/>
      </c>
      <c r="C31" s="140" t="str">
        <f>IF('26. Year 8 Amounts'!F30="","",'26. Year 8 Amounts'!F30)</f>
        <v/>
      </c>
      <c r="D31" s="141"/>
      <c r="E31" s="74"/>
      <c r="F31" s="74"/>
      <c r="G31" s="473"/>
      <c r="H31" s="139" t="str">
        <f>CONCATENATE("SFY ",'2. Getting Started'!B6+7," Final Expenditures")</f>
        <v>SFY 2028 Final Expenditures</v>
      </c>
      <c r="I31" s="140" t="str">
        <f>IF('26. Year 8 Amounts'!K30="","",'26. Year 8 Amounts'!K30)</f>
        <v/>
      </c>
      <c r="J31" s="140" t="str">
        <f>IF('26. Year 8 Amounts'!M30="","",'26. Year 8 Amounts'!M30)</f>
        <v/>
      </c>
      <c r="K31" s="142"/>
      <c r="L31" s="74"/>
      <c r="M31" s="74"/>
    </row>
    <row r="32" spans="1:19" ht="15.5">
      <c r="A32" s="117" t="s">
        <v>80</v>
      </c>
      <c r="B32" s="143" t="str">
        <f>IF(OR($B26="",B29="",B31=""),"",($B29*B31))</f>
        <v/>
      </c>
      <c r="C32" s="143" t="str">
        <f>IF(OR($B26="",B29="",C31=""),"",($B29*C31))</f>
        <v/>
      </c>
      <c r="D32" s="142"/>
      <c r="E32" s="118"/>
      <c r="F32" s="118"/>
      <c r="G32" s="473"/>
      <c r="H32" s="117" t="s">
        <v>81</v>
      </c>
      <c r="I32" s="143" t="str">
        <f>IF(OR($I26="",I29="",I31=""),"",($I29*I31))</f>
        <v/>
      </c>
      <c r="J32" s="143" t="str">
        <f>IF(OR($I26="",I29="",J31=""),"",($I29*J31))</f>
        <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ht="15.5">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ht="15.5">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ht="15.5">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ht="15.5">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ht="15.5">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ht="15.5">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ht="15.5">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ht="15.5">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ht="15.5">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ht="15.5">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ht="15.5">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ht="15.5">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ht="15.5">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ht="15.5">
      <c r="A55" s="167" t="str">
        <f>IF('3b. High Cost Fund'!$B11="No","This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Fund'!$B11="No","This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Fund'!$B11="No","","SEA under §300.704. MUST be explicitly permitted by the SEA.")</f>
        <v>SEA under §300.704. MUST be explicitly permitted by the SEA.</v>
      </c>
      <c r="B56" s="168"/>
      <c r="C56" s="169"/>
      <c r="D56" s="170"/>
      <c r="E56" s="163"/>
      <c r="F56" s="144"/>
      <c r="G56" s="473"/>
      <c r="H56" s="71" t="str">
        <f>IF('3b. High Cost Fund'!$B11="No","","SEA under §300.704. MUST be explicitly permitted by the SEA.")</f>
        <v>SEA under §300.704. MUST be explicitly permitted by the SEA.</v>
      </c>
      <c r="I56" s="168"/>
      <c r="J56" s="147"/>
      <c r="K56" s="170"/>
      <c r="L56" s="163"/>
      <c r="M56" s="144"/>
    </row>
    <row r="57" spans="1:26" ht="15.5">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Fund'!$B11="No"),"Invalid entry. This exception is valid only in states with high-cost funds. If your state has a high-cost fund, please indicate that on tab 3b.","")</f>
        <v/>
      </c>
      <c r="D58" s="144"/>
      <c r="E58" s="144"/>
      <c r="F58" s="10"/>
      <c r="G58" s="473"/>
      <c r="H58" s="196"/>
      <c r="I58" s="197"/>
      <c r="J58" s="337" t="str">
        <f>IF(AND(I58&lt;&gt;"",'3b. High Cost Fund'!$B11="No"),"Invalid entry. This exception is valid only in states with high-cost funds. If your state has a high-cost fund, please indicate that on tab 3b.","")</f>
        <v/>
      </c>
      <c r="K58" s="144"/>
      <c r="L58" s="144"/>
      <c r="M58" s="10"/>
    </row>
    <row r="59" spans="1:26" ht="15.5">
      <c r="A59" s="196"/>
      <c r="B59" s="197"/>
      <c r="C59" s="144"/>
      <c r="D59" s="10"/>
      <c r="E59" s="10"/>
      <c r="F59" s="10"/>
      <c r="G59" s="473"/>
      <c r="H59" s="196"/>
      <c r="I59" s="197"/>
      <c r="J59" s="144"/>
      <c r="K59" s="10"/>
      <c r="L59" s="10"/>
      <c r="M59" s="10"/>
    </row>
    <row r="60" spans="1:26" ht="15.5">
      <c r="A60" s="196"/>
      <c r="B60" s="197"/>
      <c r="C60" s="144"/>
      <c r="D60" s="10"/>
      <c r="E60" s="10"/>
      <c r="F60" s="10"/>
      <c r="G60" s="473"/>
      <c r="H60" s="196"/>
      <c r="I60" s="197"/>
      <c r="J60" s="144"/>
      <c r="K60" s="10"/>
      <c r="L60" s="10"/>
      <c r="M60" s="10"/>
    </row>
    <row r="61" spans="1:26" ht="15.5">
      <c r="A61" s="196"/>
      <c r="B61" s="197"/>
      <c r="C61" s="144"/>
      <c r="D61" s="10"/>
      <c r="E61" s="10"/>
      <c r="F61" s="10"/>
      <c r="G61" s="473"/>
      <c r="H61" s="196"/>
      <c r="I61" s="197"/>
      <c r="J61" s="144"/>
      <c r="K61" s="10"/>
      <c r="L61" s="10"/>
      <c r="M61" s="10"/>
    </row>
    <row r="62" spans="1:26" ht="15.5">
      <c r="A62" s="196"/>
      <c r="B62" s="197"/>
      <c r="C62" s="144"/>
      <c r="D62" s="10"/>
      <c r="E62" s="10"/>
      <c r="F62" s="10"/>
      <c r="G62" s="473"/>
      <c r="H62" s="196"/>
      <c r="I62" s="197"/>
      <c r="J62" s="144"/>
      <c r="K62" s="10"/>
      <c r="L62" s="10"/>
      <c r="M62" s="10"/>
    </row>
    <row r="63" spans="1:26" ht="15.5">
      <c r="A63" s="173" t="s">
        <v>89</v>
      </c>
      <c r="B63" s="174">
        <f>IF('3b. High Cost Fund'!$B11="No",0,SUM(B58:B62))</f>
        <v>0</v>
      </c>
      <c r="C63" s="144"/>
      <c r="D63" s="10"/>
      <c r="E63" s="10"/>
      <c r="F63" s="10"/>
      <c r="G63" s="473"/>
      <c r="H63" s="175" t="s">
        <v>90</v>
      </c>
      <c r="I63" s="174">
        <f>IF('3b. High Cost Fund'!$B11="No",0,SUM(I58:I62))</f>
        <v>0</v>
      </c>
      <c r="J63" s="144"/>
      <c r="K63" s="10"/>
      <c r="L63" s="10"/>
      <c r="M63" s="10"/>
    </row>
    <row r="64" spans="1:26" ht="16" thickBot="1">
      <c r="A64" s="470" t="s">
        <v>22</v>
      </c>
      <c r="B64" s="470"/>
      <c r="C64" s="144"/>
      <c r="D64" s="10"/>
      <c r="E64" s="10"/>
      <c r="F64" s="10"/>
      <c r="G64" s="473"/>
      <c r="H64" s="470" t="s">
        <v>22</v>
      </c>
      <c r="I64" s="470"/>
      <c r="J64" s="144"/>
      <c r="K64" s="10"/>
      <c r="L64" s="10"/>
      <c r="M64" s="10"/>
    </row>
    <row r="65" spans="1:13" ht="15.5">
      <c r="A65" s="347" t="s">
        <v>107</v>
      </c>
      <c r="B65" s="348"/>
      <c r="C65" s="144"/>
      <c r="D65" s="10"/>
      <c r="E65" s="10"/>
      <c r="F65" s="10"/>
      <c r="G65" s="473"/>
      <c r="H65" s="347" t="s">
        <v>106</v>
      </c>
      <c r="I65" s="348"/>
      <c r="J65" s="144"/>
      <c r="K65" s="10"/>
      <c r="L65" s="10"/>
      <c r="M65" s="10"/>
    </row>
    <row r="66" spans="1:13" ht="15.5">
      <c r="A66" s="242" t="s">
        <v>123</v>
      </c>
      <c r="B66" s="265" t="s">
        <v>124</v>
      </c>
      <c r="C66" s="144"/>
      <c r="D66" s="10"/>
      <c r="E66" s="10"/>
      <c r="F66" s="10"/>
      <c r="G66" s="473"/>
      <c r="H66" s="269" t="s">
        <v>123</v>
      </c>
      <c r="I66" s="270" t="s">
        <v>124</v>
      </c>
      <c r="J66" s="144"/>
      <c r="K66" s="10"/>
      <c r="L66" s="10"/>
      <c r="M66" s="10"/>
    </row>
    <row r="67" spans="1:13" ht="15.5">
      <c r="A67" s="103" t="s">
        <v>0</v>
      </c>
      <c r="B67" s="240">
        <f>IF(B$28&gt;=0,(F$22+C$43+B$53+B$63),(F$22+C$43+B$53+B$63+B$32))</f>
        <v>0</v>
      </c>
      <c r="C67" s="144"/>
      <c r="D67" s="10"/>
      <c r="E67" s="10"/>
      <c r="F67" s="10"/>
      <c r="G67" s="473"/>
      <c r="H67" s="103" t="s">
        <v>0</v>
      </c>
      <c r="I67" s="240">
        <f>IF(I$28&gt;=0,(M$22+J$43+I$53+I$63),(M$22+J$43+I$53+I$63+I$32))</f>
        <v>0</v>
      </c>
      <c r="J67" s="144"/>
      <c r="K67" s="10"/>
      <c r="L67" s="10"/>
      <c r="M67" s="10"/>
    </row>
    <row r="68" spans="1:13" ht="15.5">
      <c r="A68" s="241" t="s">
        <v>2</v>
      </c>
      <c r="B68" s="174">
        <f>IF(B$28&gt;=0,(F$22+C$43+B$53+B$63),(F$22+C$43+B$53+B$63+C$32))</f>
        <v>0</v>
      </c>
      <c r="C68" s="144"/>
      <c r="D68" s="10"/>
      <c r="E68" s="10"/>
      <c r="F68" s="10"/>
      <c r="G68" s="473"/>
      <c r="H68" s="241" t="s">
        <v>2</v>
      </c>
      <c r="I68" s="174">
        <f>IF(I$28&gt;=0,(M$22+J$43+I$53+I$63),(M$22+J$43+I$53+I$63+J$32))</f>
        <v>0</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ht="15.5">
      <c r="A71" s="179" t="s">
        <v>71</v>
      </c>
      <c r="B71" s="180" t="s">
        <v>99</v>
      </c>
      <c r="C71" s="11" t="s">
        <v>100</v>
      </c>
      <c r="E71" s="10"/>
      <c r="F71" s="10"/>
      <c r="G71" s="473"/>
      <c r="H71" s="179" t="s">
        <v>71</v>
      </c>
      <c r="I71" s="180" t="s">
        <v>101</v>
      </c>
      <c r="J71" s="11" t="s">
        <v>100</v>
      </c>
      <c r="K71" s="10"/>
      <c r="L71" s="10"/>
      <c r="M71" s="10"/>
    </row>
    <row r="72" spans="1:13" ht="15.5">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ht="15.5">
      <c r="A74" s="358" t="s">
        <v>182</v>
      </c>
      <c r="B74" s="184"/>
      <c r="C74" s="184"/>
      <c r="D74" s="184"/>
      <c r="E74" s="184"/>
      <c r="F74" s="184"/>
      <c r="G74" s="473"/>
      <c r="H74" s="184"/>
      <c r="I74" s="184"/>
      <c r="J74" s="184"/>
      <c r="K74" s="184"/>
      <c r="L74" s="184"/>
      <c r="M74" s="184"/>
    </row>
    <row r="75" spans="1:13" ht="15.5">
      <c r="A75" s="469" t="s">
        <v>24</v>
      </c>
      <c r="B75" s="469"/>
      <c r="C75" s="469"/>
      <c r="D75" s="469"/>
      <c r="E75" s="469"/>
      <c r="F75" s="469"/>
      <c r="G75" s="469"/>
      <c r="H75" s="469"/>
      <c r="I75" s="469"/>
      <c r="J75" s="469"/>
      <c r="K75" s="469"/>
      <c r="L75" s="469"/>
      <c r="M75" s="469"/>
    </row>
    <row r="76" spans="1:13" ht="15.5" hidden="1"/>
    <row r="77" spans="1:13" ht="15.5" hidden="1"/>
    <row r="78" spans="1:13" ht="15.5" hidden="1"/>
    <row r="79" spans="1:13" ht="15.5" hidden="1"/>
  </sheetData>
  <sheetProtection algorithmName="SHA-512" hashValue="AKyMHq1IofC8IvEExak0nSytN6M7vcHjes6+yPryaDue38f+k+egHvpBGXrLH32/t9+5yOfT1Ry4DpLlbU+kTg==" saltValue="ry1NdKfxP4E+fq0Cd0Feyw=="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174" priority="2" operator="containsText" text="not valid">
      <formula>NOT(ISERROR(SEARCH("not valid",A55)))</formula>
    </cfRule>
  </conditionalFormatting>
  <conditionalFormatting sqref="H55">
    <cfRule type="containsText" dxfId="173" priority="1" operator="containsText" text="not valid">
      <formula>NOT(ISERROR(SEARCH("not valid",H55)))</formula>
    </cfRule>
  </conditionalFormatting>
  <dataValidations count="1">
    <dataValidation type="list" allowBlank="1" showInputMessage="1" showErrorMessage="1" sqref="B38:B42 I38:I42" xr:uid="{00000000-0002-0000-1F00-000000000000}">
      <formula1>Exception_c</formula1>
    </dataValidation>
  </dataValidations>
  <hyperlinks>
    <hyperlink ref="C72" r:id="rId1" xr:uid="{00000000-0004-0000-1F00-000000000000}"/>
    <hyperlink ref="J72" r:id="rId2" xr:uid="{00000000-0004-0000-1F00-000001000000}"/>
    <hyperlink ref="A74" r:id="rId3" xr:uid="{00000000-0004-0000-1F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0070C0"/>
  </sheetPr>
  <dimension ref="A1:F43"/>
  <sheetViews>
    <sheetView showGridLines="0" workbookViewId="0">
      <selection activeCell="A5" sqref="A5"/>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9: State Fiscal Year ",'2. Getting Started'!B6+8)</f>
        <v>Summary of Year 9: State Fiscal Year 2029</v>
      </c>
      <c r="B1" s="299"/>
      <c r="C1" s="299"/>
      <c r="D1" s="21" t="s">
        <v>14</v>
      </c>
      <c r="E1" s="20" t="str">
        <f>IF('2. Getting Started'!B2="","",'2. Getting Started'!B2)</f>
        <v/>
      </c>
    </row>
    <row r="2" spans="1:5" ht="18.5">
      <c r="A2" s="2" t="str">
        <f>CONCATENATE("State fiscal year ",'2. Getting Started'!B6+8," covers the period ",'2. Getting Started'!B4,", ",'2. Getting Started'!B6+7," through ",'2. Getting Started'!B5,", ",'2. Getting Started'!B6+8)</f>
        <v>State fiscal year 2029 covers the period July 1, 2028 through June 30, 2029</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'29. Year 9 Amounts'!D30</f>
        <v/>
      </c>
      <c r="C8" s="205" t="str">
        <f>'29. Year 9 Amounts'!F30</f>
        <v/>
      </c>
      <c r="D8" s="205" t="str">
        <f>'29. Year 9 Amounts'!D31</f>
        <v/>
      </c>
      <c r="E8" s="267" t="str">
        <f>'29. Year 9 Amounts'!F31</f>
        <v/>
      </c>
    </row>
    <row r="9" spans="1:5">
      <c r="A9" s="243" t="s">
        <v>117</v>
      </c>
      <c r="B9" s="201" t="str">
        <f>IF(B8="","",IF(B8&gt;=B7,"Met",IF(AND(B8&lt;B7,'38. Total Local Funds'!$B78="Met"),"Met with Exceptions &amp; Adjustments","Did Not Meet")))</f>
        <v/>
      </c>
      <c r="C9" s="201" t="str">
        <f>IF(C8="","",IF(C8&gt;=C7,"Met",IF(AND(C8&lt;C7,'39. Total State &amp; Local Funds'!$B78="Met"),"Met with Exceptions &amp; Adjustments","Did Not Meet")))</f>
        <v/>
      </c>
      <c r="D9" s="201" t="str">
        <f>IF(D8="","",IF(D8&gt;=D7,"Met",IF(AND(D8&lt;D7,'40. Local Funds Per Capita'!$B79="Met"),"Met with Exceptions &amp; Adjustments","Did Not Meet")))</f>
        <v/>
      </c>
      <c r="E9" s="259" t="str">
        <f>IF(E8="","",IF(E8&gt;=E7,"Met",IF(AND(E8&lt;E7,'41. State &amp; Local Funds Per Cap'!$B79="Met"),"Met with Exceptions &amp; Adjustments","Did Not Meet")))</f>
        <v/>
      </c>
    </row>
    <row r="10" spans="1:5">
      <c r="A10" s="246" t="s">
        <v>46</v>
      </c>
      <c r="B10" s="256" t="str">
        <f>IF(B9="","",IF(B9="Did Not Meet",'38. Total Local Funds'!$B76-'38. Total Local Funds'!$B77,0))</f>
        <v/>
      </c>
      <c r="C10" s="256" t="str">
        <f>IF(C9="","",IF(C9="Did Not Meet",'39. Total State &amp; Local Funds'!$B76-'39. Total State &amp; Local Funds'!$B77,0))</f>
        <v/>
      </c>
      <c r="D10" s="256" t="str">
        <f>IF(D9="","",IF(D9="Did Not Meet",(('40. Local Funds Per Capita'!$B77-'40. Local Funds Per Capita'!$B78)*'29. Year 9 Amounts'!B1),0))</f>
        <v/>
      </c>
      <c r="E10" s="261" t="str">
        <f>IF(E9="","",IF(E9="Did Not Meet",(('41. State &amp; Local Funds Per Cap'!$B77-'41. State &amp; Local Funds Per Cap'!$B78)*'29. Year 9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Started'!B6+7,'26. Year 8 Amounts'!K30,IF(B14='2.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Started'!B6+7,'26. Year 8 Amounts'!M30,IF(C14='2.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Started'!B6+7,'26. Year 8 Amounts'!K31,IF(D14='2.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Started'!B6+7,'26. Year 8 Amounts'!M31,IF(E14='2.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'29. Year 9 Amounts'!K30</f>
        <v/>
      </c>
      <c r="C16" s="17" t="str">
        <f>'29. Year 9 Amounts'!M30</f>
        <v/>
      </c>
      <c r="D16" s="17" t="str">
        <f>'29. Year 9 Amounts'!K31</f>
        <v/>
      </c>
      <c r="E16" s="258" t="str">
        <f>'29. Year 9 Amounts'!M31</f>
        <v/>
      </c>
    </row>
    <row r="17" spans="1:5">
      <c r="A17" s="243" t="s">
        <v>117</v>
      </c>
      <c r="B17" s="201" t="str">
        <f>IF(B16="","",IF(B16&gt;=B15,"Met",IF(AND(B16&lt;B15,'38. Total Local Funds'!F78="Met"),"Met with Exceptions &amp; Adjustments","Did Not Meet")))</f>
        <v/>
      </c>
      <c r="C17" s="201" t="str">
        <f>IF(C16="","",IF(C16&gt;=C15,"Met",IF(AND(C16&lt;C15,'39. Total State &amp; Local Funds'!F78="Met"),"Met with Exceptions &amp; Adjustments","Did Not Meet")))</f>
        <v/>
      </c>
      <c r="D17" s="201" t="str">
        <f>IF(D16="","",IF(D16&gt;=D15,"Met",IF(AND(D16&lt;D15,'40. Local Funds Per Capita'!F79="Met"),"Met with Exceptions &amp; Adjustments","Did Not Meet")))</f>
        <v/>
      </c>
      <c r="E17" s="259" t="str">
        <f>IF(E16="","",IF(E16&gt;=E15,"Met",IF(AND(E16&lt;E15,'41. State &amp; Local Funds Per Cap'!F79="Met"),"Met with Exceptions &amp; Adjustments","Did Not Meet")))</f>
        <v/>
      </c>
    </row>
    <row r="18" spans="1:5">
      <c r="A18" s="246" t="s">
        <v>46</v>
      </c>
      <c r="B18" s="256" t="str">
        <f>IF(B17="","",IF(B17="Did Not Meet",'38. Total Local Funds'!F76-'38. Total Local Funds'!F77,0))</f>
        <v/>
      </c>
      <c r="C18" s="256" t="str">
        <f>IF(C17="","",IF(C17="Did Not Meet",'39. Total State &amp; Local Funds'!F76-'39. Total State &amp; Local Funds'!F77,0))</f>
        <v/>
      </c>
      <c r="D18" s="256" t="str">
        <f>IF(D17="","",IF(D17="Did Not Meet",(('40. Local Funds Per Capita'!F77-'40. Local Funds Per Capita'!F78)*'29. Year 9 Amounts'!I1),0))</f>
        <v/>
      </c>
      <c r="E18" s="261" t="str">
        <f>IF(E17="","",IF(E17="Did Not Meet",(('41. State &amp; Local Funds Per Cap'!F77-'41. State &amp; Local Funds Per Cap'!F78)*'29. Year 9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135</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Started'!B6+8)</f>
        <v>Exceptions and Adjustment Claimed for State Fiscal Year 2029</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'30. Year 9 Exc &amp; Adj'!F22</f>
        <v>0</v>
      </c>
      <c r="C34" s="258">
        <f>'30. Year 9 Exc &amp; Adj'!F22</f>
        <v>0</v>
      </c>
      <c r="D34" s="326">
        <f>'30. Year 9 Exc &amp; Adj'!M22</f>
        <v>0</v>
      </c>
      <c r="E34" s="17">
        <f>'30. Year 9 Exc &amp; Adj'!M22</f>
        <v>0</v>
      </c>
    </row>
    <row r="35" spans="1:5">
      <c r="A35" s="224" t="s">
        <v>140</v>
      </c>
      <c r="B35" s="17" t="str">
        <f>'30. Year 9 Exc &amp; Adj'!B32</f>
        <v/>
      </c>
      <c r="C35" s="258" t="str">
        <f>'30. Year 9 Exc &amp; Adj'!C32</f>
        <v/>
      </c>
      <c r="D35" s="326" t="str">
        <f>'30. Year 9 Exc &amp; Adj'!I32</f>
        <v/>
      </c>
      <c r="E35" s="258" t="str">
        <f>'30. Year 9 Exc &amp; Adj'!J32</f>
        <v/>
      </c>
    </row>
    <row r="36" spans="1:5">
      <c r="A36" s="224" t="s">
        <v>141</v>
      </c>
      <c r="B36" s="17">
        <f>'30. Year 9 Exc &amp; Adj'!C43</f>
        <v>0</v>
      </c>
      <c r="C36" s="258">
        <f>'30. Year 9 Exc &amp; Adj'!C43</f>
        <v>0</v>
      </c>
      <c r="D36" s="326">
        <f>'30. Year 9 Exc &amp; Adj'!J43</f>
        <v>0</v>
      </c>
      <c r="E36" s="17">
        <f>'30. Year 9 Exc &amp; Adj'!J43</f>
        <v>0</v>
      </c>
    </row>
    <row r="37" spans="1:5">
      <c r="A37" s="224" t="s">
        <v>142</v>
      </c>
      <c r="B37" s="17">
        <f>'30. Year 9 Exc &amp; Adj'!B53</f>
        <v>0</v>
      </c>
      <c r="C37" s="258">
        <f>'30. Year 9 Exc &amp; Adj'!B53</f>
        <v>0</v>
      </c>
      <c r="D37" s="326">
        <f>'30. Year 9 Exc &amp; Adj'!I53</f>
        <v>0</v>
      </c>
      <c r="E37" s="17">
        <f>'30. Year 9 Exc &amp; Adj'!I53</f>
        <v>0</v>
      </c>
    </row>
    <row r="38" spans="1:5">
      <c r="A38" s="224" t="str">
        <f>IF('3b. High Cost Fund'!$B11="No","This exception is not valid for your state.","Exception (e)")</f>
        <v>Exception (e)</v>
      </c>
      <c r="B38" s="331">
        <f>IF('3b. High Cost Fund'!$B11="No","",'30. Year 9 Exc &amp; Adj'!B63)</f>
        <v>0</v>
      </c>
      <c r="C38" s="332">
        <f>IF('3b. High Cost Fund'!$B11="No","",'30. Year 9 Exc &amp; Adj'!B63)</f>
        <v>0</v>
      </c>
      <c r="D38" s="326">
        <f>IF('3b. High Cost Fund'!$B11="No","",'30. Year 9 Exc &amp; Adj'!I63)</f>
        <v>0</v>
      </c>
      <c r="E38" s="331">
        <f>IF('3b. High Cost Fund'!$B11="No","",'30. Year 9 Exc &amp; Adj'!I63)</f>
        <v>0</v>
      </c>
    </row>
    <row r="39" spans="1:5">
      <c r="A39" s="224" t="s">
        <v>143</v>
      </c>
      <c r="B39" s="17">
        <f>AdjDataYear9Budget[Projected Adjustment]</f>
        <v>0</v>
      </c>
      <c r="C39" s="17">
        <f>AdjDataYear9Budget[Projected Adjustment]</f>
        <v>0</v>
      </c>
      <c r="D39" s="327">
        <f>AdjDataYear9Expenditures[[Adjustment ]]</f>
        <v>0</v>
      </c>
      <c r="E39" s="17">
        <f>AdjDataYear9Expenditures[[Adjustment ]]</f>
        <v>0</v>
      </c>
    </row>
    <row r="40" spans="1:5">
      <c r="A40" s="246" t="s">
        <v>124</v>
      </c>
      <c r="B40" s="328">
        <f>SUM(B34:B39)</f>
        <v>0</v>
      </c>
      <c r="C40" s="329">
        <f>SUM(C34:C39)</f>
        <v>0</v>
      </c>
      <c r="D40" s="330">
        <f>SUM(D34:D39)</f>
        <v>0</v>
      </c>
      <c r="E40" s="329">
        <f>SUM(E34:E39)</f>
        <v>0</v>
      </c>
    </row>
    <row r="41" spans="1:5" ht="25.5"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p8tMJRGRE3Y0Vqp4tgtv7cxyZXfKUNLeBY/e5E82w1JWisAj42urgRdMQPiEIYxqsDaWykxVu/1I8mEFUtQ+Vg==" saltValue="f3ejwJAKLiGtnD6lTs8AiQ==" spinCount="100000" sheet="1" objects="1" scenarios="1" formatColumns="0" formatRows="0"/>
  <mergeCells count="5">
    <mergeCell ref="A11:E11"/>
    <mergeCell ref="A19:E19"/>
    <mergeCell ref="A28:E28"/>
    <mergeCell ref="A30:E30"/>
    <mergeCell ref="A43:E43"/>
  </mergeCells>
  <conditionalFormatting sqref="B9:E9">
    <cfRule type="containsText" dxfId="172" priority="3" operator="containsText" text="Did Not Meet">
      <formula>NOT(ISERROR(SEARCH("Did Not Meet",B9)))</formula>
    </cfRule>
    <cfRule type="containsText" dxfId="171" priority="4" operator="containsText" text="Met">
      <formula>NOT(ISERROR(SEARCH("Met",B9)))</formula>
    </cfRule>
  </conditionalFormatting>
  <conditionalFormatting sqref="B17:E17">
    <cfRule type="containsText" dxfId="170" priority="1" operator="containsText" text="Did Not Meet">
      <formula>NOT(ISERROR(SEARCH("Did Not Meet",B17)))</formula>
    </cfRule>
    <cfRule type="containsText" dxfId="169" priority="2" operator="containsText" text="Met">
      <formula>NOT(ISERROR(SEARCH("Met",B17)))</formula>
    </cfRule>
  </conditionalFormatting>
  <hyperlinks>
    <hyperlink ref="A29" location="'4. Multi-Year MOE Summary'!A12" display="Go to the Multi-Year MOE Summary" xr:uid="{00000000-0004-0000-2000-000000000000}"/>
    <hyperlink ref="A42" r:id="rId1" xr:uid="{00000000-0004-0000-20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Started'!B6+9," -  LEA Effort - Budgeted Amounts")</f>
        <v>Eligibility Standard - State Fiscal Year 2030 -  LEA Effort - Budgeted Amounts</v>
      </c>
      <c r="B2" s="23"/>
      <c r="C2" s="23"/>
      <c r="D2" s="23"/>
      <c r="E2" s="23"/>
      <c r="F2" s="24"/>
      <c r="G2" s="467"/>
      <c r="H2" s="22" t="str">
        <f>CONCATENATE("Compliance Standard - State Fiscal Year ",'2. Getting Started'!B6+9," - LEA Effort - Final Expenditures")</f>
        <v>Compliance Standard - State Fiscal Year 2030 - LEA Effort - Final Expenditures</v>
      </c>
      <c r="I2" s="23"/>
      <c r="J2" s="23"/>
      <c r="K2" s="23"/>
      <c r="L2" s="23"/>
      <c r="M2" s="24"/>
    </row>
    <row r="3" spans="1:13" s="25" customFormat="1" ht="24" customHeight="1">
      <c r="A3" s="26"/>
      <c r="B3" s="27"/>
      <c r="D3" s="28" t="str">
        <f>CONCATENATE("SFY ",'2. Getting Started'!$B6+9," Budget")</f>
        <v>SFY 2030 Budget</v>
      </c>
      <c r="E3" s="29"/>
      <c r="F3" s="30"/>
      <c r="G3" s="467"/>
      <c r="H3" s="26"/>
      <c r="I3" s="27"/>
      <c r="J3" s="31"/>
      <c r="K3" s="28" t="str">
        <f>CONCATENATE("SFY ",'2. Getting Started'!$B6+9," Final Expenditures")</f>
        <v>SFY 2030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wI1N20afUBuIUIUpsa+ksFpui6VHiI5aGhz3nXEgpVA4pVnH977ficSDYKumSUbrVQrnd1OWMEfJbrGFPSbZqQ==" saltValue="fHREhFpyEZK6tI41KVzW8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2100-000000000000}"/>
    <dataValidation allowBlank="1" showInputMessage="1" showErrorMessage="1" prompt="Don't forget to enter Child Count in Cell I1." sqref="H5" xr:uid="{00000000-0002-0000-2100-000001000000}"/>
  </dataValidations>
  <hyperlinks>
    <hyperlink ref="A33" r:id="rId1" xr:uid="{00000000-0004-0000-2100-000000000000}"/>
  </hyperlinks>
  <pageMargins left="0.75" right="0.75" top="1" bottom="1" header="0.5" footer="0.5"/>
  <pageSetup orientation="portrait" horizontalDpi="4294967292" verticalDpi="4294967292" r:id="rId2"/>
  <tableParts count="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5"/>
    <pageSetUpPr autoPageBreaks="0"/>
  </sheetPr>
  <dimension ref="A1:AB79"/>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65" customHeight="1"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176</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Started'!B6+9," Budget")</f>
        <v>Eligibility Standard -- Exceptions to MOE as Permitted by 34 CFR §300.204 and Adjustment to MOE as Permitted by 34 CFR §300.205 -- Projections for State Fiscal Year 2030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Started'!B6+9)</f>
        <v>Compliance Standard -- Exceptions to MOE as Permitted by 34 CFR §300.204 and Adjustment to MOE as Permitted by 34 CFR §300.205 -- Final Expenditures for  State Fiscal Year 2030</v>
      </c>
      <c r="I3" s="61"/>
      <c r="J3" s="61"/>
      <c r="K3" s="61"/>
      <c r="L3" s="61"/>
      <c r="M3" s="62"/>
      <c r="O3" s="64"/>
      <c r="P3" s="64"/>
      <c r="Q3" s="64"/>
      <c r="R3" s="64"/>
      <c r="S3" s="64"/>
      <c r="T3" s="64"/>
    </row>
    <row r="4" spans="1:20" ht="15.5">
      <c r="A4" s="65" t="s">
        <v>59</v>
      </c>
      <c r="B4" s="66"/>
      <c r="C4" s="67"/>
      <c r="D4" s="67"/>
      <c r="E4" s="67"/>
      <c r="F4" s="68"/>
      <c r="G4" s="473"/>
      <c r="H4" s="65" t="s">
        <v>59</v>
      </c>
      <c r="I4" s="66"/>
      <c r="J4" s="67"/>
      <c r="K4" s="67"/>
      <c r="L4" s="67"/>
      <c r="M4" s="68"/>
      <c r="N4" s="70"/>
      <c r="O4" s="70"/>
      <c r="P4" s="70"/>
      <c r="Q4" s="70"/>
      <c r="R4" s="70"/>
      <c r="S4" s="70"/>
    </row>
    <row r="5" spans="1:20" ht="15.5">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ht="15.5">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ht="15.5">
      <c r="A8" s="186"/>
      <c r="B8" s="187"/>
      <c r="C8" s="187"/>
      <c r="D8" s="188"/>
      <c r="E8" s="188"/>
      <c r="F8" s="84">
        <f>D8+E8</f>
        <v>0</v>
      </c>
      <c r="G8" s="473"/>
      <c r="H8" s="186"/>
      <c r="I8" s="187"/>
      <c r="J8" s="187"/>
      <c r="K8" s="188"/>
      <c r="L8" s="188"/>
      <c r="M8" s="84">
        <f>K8+L8</f>
        <v>0</v>
      </c>
      <c r="N8" s="85"/>
      <c r="O8" s="85"/>
    </row>
    <row r="9" spans="1:20" ht="15.5">
      <c r="A9" s="186"/>
      <c r="B9" s="187"/>
      <c r="C9" s="187"/>
      <c r="D9" s="188"/>
      <c r="E9" s="188"/>
      <c r="F9" s="84">
        <f>D9+E9</f>
        <v>0</v>
      </c>
      <c r="G9" s="473"/>
      <c r="H9" s="186"/>
      <c r="I9" s="187"/>
      <c r="J9" s="187"/>
      <c r="K9" s="188"/>
      <c r="L9" s="188"/>
      <c r="M9" s="84">
        <f>K9+L9</f>
        <v>0</v>
      </c>
      <c r="N9" s="85"/>
      <c r="O9" s="85"/>
    </row>
    <row r="10" spans="1:20" ht="15.5">
      <c r="A10" s="186"/>
      <c r="B10" s="187"/>
      <c r="C10" s="187"/>
      <c r="D10" s="188"/>
      <c r="E10" s="188"/>
      <c r="F10" s="84">
        <f>D10+E10</f>
        <v>0</v>
      </c>
      <c r="G10" s="473"/>
      <c r="H10" s="186"/>
      <c r="I10" s="187"/>
      <c r="J10" s="187"/>
      <c r="K10" s="188"/>
      <c r="L10" s="188"/>
      <c r="M10" s="84">
        <f>K10+L10</f>
        <v>0</v>
      </c>
      <c r="N10" s="85"/>
      <c r="O10" s="85"/>
    </row>
    <row r="11" spans="1:20" ht="15.5">
      <c r="A11" s="186"/>
      <c r="B11" s="187"/>
      <c r="C11" s="187"/>
      <c r="D11" s="188"/>
      <c r="E11" s="188"/>
      <c r="F11" s="84">
        <f>D11+E11</f>
        <v>0</v>
      </c>
      <c r="G11" s="473"/>
      <c r="H11" s="186"/>
      <c r="I11" s="187"/>
      <c r="J11" s="187"/>
      <c r="K11" s="188"/>
      <c r="L11" s="188"/>
      <c r="M11" s="84">
        <f>K11+L11</f>
        <v>0</v>
      </c>
      <c r="N11" s="85"/>
      <c r="O11" s="85"/>
    </row>
    <row r="12" spans="1:20" ht="15.5">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ht="15.5">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ht="15.5">
      <c r="A16" s="189"/>
      <c r="B16" s="190"/>
      <c r="C16" s="100"/>
      <c r="D16" s="188"/>
      <c r="E16" s="188"/>
      <c r="F16" s="84">
        <f t="shared" ref="F16:F20" si="2">D16+E16</f>
        <v>0</v>
      </c>
      <c r="G16" s="473"/>
      <c r="H16" s="189"/>
      <c r="I16" s="190"/>
      <c r="J16" s="100"/>
      <c r="K16" s="188"/>
      <c r="L16" s="188"/>
      <c r="M16" s="84">
        <f t="shared" ref="M16:M20" si="3">K16+L16</f>
        <v>0</v>
      </c>
      <c r="N16" s="85"/>
      <c r="O16" s="85"/>
    </row>
    <row r="17" spans="1:19" ht="15.5">
      <c r="A17" s="189"/>
      <c r="B17" s="190"/>
      <c r="C17" s="100"/>
      <c r="D17" s="188"/>
      <c r="E17" s="188"/>
      <c r="F17" s="84">
        <f t="shared" si="2"/>
        <v>0</v>
      </c>
      <c r="G17" s="473"/>
      <c r="H17" s="189"/>
      <c r="I17" s="190"/>
      <c r="J17" s="100"/>
      <c r="K17" s="188"/>
      <c r="L17" s="188"/>
      <c r="M17" s="84">
        <f t="shared" si="3"/>
        <v>0</v>
      </c>
      <c r="N17" s="85"/>
      <c r="O17" s="85"/>
    </row>
    <row r="18" spans="1:19" ht="15.5">
      <c r="A18" s="189"/>
      <c r="B18" s="190"/>
      <c r="C18" s="100"/>
      <c r="D18" s="188"/>
      <c r="E18" s="188"/>
      <c r="F18" s="84">
        <f t="shared" si="2"/>
        <v>0</v>
      </c>
      <c r="G18" s="473"/>
      <c r="H18" s="189"/>
      <c r="I18" s="190"/>
      <c r="J18" s="100"/>
      <c r="K18" s="188"/>
      <c r="L18" s="188"/>
      <c r="M18" s="84">
        <f t="shared" si="3"/>
        <v>0</v>
      </c>
      <c r="N18" s="85"/>
      <c r="O18" s="85"/>
    </row>
    <row r="19" spans="1:19" ht="15.5">
      <c r="A19" s="189"/>
      <c r="B19" s="190"/>
      <c r="C19" s="100"/>
      <c r="D19" s="188"/>
      <c r="E19" s="188"/>
      <c r="F19" s="84">
        <f t="shared" si="2"/>
        <v>0</v>
      </c>
      <c r="G19" s="473"/>
      <c r="H19" s="189"/>
      <c r="I19" s="190"/>
      <c r="J19" s="100"/>
      <c r="K19" s="188"/>
      <c r="L19" s="188"/>
      <c r="M19" s="84">
        <f t="shared" si="3"/>
        <v>0</v>
      </c>
      <c r="N19" s="85"/>
      <c r="O19" s="85"/>
    </row>
    <row r="20" spans="1:19" ht="15.5">
      <c r="A20" s="189"/>
      <c r="B20" s="190"/>
      <c r="C20" s="100"/>
      <c r="D20" s="188"/>
      <c r="E20" s="188"/>
      <c r="F20" s="84">
        <f t="shared" si="2"/>
        <v>0</v>
      </c>
      <c r="G20" s="473"/>
      <c r="H20" s="189"/>
      <c r="I20" s="190"/>
      <c r="J20" s="100"/>
      <c r="K20" s="188"/>
      <c r="L20" s="188"/>
      <c r="M20" s="84">
        <f t="shared" si="3"/>
        <v>0</v>
      </c>
      <c r="N20" s="85"/>
      <c r="O20" s="85"/>
    </row>
    <row r="21" spans="1:19" ht="15.5">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ht="15.5">
      <c r="A24" s="112" t="s">
        <v>105</v>
      </c>
      <c r="B24" s="113"/>
      <c r="C24" s="113"/>
      <c r="D24" s="63"/>
      <c r="E24" s="120"/>
      <c r="F24" s="120"/>
      <c r="G24" s="473"/>
      <c r="H24" s="112" t="s">
        <v>105</v>
      </c>
      <c r="I24" s="113"/>
      <c r="J24" s="113"/>
      <c r="K24" s="63"/>
      <c r="L24" s="120"/>
      <c r="M24" s="120"/>
      <c r="N24" s="119"/>
      <c r="O24" s="119"/>
      <c r="P24" s="119"/>
      <c r="Q24" s="119"/>
    </row>
    <row r="25" spans="1:19" ht="15.5">
      <c r="A25" s="121" t="s">
        <v>71</v>
      </c>
      <c r="B25" s="122" t="s">
        <v>77</v>
      </c>
      <c r="C25" s="123"/>
      <c r="D25" s="124"/>
      <c r="E25" s="123"/>
      <c r="F25" s="123"/>
      <c r="G25" s="473"/>
      <c r="H25" s="121" t="s">
        <v>71</v>
      </c>
      <c r="I25" s="122" t="s">
        <v>77</v>
      </c>
      <c r="J25" s="123"/>
      <c r="K25" s="124"/>
      <c r="L25" s="123"/>
      <c r="M25" s="123"/>
      <c r="N25" s="119"/>
      <c r="O25" s="119"/>
      <c r="P25" s="119"/>
      <c r="Q25" s="119"/>
    </row>
    <row r="26" spans="1:19" ht="15.5">
      <c r="A26" s="125" t="str">
        <f>CONCATENATE("SFY ",'2. Getting Started'!B6+9," Projected Child Count")</f>
        <v>SFY 2030 Projected Child Count</v>
      </c>
      <c r="B26" s="126" t="str">
        <f>IF('32. Year 10 Amounts'!B1="","",'32. Year 10 Amounts'!B1)</f>
        <v/>
      </c>
      <c r="C26" s="123"/>
      <c r="D26" s="124"/>
      <c r="E26" s="123"/>
      <c r="F26" s="123"/>
      <c r="G26" s="473"/>
      <c r="H26" s="125" t="str">
        <f>CONCATENATE("SFY ",'2. Getting Started'!B6+9," Child Count")</f>
        <v>SFY 2030 Child Count</v>
      </c>
      <c r="I26" s="126" t="str">
        <f>IF('32. Year 10 Amounts'!I1="","",'32. Year 10 Amounts'!I1)</f>
        <v/>
      </c>
      <c r="J26" s="123"/>
      <c r="K26" s="124"/>
      <c r="L26" s="123"/>
      <c r="M26" s="123"/>
      <c r="N26" s="119"/>
      <c r="O26" s="119"/>
      <c r="P26" s="119"/>
      <c r="Q26" s="119"/>
    </row>
    <row r="27" spans="1:19" ht="15.5">
      <c r="A27" s="125" t="str">
        <f>CONCATENATE("SFY ",'2. Getting Started'!B6+8," Projected Child Count")</f>
        <v>SFY 2029 Projected Child Count</v>
      </c>
      <c r="B27" s="126" t="str">
        <f>IF('29. Year 9 Amounts'!B1="","",'29. Year 9 Amounts'!B1)</f>
        <v/>
      </c>
      <c r="C27" s="119"/>
      <c r="D27" s="128"/>
      <c r="E27" s="119"/>
      <c r="F27" s="123"/>
      <c r="G27" s="473"/>
      <c r="H27" s="125" t="str">
        <f>CONCATENATE("SFY ",'2. Getting Started'!B6+8," Child Count")</f>
        <v>SFY 2029 Child Count</v>
      </c>
      <c r="I27" s="126" t="str">
        <f>IF('29. Year 9 Amounts'!I1="","",'29. Year 9 Amounts'!I1)</f>
        <v/>
      </c>
      <c r="J27" s="119"/>
      <c r="K27" s="128"/>
      <c r="L27" s="119"/>
      <c r="M27" s="123"/>
      <c r="N27" s="129"/>
      <c r="O27" s="129"/>
      <c r="P27" s="129"/>
      <c r="Q27" s="129"/>
    </row>
    <row r="28" spans="1:19" ht="15.5">
      <c r="A28" s="127" t="s">
        <v>78</v>
      </c>
      <c r="B28" s="130" t="str">
        <f>IF(B26="","",B26-B27)</f>
        <v/>
      </c>
      <c r="C28" s="123" t="str">
        <f>IF(B28="","",IF(B28&gt;=0,"Not eligible for this exception",""))</f>
        <v/>
      </c>
      <c r="D28" s="124"/>
      <c r="E28" s="123"/>
      <c r="F28" s="123"/>
      <c r="G28" s="473"/>
      <c r="H28" s="127" t="s">
        <v>78</v>
      </c>
      <c r="I28" s="130" t="str">
        <f>IF(I26="","",I26-I27)</f>
        <v/>
      </c>
      <c r="J28" s="123" t="str">
        <f>IF(I28="","",IF(I28&gt;=0,"Not eligible for this exception",""))</f>
        <v/>
      </c>
      <c r="K28" s="124"/>
      <c r="L28" s="123"/>
      <c r="M28" s="123"/>
      <c r="N28" s="132"/>
      <c r="O28" s="132"/>
      <c r="P28" s="132"/>
      <c r="Q28" s="132"/>
    </row>
    <row r="29" spans="1:19" ht="15.5">
      <c r="A29" s="133" t="s">
        <v>79</v>
      </c>
      <c r="B29" s="134" t="str">
        <f>IF(B26="","",IF(B28&lt;=0,ABS(B28/B27),""))</f>
        <v/>
      </c>
      <c r="C29" s="135"/>
      <c r="D29" s="136"/>
      <c r="E29" s="135"/>
      <c r="F29" s="10"/>
      <c r="G29" s="473"/>
      <c r="H29" s="133" t="s">
        <v>79</v>
      </c>
      <c r="I29" s="134" t="str">
        <f>IF(I26="","",IF(I28&lt;=0,ABS(I28/I27),""))</f>
        <v/>
      </c>
      <c r="J29" s="135"/>
      <c r="K29" s="136"/>
      <c r="L29" s="135"/>
      <c r="M29" s="10"/>
      <c r="N29" s="137"/>
      <c r="O29" s="137"/>
      <c r="P29" s="138"/>
      <c r="Q29" s="138"/>
    </row>
    <row r="30" spans="1:19" ht="15.5">
      <c r="A30" s="115" t="s">
        <v>71</v>
      </c>
      <c r="B30" s="116" t="s">
        <v>0</v>
      </c>
      <c r="C30" s="116" t="s">
        <v>2</v>
      </c>
      <c r="D30" s="10"/>
      <c r="E30" s="72"/>
      <c r="F30" s="72"/>
      <c r="G30" s="473"/>
      <c r="H30" s="115" t="s">
        <v>71</v>
      </c>
      <c r="I30" s="116" t="s">
        <v>75</v>
      </c>
      <c r="J30" s="116" t="s">
        <v>76</v>
      </c>
      <c r="K30" s="10"/>
      <c r="L30" s="72"/>
      <c r="M30" s="72"/>
      <c r="N30" s="138"/>
      <c r="O30" s="138"/>
    </row>
    <row r="31" spans="1:19" ht="15.5">
      <c r="A31" s="139" t="str">
        <f>CONCATENATE("SFY ",'2. Getting Started'!B6+8," Budget")</f>
        <v>SFY 2029 Budget</v>
      </c>
      <c r="B31" s="140" t="str">
        <f>IF('29. Year 9 Amounts'!D30="","",'29. Year 9 Amounts'!D30)</f>
        <v/>
      </c>
      <c r="C31" s="140" t="str">
        <f>IF('29. Year 9 Amounts'!F30="","",'29. Year 9 Amounts'!F30)</f>
        <v/>
      </c>
      <c r="D31" s="141"/>
      <c r="E31" s="74"/>
      <c r="F31" s="74"/>
      <c r="G31" s="473"/>
      <c r="H31" s="139" t="str">
        <f>CONCATENATE("SFY ",'2. Getting Started'!B6+8," Final Expenditures")</f>
        <v>SFY 2029 Final Expenditures</v>
      </c>
      <c r="I31" s="140" t="str">
        <f>IF('29. Year 9 Amounts'!K30="","",'29. Year 9 Amounts'!K30)</f>
        <v/>
      </c>
      <c r="J31" s="140" t="str">
        <f>IF('29. Year 9 Amounts'!M30="","",'29. Year 9 Amounts'!M30)</f>
        <v/>
      </c>
      <c r="K31" s="142"/>
      <c r="L31" s="74"/>
      <c r="M31" s="74"/>
    </row>
    <row r="32" spans="1:19" ht="15.5">
      <c r="A32" s="117" t="s">
        <v>80</v>
      </c>
      <c r="B32" s="143" t="str">
        <f>IF(OR($B26="",B29="",B31=""),"",($B29*B31))</f>
        <v/>
      </c>
      <c r="C32" s="143" t="str">
        <f>IF(OR($B26="",B29="",C31=""),"",($B29*C31))</f>
        <v/>
      </c>
      <c r="D32" s="142"/>
      <c r="E32" s="118"/>
      <c r="F32" s="118"/>
      <c r="G32" s="473"/>
      <c r="H32" s="117" t="s">
        <v>81</v>
      </c>
      <c r="I32" s="143" t="str">
        <f>IF(OR($I26="",I29="",I31=""),"",($I29*I31))</f>
        <v/>
      </c>
      <c r="J32" s="143" t="str">
        <f>IF(OR($I26="",I29="",J31=""),"",($I29*J31))</f>
        <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ht="15.5">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ht="15.5">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ht="15.5">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ht="15.5">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ht="15.5">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ht="15.5">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ht="15.5">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ht="15.5">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ht="15.5">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ht="15.5">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ht="15.5">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ht="15.5">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ht="15.5">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ht="15.5">
      <c r="A55" s="167" t="str">
        <f>IF('3b. High Cost Fund'!$B12="No","This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Fund'!$B12="No","This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Fund'!$B12="No","","SEA under §300.704. MUST be explicitly permitted by the SEA.")</f>
        <v>SEA under §300.704. MUST be explicitly permitted by the SEA.</v>
      </c>
      <c r="B56" s="168"/>
      <c r="C56" s="169"/>
      <c r="D56" s="170"/>
      <c r="E56" s="163"/>
      <c r="F56" s="144"/>
      <c r="G56" s="473"/>
      <c r="H56" s="71" t="str">
        <f>IF('3b. High Cost Fund'!$B12="No","","SEA under §300.704. MUST be explicitly permitted by the SEA.")</f>
        <v>SEA under §300.704. MUST be explicitly permitted by the SEA.</v>
      </c>
      <c r="I56" s="168"/>
      <c r="J56" s="147"/>
      <c r="K56" s="170"/>
      <c r="L56" s="163"/>
      <c r="M56" s="144"/>
    </row>
    <row r="57" spans="1:26" ht="15.5">
      <c r="A57" s="171" t="s">
        <v>85</v>
      </c>
      <c r="B57" s="172" t="s">
        <v>96</v>
      </c>
      <c r="C57" s="118"/>
      <c r="D57" s="144"/>
      <c r="E57" s="144"/>
      <c r="F57" s="10"/>
      <c r="G57" s="473"/>
      <c r="H57" s="171" t="s">
        <v>85</v>
      </c>
      <c r="I57" s="172" t="s">
        <v>97</v>
      </c>
      <c r="J57" s="118"/>
      <c r="K57" s="144"/>
      <c r="L57" s="144"/>
      <c r="M57" s="10"/>
    </row>
    <row r="58" spans="1:26" ht="15.4" customHeight="1">
      <c r="A58" s="196"/>
      <c r="B58" s="197"/>
      <c r="C58" s="337" t="str">
        <f>IF(AND(B58&lt;&gt;"",'3b. High Cost Fund'!$B12="No"),"Invalid entry. This exception is valid only in states with high-cost funds. If your state has a high-cost fund, please indicate that on tab 3b.","")</f>
        <v/>
      </c>
      <c r="D58" s="144"/>
      <c r="E58" s="144"/>
      <c r="F58" s="10"/>
      <c r="G58" s="473"/>
      <c r="H58" s="196"/>
      <c r="I58" s="197"/>
      <c r="J58" s="337" t="str">
        <f>IF(AND(I58&lt;&gt;"",'3b. High Cost Fund'!$B12="No"),"Invalid entry. This exception is valid only in states with high-cost funds. If your state has a high-cost fund, please indicate that on tab 3b.","")</f>
        <v/>
      </c>
      <c r="K58" s="144"/>
      <c r="L58" s="144"/>
      <c r="M58" s="10"/>
    </row>
    <row r="59" spans="1:26" ht="15.5">
      <c r="A59" s="196"/>
      <c r="B59" s="197"/>
      <c r="C59" s="144"/>
      <c r="D59" s="10"/>
      <c r="E59" s="10"/>
      <c r="F59" s="10"/>
      <c r="G59" s="473"/>
      <c r="H59" s="196"/>
      <c r="I59" s="197"/>
      <c r="J59" s="144"/>
      <c r="K59" s="10"/>
      <c r="L59" s="10"/>
      <c r="M59" s="10"/>
    </row>
    <row r="60" spans="1:26" ht="15.5">
      <c r="A60" s="196"/>
      <c r="B60" s="197"/>
      <c r="C60" s="144"/>
      <c r="D60" s="10"/>
      <c r="E60" s="10"/>
      <c r="F60" s="10"/>
      <c r="G60" s="473"/>
      <c r="H60" s="196"/>
      <c r="I60" s="197"/>
      <c r="J60" s="144"/>
      <c r="K60" s="10"/>
      <c r="L60" s="10"/>
      <c r="M60" s="10"/>
    </row>
    <row r="61" spans="1:26" ht="15.5">
      <c r="A61" s="196"/>
      <c r="B61" s="197"/>
      <c r="C61" s="144"/>
      <c r="D61" s="10"/>
      <c r="E61" s="10"/>
      <c r="F61" s="10"/>
      <c r="G61" s="473"/>
      <c r="H61" s="196"/>
      <c r="I61" s="197"/>
      <c r="J61" s="144"/>
      <c r="K61" s="10"/>
      <c r="L61" s="10"/>
      <c r="M61" s="10"/>
    </row>
    <row r="62" spans="1:26" ht="15.5">
      <c r="A62" s="196"/>
      <c r="B62" s="197"/>
      <c r="C62" s="144"/>
      <c r="D62" s="10"/>
      <c r="E62" s="10"/>
      <c r="F62" s="10"/>
      <c r="G62" s="473"/>
      <c r="H62" s="196"/>
      <c r="I62" s="197"/>
      <c r="J62" s="144"/>
      <c r="K62" s="10"/>
      <c r="L62" s="10"/>
      <c r="M62" s="10"/>
    </row>
    <row r="63" spans="1:26" ht="15.5">
      <c r="A63" s="173" t="s">
        <v>89</v>
      </c>
      <c r="B63" s="174">
        <f>IF('3b. High Cost Fund'!$B12="No",0,SUM(B58:B62))</f>
        <v>0</v>
      </c>
      <c r="C63" s="144"/>
      <c r="D63" s="10"/>
      <c r="E63" s="10"/>
      <c r="F63" s="10"/>
      <c r="G63" s="473"/>
      <c r="H63" s="175" t="s">
        <v>90</v>
      </c>
      <c r="I63" s="174">
        <f>IF('3b. High Cost Fund'!$B12="No",0,SUM(I58:I62))</f>
        <v>0</v>
      </c>
      <c r="J63" s="144"/>
      <c r="K63" s="10"/>
      <c r="L63" s="10"/>
      <c r="M63" s="10"/>
    </row>
    <row r="64" spans="1:26" ht="16" thickBot="1">
      <c r="A64" s="470" t="s">
        <v>22</v>
      </c>
      <c r="B64" s="470"/>
      <c r="C64" s="144"/>
      <c r="D64" s="10"/>
      <c r="E64" s="10"/>
      <c r="F64" s="10"/>
      <c r="G64" s="473"/>
      <c r="H64" s="470" t="s">
        <v>22</v>
      </c>
      <c r="I64" s="470"/>
      <c r="J64" s="144"/>
      <c r="K64" s="10"/>
      <c r="L64" s="10"/>
      <c r="M64" s="10"/>
    </row>
    <row r="65" spans="1:13" ht="15.5">
      <c r="A65" s="347" t="s">
        <v>107</v>
      </c>
      <c r="B65" s="348"/>
      <c r="C65" s="144"/>
      <c r="D65" s="10"/>
      <c r="E65" s="10"/>
      <c r="F65" s="10"/>
      <c r="G65" s="473"/>
      <c r="H65" s="347" t="s">
        <v>106</v>
      </c>
      <c r="I65" s="348"/>
      <c r="J65" s="144"/>
      <c r="K65" s="10"/>
      <c r="L65" s="10"/>
      <c r="M65" s="10"/>
    </row>
    <row r="66" spans="1:13" ht="15.5">
      <c r="A66" s="242" t="s">
        <v>123</v>
      </c>
      <c r="B66" s="265" t="s">
        <v>124</v>
      </c>
      <c r="C66" s="144"/>
      <c r="D66" s="10"/>
      <c r="E66" s="10"/>
      <c r="F66" s="10"/>
      <c r="G66" s="473"/>
      <c r="H66" s="269" t="s">
        <v>123</v>
      </c>
      <c r="I66" s="270" t="s">
        <v>124</v>
      </c>
      <c r="J66" s="144"/>
      <c r="K66" s="10"/>
      <c r="L66" s="10"/>
      <c r="M66" s="10"/>
    </row>
    <row r="67" spans="1:13" ht="15.5">
      <c r="A67" s="103" t="s">
        <v>0</v>
      </c>
      <c r="B67" s="240">
        <f>IF(B$28&gt;=0,(F$22+C$43+B$53+B$63),(F$22+C$43+B$53+B$63+B$32))</f>
        <v>0</v>
      </c>
      <c r="C67" s="144"/>
      <c r="D67" s="10"/>
      <c r="E67" s="10"/>
      <c r="F67" s="10"/>
      <c r="G67" s="473"/>
      <c r="H67" s="103" t="s">
        <v>0</v>
      </c>
      <c r="I67" s="240">
        <f>IF(I$28&gt;=0,(M$22+J$43+I$53+I$63),(M$22+J$43+I$53+I$63+I$32))</f>
        <v>0</v>
      </c>
      <c r="J67" s="144"/>
      <c r="K67" s="10"/>
      <c r="L67" s="10"/>
      <c r="M67" s="10"/>
    </row>
    <row r="68" spans="1:13" ht="15.5">
      <c r="A68" s="241" t="s">
        <v>2</v>
      </c>
      <c r="B68" s="174">
        <f>IF(B$28&gt;=0,(F$22+C$43+B$53+B$63),(F$22+C$43+B$53+B$63+C$32))</f>
        <v>0</v>
      </c>
      <c r="C68" s="144"/>
      <c r="D68" s="10"/>
      <c r="E68" s="10"/>
      <c r="F68" s="10"/>
      <c r="G68" s="473"/>
      <c r="H68" s="241" t="s">
        <v>2</v>
      </c>
      <c r="I68" s="174">
        <f>IF(I$28&gt;=0,(M$22+J$43+I$53+I$63),(M$22+J$43+I$53+I$63+J$32))</f>
        <v>0</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ht="15.5">
      <c r="A71" s="179" t="s">
        <v>71</v>
      </c>
      <c r="B71" s="180" t="s">
        <v>99</v>
      </c>
      <c r="C71" s="11" t="s">
        <v>100</v>
      </c>
      <c r="E71" s="10"/>
      <c r="F71" s="10"/>
      <c r="G71" s="473"/>
      <c r="H71" s="179" t="s">
        <v>71</v>
      </c>
      <c r="I71" s="180" t="s">
        <v>101</v>
      </c>
      <c r="J71" s="11" t="s">
        <v>100</v>
      </c>
      <c r="K71" s="10"/>
      <c r="L71" s="10"/>
      <c r="M71" s="10"/>
    </row>
    <row r="72" spans="1:13" ht="15.5">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ht="15.5">
      <c r="A74" s="358" t="s">
        <v>182</v>
      </c>
      <c r="B74" s="184"/>
      <c r="C74" s="184"/>
      <c r="D74" s="184"/>
      <c r="E74" s="184"/>
      <c r="F74" s="184"/>
      <c r="G74" s="473"/>
      <c r="H74" s="184"/>
      <c r="I74" s="184"/>
      <c r="J74" s="184"/>
      <c r="K74" s="184"/>
      <c r="L74" s="184"/>
      <c r="M74" s="184"/>
    </row>
    <row r="75" spans="1:13" ht="15.5">
      <c r="A75" s="469" t="s">
        <v>24</v>
      </c>
      <c r="B75" s="469"/>
      <c r="C75" s="469"/>
      <c r="D75" s="469"/>
      <c r="E75" s="469"/>
      <c r="F75" s="469"/>
      <c r="G75" s="469"/>
      <c r="H75" s="469"/>
      <c r="I75" s="469"/>
      <c r="J75" s="469"/>
      <c r="K75" s="469"/>
      <c r="L75" s="469"/>
      <c r="M75" s="469"/>
    </row>
    <row r="76" spans="1:13" ht="15.5" hidden="1"/>
    <row r="77" spans="1:13" ht="15.5" hidden="1"/>
    <row r="78" spans="1:13" ht="15.5" hidden="1"/>
    <row r="79" spans="1:13" ht="15.5" hidden="1"/>
  </sheetData>
  <sheetProtection algorithmName="SHA-512" hashValue="sQQM3RPlbZXFyWt9RQlERg1TYlXUI7ajP4gdZIxiPv0T4Ns/XCaB/W8z5usgA1nXtYS2IeCQ99DqNMTdmVB/qg==" saltValue="FpkbCQX9QKaaYE6yIIf9KQ==" spinCount="100000" sheet="1" formatColumns="0" formatRows="0"/>
  <mergeCells count="14">
    <mergeCell ref="A75:M75"/>
    <mergeCell ref="A23:F23"/>
    <mergeCell ref="H23:M23"/>
    <mergeCell ref="A33:C33"/>
    <mergeCell ref="H33:J33"/>
    <mergeCell ref="A44:C44"/>
    <mergeCell ref="H44:J44"/>
    <mergeCell ref="G1:G74"/>
    <mergeCell ref="A64:B64"/>
    <mergeCell ref="H64:I64"/>
    <mergeCell ref="A54:B54"/>
    <mergeCell ref="H54:I54"/>
    <mergeCell ref="A69:B69"/>
    <mergeCell ref="H69:I69"/>
  </mergeCells>
  <conditionalFormatting sqref="A55">
    <cfRule type="containsText" dxfId="168" priority="2" operator="containsText" text="not valid">
      <formula>NOT(ISERROR(SEARCH("not valid",A55)))</formula>
    </cfRule>
  </conditionalFormatting>
  <conditionalFormatting sqref="H55">
    <cfRule type="containsText" dxfId="167" priority="1" operator="containsText" text="not valid">
      <formula>NOT(ISERROR(SEARCH("not valid",H55)))</formula>
    </cfRule>
  </conditionalFormatting>
  <dataValidations count="1">
    <dataValidation type="list" allowBlank="1" showInputMessage="1" showErrorMessage="1" sqref="B38:B42 I38:I42" xr:uid="{00000000-0002-0000-2200-000000000000}">
      <formula1>Exception_c</formula1>
    </dataValidation>
  </dataValidations>
  <hyperlinks>
    <hyperlink ref="C72" r:id="rId1" xr:uid="{00000000-0004-0000-2200-000000000000}"/>
    <hyperlink ref="J72" r:id="rId2" xr:uid="{00000000-0004-0000-2200-000001000000}"/>
    <hyperlink ref="A74" r:id="rId3" xr:uid="{00000000-0004-0000-22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0070C0"/>
  </sheetPr>
  <dimension ref="A1:F43"/>
  <sheetViews>
    <sheetView showGridLines="0" workbookViewId="0">
      <selection activeCell="A5" sqref="A5"/>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10: State Fiscal Year ",'2. Getting Started'!B6+9)</f>
        <v>Summary of Year 10: State Fiscal Year 2030</v>
      </c>
      <c r="B1" s="299"/>
      <c r="C1" s="299"/>
      <c r="D1" s="21" t="s">
        <v>14</v>
      </c>
      <c r="E1" s="20" t="str">
        <f>IF('2. Getting Started'!B2="","",'2. Getting Started'!B2)</f>
        <v/>
      </c>
    </row>
    <row r="2" spans="1:5" ht="18.5">
      <c r="A2" s="2" t="str">
        <f>CONCATENATE("State fiscal year ",'2. Getting Started'!B6+9," covers the period ",'2. Getting Started'!B4,", ",'2. Getting Started'!B6+8," through ",'2. Getting Started'!B5,", ",'2. Getting Started'!B6+9)</f>
        <v>State fiscal year 2030 covers the period July 1, 2029 through June 30, 2030</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Started'!$B$6+7,'26. Year 8 Amounts'!K30,IF(B6='2.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Started'!$B$6+7,'26. Year 8 Amounts'!M30,IF(C6='2.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Started'!$B$6+7,'26. Year 8 Amounts'!K31,IF(D6='2.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Started'!$B$6+7,'26. Year 8 Amounts'!M31,IF(E6='2.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'32. Year 10 Amounts'!D30</f>
        <v/>
      </c>
      <c r="C8" s="205" t="str">
        <f>'32. Year 10 Amounts'!F30</f>
        <v/>
      </c>
      <c r="D8" s="205" t="str">
        <f>'32. Year 10 Amounts'!D31</f>
        <v/>
      </c>
      <c r="E8" s="267" t="str">
        <f>'32. Year 10 Amounts'!F31</f>
        <v/>
      </c>
    </row>
    <row r="9" spans="1:5">
      <c r="A9" s="243" t="s">
        <v>117</v>
      </c>
      <c r="B9" s="201" t="str">
        <f>IF(B8="","",IF(B8&gt;=B7,"Met",IF(AND(B8&lt;B7,'38. Total Local Funds'!$B86="Met"),"Met with Exceptions &amp; Adjustments","Did Not Meet")))</f>
        <v/>
      </c>
      <c r="C9" s="201" t="str">
        <f>IF(C8="","",IF(C8&gt;=C7,"Met",IF(AND(C8&lt;C7,'39. Total State &amp; Local Funds'!$B86="Met"),"Met with Exceptions &amp; Adjustments","Did Not Meet")))</f>
        <v/>
      </c>
      <c r="D9" s="201" t="str">
        <f>IF(D8="","",IF(D8&gt;=D7,"Met",IF(AND(D8&lt;D7,'40. Local Funds Per Capita'!$B87="Met"),"Met with Exceptions &amp; Adjustments","Did Not Meet")))</f>
        <v/>
      </c>
      <c r="E9" s="259" t="str">
        <f>IF(E8="","",IF(E8&gt;=E7,"Met",IF(AND(E8&lt;E7,'41. State &amp; Local Funds Per Cap'!$B87="Met"),"Met with Exceptions &amp; Adjustments","Did Not Meet")))</f>
        <v/>
      </c>
    </row>
    <row r="10" spans="1:5">
      <c r="A10" s="246" t="s">
        <v>46</v>
      </c>
      <c r="B10" s="256" t="str">
        <f>IF(B9="","",IF(B9="Did Not Meet",'38. Total Local Funds'!$B84-'38. Total Local Funds'!$B85,0))</f>
        <v/>
      </c>
      <c r="C10" s="256" t="str">
        <f>IF(C9="","",IF(C9="Did Not Meet",'39. Total State &amp; Local Funds'!$B84-'39. Total State &amp; Local Funds'!$B85,0))</f>
        <v/>
      </c>
      <c r="D10" s="256" t="str">
        <f>IF(D9="","",IF(D9="Did Not Meet",(('40. Local Funds Per Capita'!$B85-'40. Local Funds Per Capita'!$B86)*'32. Year 10 Amounts'!B1),0))</f>
        <v/>
      </c>
      <c r="E10" s="261" t="str">
        <f>IF(E9="","",IF(E9="Did Not Meet",(('41. State &amp; Local Funds Per Cap'!$B85-'41. State &amp; Local Funds Per Cap'!$B86)*'32. Year 10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Funds'!F78="Met",'2. Getting Started'!B6+8,IF('38.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Funds'!F78="Met",'2. Getting Started'!B6+8,IF('39.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Capita'!F79="Met",'2. Getting Started'!B6+8,IF('40.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Cap'!F79="Met",'2. Getting Started'!B6+8,IF('41.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Started'!B6+8,'29. Year 9 Amounts'!K30,IF(B14='2. Getting Started'!B6+7,'26. Year 8 Amounts'!K30,IF(B14='2.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Started'!B6+8,'29. Year 9 Amounts'!M30,IF(C14='2. Getting Started'!B6+7,'26. Year 8 Amounts'!M30,IF(C14='2.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Started'!B6+8,'29. Year 9 Amounts'!K31,IF(D14='2. Getting Started'!B6+7,'26. Year 8 Amounts'!K31,IF(D14='2.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Started'!B6+8,'29. Year 9 Amounts'!M31,IF(E14='2. Getting Started'!B6+7,'26. Year 8 Amounts'!M31,IF(E14='2.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'32. Year 10 Amounts'!K30</f>
        <v/>
      </c>
      <c r="C16" s="17" t="str">
        <f>'32. Year 10 Amounts'!M30</f>
        <v/>
      </c>
      <c r="D16" s="17" t="str">
        <f>'32. Year 10 Amounts'!K31</f>
        <v/>
      </c>
      <c r="E16" s="258" t="str">
        <f>'32. Year 10 Amounts'!M31</f>
        <v/>
      </c>
    </row>
    <row r="17" spans="1:5">
      <c r="A17" s="243" t="s">
        <v>117</v>
      </c>
      <c r="B17" s="201" t="str">
        <f>IF(B16="","",IF(B16&gt;=B15,"Met",IF(AND(B16&lt;B15,'38. Total Local Funds'!F86="Met"),"Met with Exceptions &amp; Adjustments","Did Not Meet")))</f>
        <v/>
      </c>
      <c r="C17" s="201" t="str">
        <f>IF(C16="","",IF(C16&gt;=C15,"Met",IF(AND(C16&lt;C15,'39. Total State &amp; Local Funds'!F86="Met"),"Met with Exceptions &amp; Adjustments","Did Not Meet")))</f>
        <v/>
      </c>
      <c r="D17" s="201" t="str">
        <f>IF(D16="","",IF(D16&gt;=D15,"Met",IF(AND(D16&lt;D15,'40. Local Funds Per Capita'!F87="Met"),"Met with Exceptions &amp; Adjustments","Did Not Meet")))</f>
        <v/>
      </c>
      <c r="E17" s="259" t="str">
        <f>IF(E16="","",IF(E16&gt;=E15,"Met",IF(AND(E16&lt;E15,'41. State &amp; Local Funds Per Cap'!F87="Met"),"Met with Exceptions &amp; Adjustments","Did Not Meet")))</f>
        <v/>
      </c>
    </row>
    <row r="18" spans="1:5">
      <c r="A18" s="246" t="s">
        <v>46</v>
      </c>
      <c r="B18" s="256" t="str">
        <f>IF(B17="","",IF(B17="Did Not Meet",'38. Total Local Funds'!F84-'38. Total Local Funds'!F85,0))</f>
        <v/>
      </c>
      <c r="C18" s="256" t="str">
        <f>IF(C17="","",IF(C17="Did Not Meet",'39. Total State &amp; Local Funds'!F84-'39. Total State &amp; Local Funds'!F85,0))</f>
        <v/>
      </c>
      <c r="D18" s="256" t="str">
        <f>IF(D17="","",IF(D17="Did Not Meet",(('40. Local Funds Per Capita'!F85-'40. Local Funds Per Capita'!F86)*'32. Year 10 Amounts'!I1),0))</f>
        <v/>
      </c>
      <c r="E18" s="261" t="str">
        <f>IF(E17="","",IF(E17="Did Not Meet",(('41. State &amp; Local Funds Per Cap'!F85-'41. State &amp; Local Funds Per Cap'!F86)*'32. Year 10 Amounts'!I1),0))</f>
        <v/>
      </c>
    </row>
    <row r="19" spans="1:5">
      <c r="A19" s="464" t="s">
        <v>174</v>
      </c>
      <c r="B19" s="464"/>
      <c r="C19" s="464"/>
      <c r="D19" s="464"/>
      <c r="E19" s="464"/>
    </row>
    <row r="20" spans="1:5" ht="15.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157</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5">
      <c r="A29" s="321" t="s">
        <v>148</v>
      </c>
    </row>
    <row r="30" spans="1:5">
      <c r="A30" s="464" t="s">
        <v>174</v>
      </c>
      <c r="B30" s="464"/>
      <c r="C30" s="464"/>
      <c r="D30" s="464"/>
      <c r="E30" s="464"/>
    </row>
    <row r="31" spans="1:5">
      <c r="A31" s="2" t="str">
        <f>CONCATENATE("Exceptions and Adjustment Claimed for State Fiscal Year ",'2. Getting Started'!B6+9)</f>
        <v>Exceptions and Adjustment Claimed for State Fiscal Year 2030</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'33. Year 10 Exc &amp; Adj'!F22</f>
        <v>0</v>
      </c>
      <c r="C34" s="258">
        <f>'33. Year 10 Exc &amp; Adj'!F22</f>
        <v>0</v>
      </c>
      <c r="D34" s="326">
        <f>'33. Year 10 Exc &amp; Adj'!M22</f>
        <v>0</v>
      </c>
      <c r="E34" s="17">
        <f>'33. Year 10 Exc &amp; Adj'!M22</f>
        <v>0</v>
      </c>
    </row>
    <row r="35" spans="1:5">
      <c r="A35" s="224" t="s">
        <v>140</v>
      </c>
      <c r="B35" s="17" t="str">
        <f>'33. Year 10 Exc &amp; Adj'!B32</f>
        <v/>
      </c>
      <c r="C35" s="258" t="str">
        <f>'33. Year 10 Exc &amp; Adj'!C32</f>
        <v/>
      </c>
      <c r="D35" s="326" t="str">
        <f>'33. Year 10 Exc &amp; Adj'!I32</f>
        <v/>
      </c>
      <c r="E35" s="258" t="str">
        <f>'33. Year 10 Exc &amp; Adj'!J32</f>
        <v/>
      </c>
    </row>
    <row r="36" spans="1:5">
      <c r="A36" s="224" t="s">
        <v>141</v>
      </c>
      <c r="B36" s="17">
        <f>'33. Year 10 Exc &amp; Adj'!C43</f>
        <v>0</v>
      </c>
      <c r="C36" s="258">
        <f>'33. Year 10 Exc &amp; Adj'!C43</f>
        <v>0</v>
      </c>
      <c r="D36" s="326">
        <f>'33. Year 10 Exc &amp; Adj'!J43</f>
        <v>0</v>
      </c>
      <c r="E36" s="17">
        <f>'33. Year 10 Exc &amp; Adj'!J43</f>
        <v>0</v>
      </c>
    </row>
    <row r="37" spans="1:5">
      <c r="A37" s="224" t="s">
        <v>142</v>
      </c>
      <c r="B37" s="17">
        <f>'33. Year 10 Exc &amp; Adj'!B53</f>
        <v>0</v>
      </c>
      <c r="C37" s="258">
        <f>'33. Year 10 Exc &amp; Adj'!B53</f>
        <v>0</v>
      </c>
      <c r="D37" s="326">
        <f>'33. Year 10 Exc &amp; Adj'!I53</f>
        <v>0</v>
      </c>
      <c r="E37" s="17">
        <f>'33. Year 10 Exc &amp; Adj'!I53</f>
        <v>0</v>
      </c>
    </row>
    <row r="38" spans="1:5">
      <c r="A38" s="224" t="str">
        <f>IF('3b. High Cost Fund'!$B12="No","This exception is not valid for your state.","Exception (e)")</f>
        <v>Exception (e)</v>
      </c>
      <c r="B38" s="331">
        <f>IF('3b. High Cost Fund'!$B12="No","",'33. Year 10 Exc &amp; Adj'!B63)</f>
        <v>0</v>
      </c>
      <c r="C38" s="332">
        <f>IF('3b. High Cost Fund'!$B12="No","",'33. Year 10 Exc &amp; Adj'!B63)</f>
        <v>0</v>
      </c>
      <c r="D38" s="326">
        <f>IF('3b. High Cost Fund'!$B12="No","",'33. Year 10 Exc &amp; Adj'!I63)</f>
        <v>0</v>
      </c>
      <c r="E38" s="331">
        <f>IF('3b. High Cost Fund'!$B12="No","",'33. Year 10 Exc &amp; Adj'!I63)</f>
        <v>0</v>
      </c>
    </row>
    <row r="39" spans="1:5">
      <c r="A39" s="224" t="s">
        <v>143</v>
      </c>
      <c r="B39" s="17">
        <f>AdjDataYear10Budget[Projected Adjustment]</f>
        <v>0</v>
      </c>
      <c r="C39" s="17">
        <f>AdjDataYear10Budget[Projected Adjustment]</f>
        <v>0</v>
      </c>
      <c r="D39" s="327">
        <f>AdjDataYear10Expenditures[[Adjustment ]]</f>
        <v>0</v>
      </c>
      <c r="E39" s="17">
        <f>AdjDataYear10Expenditures[[Adjustment ]]</f>
        <v>0</v>
      </c>
    </row>
    <row r="40" spans="1:5">
      <c r="A40" s="246" t="s">
        <v>124</v>
      </c>
      <c r="B40" s="328">
        <f>SUM(B34:B39)</f>
        <v>0</v>
      </c>
      <c r="C40" s="329">
        <f>SUM(C34:C39)</f>
        <v>0</v>
      </c>
      <c r="D40" s="330">
        <f>SUM(D34:D39)</f>
        <v>0</v>
      </c>
      <c r="E40" s="329">
        <f>SUM(E34:E39)</f>
        <v>0</v>
      </c>
    </row>
    <row r="41" spans="1:5" ht="27" customHeight="1">
      <c r="A41" s="345" t="s">
        <v>183</v>
      </c>
      <c r="B41" s="346"/>
      <c r="C41" s="346"/>
      <c r="D41" s="346"/>
      <c r="E41" s="346"/>
    </row>
    <row r="42" spans="1:5" ht="15.5">
      <c r="A42" s="358" t="s">
        <v>182</v>
      </c>
    </row>
    <row r="43" spans="1:5">
      <c r="A43" s="464" t="s">
        <v>24</v>
      </c>
      <c r="B43" s="464"/>
      <c r="C43" s="464"/>
      <c r="D43" s="464"/>
      <c r="E43" s="464"/>
    </row>
  </sheetData>
  <sheetProtection algorithmName="SHA-512" hashValue="2t4zG23eThjK9bnAW1pmkfAlfyXposaDa8gMkiCFwCrrmyIfy+8zNA32ivnAdRwJq5uTZoVAOQbieMjilSNmOQ==" saltValue="5tPll/tfHceoYNEg9A15oQ==" spinCount="100000" sheet="1" objects="1" scenarios="1" formatColumns="0" formatRows="0"/>
  <mergeCells count="5">
    <mergeCell ref="A11:E11"/>
    <mergeCell ref="A19:E19"/>
    <mergeCell ref="A28:E28"/>
    <mergeCell ref="A30:E30"/>
    <mergeCell ref="A43:E43"/>
  </mergeCells>
  <conditionalFormatting sqref="B9:E9">
    <cfRule type="containsText" dxfId="166" priority="3" operator="containsText" text="Did Not Meet">
      <formula>NOT(ISERROR(SEARCH("Did Not Meet",B9)))</formula>
    </cfRule>
    <cfRule type="containsText" dxfId="165" priority="4" operator="containsText" text="Met">
      <formula>NOT(ISERROR(SEARCH("Met",B9)))</formula>
    </cfRule>
  </conditionalFormatting>
  <conditionalFormatting sqref="B17:E17">
    <cfRule type="containsText" dxfId="164" priority="1" operator="containsText" text="Did Not Meet">
      <formula>NOT(ISERROR(SEARCH("Did Not Meet",B17)))</formula>
    </cfRule>
    <cfRule type="containsText" dxfId="163" priority="2" operator="containsText" text="Met">
      <formula>NOT(ISERROR(SEARCH("Met",B17)))</formula>
    </cfRule>
  </conditionalFormatting>
  <hyperlinks>
    <hyperlink ref="A29" location="'4. Multi-Year MOE Summary'!A13" display="Go to the Multi-Year MOE Summary" xr:uid="{00000000-0004-0000-2300-000000000000}"/>
    <hyperlink ref="A42" r:id="rId1" xr:uid="{00000000-0004-0000-23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c r="I1" s="206"/>
      <c r="K1" s="21"/>
    </row>
    <row r="2" spans="1:13" s="25" customFormat="1" ht="37.9" customHeight="1" thickBot="1">
      <c r="A2" s="22" t="str">
        <f>CONCATENATE("Eligibility Standard - State Fiscal Year ",'2. Getting Started'!B6+10," -  LEA Effort - Budgeted Amounts")</f>
        <v>Eligibility Standard - State Fiscal Year 2031 -  LEA Effort - Budgeted Amounts</v>
      </c>
      <c r="B2" s="23"/>
      <c r="C2" s="23"/>
      <c r="D2" s="23"/>
      <c r="E2" s="23"/>
      <c r="F2" s="24"/>
      <c r="G2" s="467"/>
      <c r="H2" s="207" t="str">
        <f>CONCATENATE("Compliance Standard - State Fiscal Year ",'2. Getting Started'!B6+10," - LEA Effort - Final Expenditures")</f>
        <v>Compliance Standard - State Fiscal Year 2031 - LEA Effort - Final Expenditures</v>
      </c>
      <c r="I2" s="208"/>
      <c r="J2" s="208"/>
      <c r="K2" s="208"/>
      <c r="L2" s="208"/>
      <c r="M2" s="32"/>
    </row>
    <row r="3" spans="1:13" s="25" customFormat="1" ht="24" customHeight="1">
      <c r="A3" s="26"/>
      <c r="B3" s="27"/>
      <c r="D3" s="28" t="str">
        <f>CONCATENATE("SFY ",'2. Getting Started'!$B6+10," Budget")</f>
        <v>SFY 2031 Budget</v>
      </c>
      <c r="E3" s="29"/>
      <c r="F3" s="30"/>
      <c r="G3" s="467"/>
      <c r="H3" s="216" t="s">
        <v>47</v>
      </c>
      <c r="I3" s="210"/>
      <c r="J3" s="210"/>
      <c r="K3" s="209"/>
      <c r="L3" s="209"/>
      <c r="M3" s="211"/>
    </row>
    <row r="4" spans="1:13" s="37" customFormat="1" ht="19" thickBot="1">
      <c r="A4" s="33" t="s">
        <v>50</v>
      </c>
      <c r="B4" s="34" t="s">
        <v>51</v>
      </c>
      <c r="C4" s="35" t="s">
        <v>52</v>
      </c>
      <c r="D4" s="36" t="s">
        <v>53</v>
      </c>
      <c r="E4" s="36" t="s">
        <v>54</v>
      </c>
      <c r="F4" s="36" t="s">
        <v>8</v>
      </c>
      <c r="G4" s="467"/>
      <c r="H4" s="212"/>
      <c r="I4" s="213"/>
      <c r="J4" s="213"/>
      <c r="K4" s="214"/>
      <c r="L4" s="214"/>
      <c r="M4" s="215"/>
    </row>
    <row r="5" spans="1:13" ht="15.5">
      <c r="A5" s="49"/>
      <c r="B5" s="50"/>
      <c r="C5" s="51"/>
      <c r="D5" s="52"/>
      <c r="E5" s="52"/>
      <c r="F5" s="38" t="str">
        <f>IF(AND(D5="",E5=""),"",SUM(D5:E5))</f>
        <v/>
      </c>
      <c r="G5" s="467"/>
      <c r="H5" s="477" t="s">
        <v>174</v>
      </c>
      <c r="I5" s="477"/>
      <c r="J5" s="477"/>
      <c r="K5" s="477"/>
      <c r="L5" s="477"/>
      <c r="M5" s="477"/>
    </row>
    <row r="6" spans="1:13" ht="15.5">
      <c r="A6" s="49"/>
      <c r="B6" s="50"/>
      <c r="C6" s="51"/>
      <c r="D6" s="52"/>
      <c r="E6" s="52"/>
      <c r="F6" s="38" t="str">
        <f t="shared" ref="F6:F29" si="0">IF(AND(D6="",E6=""),"",SUM(D6:E6))</f>
        <v/>
      </c>
      <c r="G6" s="467"/>
      <c r="H6" s="478"/>
      <c r="I6" s="478"/>
      <c r="J6" s="478"/>
      <c r="K6" s="478"/>
      <c r="L6" s="478"/>
      <c r="M6" s="478"/>
    </row>
    <row r="7" spans="1:13" ht="15.5">
      <c r="A7" s="49"/>
      <c r="B7" s="50"/>
      <c r="C7" s="51"/>
      <c r="D7" s="52"/>
      <c r="E7" s="52"/>
      <c r="F7" s="38" t="str">
        <f t="shared" si="0"/>
        <v/>
      </c>
      <c r="G7" s="467"/>
      <c r="H7" s="478"/>
      <c r="I7" s="478"/>
      <c r="J7" s="478"/>
      <c r="K7" s="478"/>
      <c r="L7" s="478"/>
      <c r="M7" s="478"/>
    </row>
    <row r="8" spans="1:13" ht="15.5">
      <c r="A8" s="49"/>
      <c r="B8" s="50"/>
      <c r="C8" s="51"/>
      <c r="D8" s="52"/>
      <c r="E8" s="52"/>
      <c r="F8" s="38" t="str">
        <f t="shared" si="0"/>
        <v/>
      </c>
      <c r="G8" s="467"/>
      <c r="H8" s="478"/>
      <c r="I8" s="478"/>
      <c r="J8" s="478"/>
      <c r="K8" s="478"/>
      <c r="L8" s="478"/>
      <c r="M8" s="478"/>
    </row>
    <row r="9" spans="1:13" ht="15.5">
      <c r="A9" s="49"/>
      <c r="B9" s="50"/>
      <c r="C9" s="51"/>
      <c r="D9" s="52"/>
      <c r="E9" s="52"/>
      <c r="F9" s="38" t="str">
        <f t="shared" si="0"/>
        <v/>
      </c>
      <c r="G9" s="467"/>
      <c r="H9" s="478"/>
      <c r="I9" s="478"/>
      <c r="J9" s="478"/>
      <c r="K9" s="478"/>
      <c r="L9" s="478"/>
      <c r="M9" s="478"/>
    </row>
    <row r="10" spans="1:13" ht="15.5">
      <c r="A10" s="49"/>
      <c r="B10" s="50"/>
      <c r="C10" s="51"/>
      <c r="D10" s="52"/>
      <c r="E10" s="52"/>
      <c r="F10" s="38" t="str">
        <f t="shared" si="0"/>
        <v/>
      </c>
      <c r="G10" s="467"/>
      <c r="H10" s="478"/>
      <c r="I10" s="478"/>
      <c r="J10" s="478"/>
      <c r="K10" s="478"/>
      <c r="L10" s="478"/>
      <c r="M10" s="478"/>
    </row>
    <row r="11" spans="1:13" ht="15.5">
      <c r="A11" s="49"/>
      <c r="B11" s="50"/>
      <c r="C11" s="51"/>
      <c r="D11" s="52"/>
      <c r="E11" s="52"/>
      <c r="F11" s="38" t="str">
        <f t="shared" si="0"/>
        <v/>
      </c>
      <c r="G11" s="467"/>
      <c r="H11" s="478"/>
      <c r="I11" s="478"/>
      <c r="J11" s="478"/>
      <c r="K11" s="478"/>
      <c r="L11" s="478"/>
      <c r="M11" s="478"/>
    </row>
    <row r="12" spans="1:13" ht="15.5">
      <c r="A12" s="49"/>
      <c r="B12" s="50"/>
      <c r="C12" s="51"/>
      <c r="D12" s="52"/>
      <c r="E12" s="52"/>
      <c r="F12" s="38" t="str">
        <f t="shared" si="0"/>
        <v/>
      </c>
      <c r="G12" s="467"/>
      <c r="H12" s="478"/>
      <c r="I12" s="478"/>
      <c r="J12" s="478"/>
      <c r="K12" s="478"/>
      <c r="L12" s="478"/>
      <c r="M12" s="478"/>
    </row>
    <row r="13" spans="1:13" ht="15.5">
      <c r="A13" s="49"/>
      <c r="B13" s="50"/>
      <c r="C13" s="51"/>
      <c r="D13" s="52"/>
      <c r="E13" s="52"/>
      <c r="F13" s="38" t="str">
        <f t="shared" si="0"/>
        <v/>
      </c>
      <c r="G13" s="467"/>
      <c r="H13" s="478"/>
      <c r="I13" s="478"/>
      <c r="J13" s="478"/>
      <c r="K13" s="478"/>
      <c r="L13" s="478"/>
      <c r="M13" s="478"/>
    </row>
    <row r="14" spans="1:13" ht="15.5">
      <c r="A14" s="49"/>
      <c r="B14" s="50"/>
      <c r="C14" s="51"/>
      <c r="D14" s="52"/>
      <c r="E14" s="52"/>
      <c r="F14" s="38" t="str">
        <f t="shared" si="0"/>
        <v/>
      </c>
      <c r="G14" s="467"/>
      <c r="H14" s="478"/>
      <c r="I14" s="478"/>
      <c r="J14" s="478"/>
      <c r="K14" s="478"/>
      <c r="L14" s="478"/>
      <c r="M14" s="478"/>
    </row>
    <row r="15" spans="1:13" ht="15.5">
      <c r="A15" s="49"/>
      <c r="B15" s="50"/>
      <c r="C15" s="51"/>
      <c r="D15" s="52"/>
      <c r="E15" s="52"/>
      <c r="F15" s="38" t="str">
        <f t="shared" si="0"/>
        <v/>
      </c>
      <c r="G15" s="467"/>
      <c r="H15" s="478"/>
      <c r="I15" s="478"/>
      <c r="J15" s="478"/>
      <c r="K15" s="478"/>
      <c r="L15" s="478"/>
      <c r="M15" s="478"/>
    </row>
    <row r="16" spans="1:13" ht="15.5">
      <c r="A16" s="49"/>
      <c r="B16" s="50"/>
      <c r="C16" s="51"/>
      <c r="D16" s="52"/>
      <c r="E16" s="52"/>
      <c r="F16" s="38" t="str">
        <f t="shared" si="0"/>
        <v/>
      </c>
      <c r="G16" s="467"/>
      <c r="H16" s="478"/>
      <c r="I16" s="478"/>
      <c r="J16" s="478"/>
      <c r="K16" s="478"/>
      <c r="L16" s="478"/>
      <c r="M16" s="478"/>
    </row>
    <row r="17" spans="1:13" ht="15.5">
      <c r="A17" s="49"/>
      <c r="B17" s="50"/>
      <c r="C17" s="51"/>
      <c r="D17" s="52"/>
      <c r="E17" s="52"/>
      <c r="F17" s="38" t="str">
        <f t="shared" si="0"/>
        <v/>
      </c>
      <c r="G17" s="467"/>
      <c r="H17" s="478"/>
      <c r="I17" s="478"/>
      <c r="J17" s="478"/>
      <c r="K17" s="478"/>
      <c r="L17" s="478"/>
      <c r="M17" s="478"/>
    </row>
    <row r="18" spans="1:13" ht="15.5">
      <c r="A18" s="49"/>
      <c r="B18" s="50"/>
      <c r="C18" s="51"/>
      <c r="D18" s="52"/>
      <c r="E18" s="52"/>
      <c r="F18" s="38" t="str">
        <f t="shared" si="0"/>
        <v/>
      </c>
      <c r="G18" s="467"/>
      <c r="H18" s="478"/>
      <c r="I18" s="478"/>
      <c r="J18" s="478"/>
      <c r="K18" s="478"/>
      <c r="L18" s="478"/>
      <c r="M18" s="478"/>
    </row>
    <row r="19" spans="1:13" ht="15.5">
      <c r="A19" s="49"/>
      <c r="B19" s="50"/>
      <c r="C19" s="51"/>
      <c r="D19" s="52"/>
      <c r="E19" s="52"/>
      <c r="F19" s="38" t="str">
        <f t="shared" si="0"/>
        <v/>
      </c>
      <c r="G19" s="467"/>
      <c r="H19" s="478"/>
      <c r="I19" s="478"/>
      <c r="J19" s="478"/>
      <c r="K19" s="478"/>
      <c r="L19" s="478"/>
      <c r="M19" s="478"/>
    </row>
    <row r="20" spans="1:13" ht="15.5">
      <c r="A20" s="49"/>
      <c r="B20" s="50"/>
      <c r="C20" s="51"/>
      <c r="D20" s="52"/>
      <c r="E20" s="52"/>
      <c r="F20" s="38" t="str">
        <f t="shared" si="0"/>
        <v/>
      </c>
      <c r="G20" s="467"/>
      <c r="H20" s="478"/>
      <c r="I20" s="478"/>
      <c r="J20" s="478"/>
      <c r="K20" s="478"/>
      <c r="L20" s="478"/>
      <c r="M20" s="478"/>
    </row>
    <row r="21" spans="1:13" ht="15.5">
      <c r="A21" s="49"/>
      <c r="B21" s="50"/>
      <c r="C21" s="51"/>
      <c r="D21" s="52"/>
      <c r="E21" s="52"/>
      <c r="F21" s="38" t="str">
        <f t="shared" si="0"/>
        <v/>
      </c>
      <c r="G21" s="467"/>
      <c r="H21" s="478"/>
      <c r="I21" s="478"/>
      <c r="J21" s="478"/>
      <c r="K21" s="478"/>
      <c r="L21" s="478"/>
      <c r="M21" s="478"/>
    </row>
    <row r="22" spans="1:13" ht="15.5">
      <c r="A22" s="49"/>
      <c r="B22" s="50"/>
      <c r="C22" s="51"/>
      <c r="D22" s="52"/>
      <c r="E22" s="52"/>
      <c r="F22" s="38" t="str">
        <f t="shared" si="0"/>
        <v/>
      </c>
      <c r="G22" s="467"/>
      <c r="H22" s="478"/>
      <c r="I22" s="478"/>
      <c r="J22" s="478"/>
      <c r="K22" s="478"/>
      <c r="L22" s="478"/>
      <c r="M22" s="478"/>
    </row>
    <row r="23" spans="1:13" ht="15.5">
      <c r="A23" s="49"/>
      <c r="B23" s="50"/>
      <c r="C23" s="51"/>
      <c r="D23" s="52"/>
      <c r="E23" s="52"/>
      <c r="F23" s="38" t="str">
        <f t="shared" si="0"/>
        <v/>
      </c>
      <c r="G23" s="467"/>
      <c r="H23" s="478"/>
      <c r="I23" s="478"/>
      <c r="J23" s="478"/>
      <c r="K23" s="478"/>
      <c r="L23" s="478"/>
      <c r="M23" s="478"/>
    </row>
    <row r="24" spans="1:13" ht="15.5">
      <c r="A24" s="49"/>
      <c r="B24" s="50"/>
      <c r="C24" s="51"/>
      <c r="D24" s="52"/>
      <c r="E24" s="52"/>
      <c r="F24" s="38" t="str">
        <f t="shared" si="0"/>
        <v/>
      </c>
      <c r="G24" s="467"/>
      <c r="H24" s="478"/>
      <c r="I24" s="478"/>
      <c r="J24" s="478"/>
      <c r="K24" s="478"/>
      <c r="L24" s="478"/>
      <c r="M24" s="478"/>
    </row>
    <row r="25" spans="1:13" ht="15.5">
      <c r="A25" s="49"/>
      <c r="B25" s="50"/>
      <c r="C25" s="51"/>
      <c r="D25" s="52"/>
      <c r="E25" s="52"/>
      <c r="F25" s="38" t="str">
        <f t="shared" si="0"/>
        <v/>
      </c>
      <c r="G25" s="467"/>
      <c r="H25" s="478"/>
      <c r="I25" s="478"/>
      <c r="J25" s="478"/>
      <c r="K25" s="478"/>
      <c r="L25" s="478"/>
      <c r="M25" s="478"/>
    </row>
    <row r="26" spans="1:13" ht="15.5">
      <c r="A26" s="49"/>
      <c r="B26" s="50"/>
      <c r="C26" s="51"/>
      <c r="D26" s="52"/>
      <c r="E26" s="52"/>
      <c r="F26" s="38" t="str">
        <f t="shared" si="0"/>
        <v/>
      </c>
      <c r="G26" s="467"/>
      <c r="H26" s="478"/>
      <c r="I26" s="478"/>
      <c r="J26" s="478"/>
      <c r="K26" s="478"/>
      <c r="L26" s="478"/>
      <c r="M26" s="478"/>
    </row>
    <row r="27" spans="1:13" ht="15.5">
      <c r="A27" s="49"/>
      <c r="B27" s="50"/>
      <c r="C27" s="51"/>
      <c r="D27" s="52"/>
      <c r="E27" s="52"/>
      <c r="F27" s="38" t="str">
        <f t="shared" si="0"/>
        <v/>
      </c>
      <c r="G27" s="467"/>
      <c r="H27" s="478"/>
      <c r="I27" s="478"/>
      <c r="J27" s="478"/>
      <c r="K27" s="478"/>
      <c r="L27" s="478"/>
      <c r="M27" s="478"/>
    </row>
    <row r="28" spans="1:13" ht="15.5">
      <c r="A28" s="49"/>
      <c r="B28" s="50"/>
      <c r="C28" s="51"/>
      <c r="D28" s="52"/>
      <c r="E28" s="52"/>
      <c r="F28" s="38" t="str">
        <f t="shared" si="0"/>
        <v/>
      </c>
      <c r="G28" s="467"/>
      <c r="H28" s="478"/>
      <c r="I28" s="478"/>
      <c r="J28" s="478"/>
      <c r="K28" s="478"/>
      <c r="L28" s="478"/>
      <c r="M28" s="478"/>
    </row>
    <row r="29" spans="1:13" ht="16" thickBot="1">
      <c r="A29" s="53"/>
      <c r="B29" s="54"/>
      <c r="C29" s="55"/>
      <c r="D29" s="56"/>
      <c r="E29" s="56"/>
      <c r="F29" s="38" t="str">
        <f t="shared" si="0"/>
        <v/>
      </c>
      <c r="G29" s="467"/>
      <c r="H29" s="478"/>
      <c r="I29" s="478"/>
      <c r="J29" s="478"/>
      <c r="K29" s="478"/>
      <c r="L29" s="478"/>
      <c r="M29" s="478"/>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478"/>
      <c r="I30" s="478"/>
      <c r="J30" s="478"/>
      <c r="K30" s="478"/>
      <c r="L30" s="478"/>
      <c r="M30" s="478"/>
    </row>
    <row r="31" spans="1:13" ht="19" thickBot="1">
      <c r="A31" s="39"/>
      <c r="B31" s="39"/>
      <c r="C31" s="44" t="s">
        <v>57</v>
      </c>
      <c r="D31" s="42" t="str">
        <f>IF(OR($B1="",D30=""),"",(D30/$B1))</f>
        <v/>
      </c>
      <c r="E31" s="39"/>
      <c r="F31" s="42" t="str">
        <f>IF(OR($B1="",F30=""),"",(F30/$B1))</f>
        <v/>
      </c>
      <c r="G31" s="467"/>
      <c r="H31" s="478"/>
      <c r="I31" s="478"/>
      <c r="J31" s="478"/>
      <c r="K31" s="478"/>
      <c r="L31" s="478"/>
      <c r="M31" s="478"/>
    </row>
    <row r="32" spans="1:13" s="25" customFormat="1" ht="18.5">
      <c r="A32" s="345" t="s">
        <v>183</v>
      </c>
      <c r="B32" s="45"/>
      <c r="C32" s="45"/>
      <c r="D32" s="45"/>
      <c r="E32" s="45"/>
      <c r="F32" s="45"/>
      <c r="G32" s="45"/>
      <c r="H32" s="478"/>
      <c r="I32" s="478"/>
      <c r="J32" s="478"/>
      <c r="K32" s="478"/>
      <c r="L32" s="478"/>
      <c r="M32" s="478"/>
    </row>
    <row r="33" spans="1:13" s="47" customFormat="1" ht="15.5">
      <c r="A33" s="358" t="s">
        <v>182</v>
      </c>
      <c r="B33" s="46"/>
      <c r="C33" s="46"/>
      <c r="D33" s="46"/>
      <c r="E33" s="46"/>
      <c r="F33" s="46"/>
      <c r="G33" s="46"/>
      <c r="H33" s="478"/>
      <c r="I33" s="478"/>
      <c r="J33" s="478"/>
      <c r="K33" s="478"/>
      <c r="L33" s="478"/>
      <c r="M33" s="478"/>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3A0MFBIG1LRO5TvX0wgEjGHvbto+PvcIuTbAdpY+WLqhoeIXcegcazmBDciDcfnS5qQNzepMyvtR3ivp+hQCGw==" saltValue="nPfW3B3l1YLjKbsSi++2XQ==" spinCount="100000" sheet="1" formatColumns="0" formatRows="0"/>
  <mergeCells count="3">
    <mergeCell ref="G1:G31"/>
    <mergeCell ref="A34:M34"/>
    <mergeCell ref="H5:M33"/>
  </mergeCells>
  <dataValidations count="1">
    <dataValidation allowBlank="1" showInputMessage="1" showErrorMessage="1" prompt="Don't forget to enter Projected Child Count in Cell B1." sqref="A5" xr:uid="{00000000-0002-0000-2400-000000000000}"/>
  </dataValidations>
  <hyperlinks>
    <hyperlink ref="A33" r:id="rId1" xr:uid="{00000000-0004-0000-2400-000000000000}"/>
  </hyperlinks>
  <pageMargins left="0.75" right="0.75" top="1" bottom="1" header="0.5" footer="0.5"/>
  <pageSetup orientation="portrait" horizontalDpi="4294967292" verticalDpi="4294967292"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theme="5"/>
    <pageSetUpPr autoPageBreaks="0"/>
  </sheetPr>
  <dimension ref="A1:AB79"/>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0" customHeight="1"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12" width="12.26953125" style="58" hidden="1" customWidth="1"/>
    <col min="13" max="13" width="13.7265625" style="58" hidden="1" customWidth="1"/>
    <col min="14" max="28" width="0" style="58" hidden="1" customWidth="1"/>
    <col min="29" max="16384" width="12.26953125" style="58" hidden="1"/>
  </cols>
  <sheetData>
    <row r="1" spans="1:14" ht="25.9" customHeight="1">
      <c r="A1" s="57" t="s">
        <v>58</v>
      </c>
      <c r="D1" s="59" t="s">
        <v>14</v>
      </c>
      <c r="E1" s="10" t="str">
        <f>IF('2. Getting Started'!$B2="","",'2. Getting Started'!$B2)</f>
        <v/>
      </c>
    </row>
    <row r="2" spans="1:14" ht="25.9" customHeight="1" thickBot="1">
      <c r="A2" s="338" t="s">
        <v>170</v>
      </c>
      <c r="D2" s="59"/>
      <c r="E2" s="10"/>
    </row>
    <row r="3" spans="1:14" ht="25.9" customHeight="1" thickBot="1">
      <c r="A3" s="60" t="str">
        <f>CONCATENATE("Eligibility Standard -- Exceptions to MOE as Permitted by 34 CFR §300.204 and Adjustment to MOE as Permitted by 34 CFR §300.205 -- Projections for State Fiscal Year ",'2. Getting Started'!B6+10," Budget")</f>
        <v>Eligibility Standard -- Exceptions to MOE as Permitted by 34 CFR §300.204 and Adjustment to MOE as Permitted by 34 CFR §300.205 -- Projections for State Fiscal Year 2031 Budget</v>
      </c>
      <c r="B3" s="61"/>
      <c r="C3" s="61"/>
      <c r="D3" s="61"/>
      <c r="E3" s="61"/>
      <c r="F3" s="62"/>
      <c r="G3" s="63"/>
      <c r="I3" s="64"/>
      <c r="J3" s="64"/>
      <c r="K3" s="64"/>
      <c r="L3" s="64"/>
      <c r="M3" s="64"/>
      <c r="N3" s="64"/>
    </row>
    <row r="4" spans="1:14" ht="15.5">
      <c r="A4" s="65" t="s">
        <v>59</v>
      </c>
      <c r="B4" s="66"/>
      <c r="C4" s="67"/>
      <c r="D4" s="67"/>
      <c r="E4" s="67"/>
      <c r="F4" s="68"/>
      <c r="G4" s="69"/>
      <c r="H4" s="70"/>
      <c r="I4" s="70"/>
      <c r="J4" s="70"/>
      <c r="K4" s="70"/>
      <c r="L4" s="70"/>
      <c r="M4" s="70"/>
    </row>
    <row r="5" spans="1:14" ht="15.5">
      <c r="A5" s="71" t="s">
        <v>60</v>
      </c>
      <c r="B5" s="72"/>
      <c r="C5" s="69"/>
      <c r="D5" s="69"/>
      <c r="E5" s="69"/>
      <c r="F5" s="73"/>
      <c r="G5" s="69"/>
      <c r="H5" s="74"/>
      <c r="I5" s="74"/>
      <c r="J5" s="74"/>
      <c r="K5" s="74"/>
      <c r="L5" s="74"/>
    </row>
    <row r="6" spans="1:14" ht="35.65" customHeight="1" thickBot="1">
      <c r="A6" s="75" t="s">
        <v>61</v>
      </c>
      <c r="B6" s="76"/>
      <c r="C6" s="76"/>
      <c r="D6" s="76"/>
      <c r="E6" s="76"/>
      <c r="F6" s="77"/>
      <c r="G6" s="76"/>
      <c r="H6" s="74"/>
      <c r="I6" s="74"/>
      <c r="J6" s="74"/>
      <c r="K6" s="74"/>
      <c r="L6" s="74"/>
      <c r="M6" s="74"/>
    </row>
    <row r="7" spans="1:14" ht="15.5">
      <c r="A7" s="78" t="s">
        <v>62</v>
      </c>
      <c r="B7" s="79" t="s">
        <v>63</v>
      </c>
      <c r="C7" s="80" t="s">
        <v>64</v>
      </c>
      <c r="D7" s="80" t="s">
        <v>65</v>
      </c>
      <c r="E7" s="81" t="s">
        <v>66</v>
      </c>
      <c r="F7" s="82" t="s">
        <v>67</v>
      </c>
      <c r="G7" s="83"/>
      <c r="H7" s="74"/>
      <c r="I7" s="74"/>
    </row>
    <row r="8" spans="1:14" ht="15.5">
      <c r="A8" s="186"/>
      <c r="B8" s="187"/>
      <c r="C8" s="187"/>
      <c r="D8" s="188"/>
      <c r="E8" s="188"/>
      <c r="F8" s="84">
        <f>D8+E8</f>
        <v>0</v>
      </c>
      <c r="G8" s="85"/>
      <c r="H8" s="85"/>
      <c r="I8" s="85"/>
    </row>
    <row r="9" spans="1:14" ht="15.5">
      <c r="A9" s="186"/>
      <c r="B9" s="187"/>
      <c r="C9" s="187"/>
      <c r="D9" s="188"/>
      <c r="E9" s="188"/>
      <c r="F9" s="84">
        <f>D9+E9</f>
        <v>0</v>
      </c>
      <c r="G9" s="85"/>
      <c r="H9" s="85"/>
      <c r="I9" s="85"/>
    </row>
    <row r="10" spans="1:14" ht="15.5">
      <c r="A10" s="186"/>
      <c r="B10" s="187"/>
      <c r="C10" s="187"/>
      <c r="D10" s="188"/>
      <c r="E10" s="188"/>
      <c r="F10" s="84">
        <f>D10+E10</f>
        <v>0</v>
      </c>
      <c r="G10" s="85"/>
      <c r="H10" s="85"/>
      <c r="I10" s="85"/>
    </row>
    <row r="11" spans="1:14" ht="15.5">
      <c r="A11" s="186"/>
      <c r="B11" s="187"/>
      <c r="C11" s="187"/>
      <c r="D11" s="188"/>
      <c r="E11" s="188"/>
      <c r="F11" s="84">
        <f>D11+E11</f>
        <v>0</v>
      </c>
      <c r="G11" s="85"/>
      <c r="H11" s="85"/>
      <c r="I11" s="85"/>
    </row>
    <row r="12" spans="1:14" ht="15.5">
      <c r="A12" s="186"/>
      <c r="B12" s="187"/>
      <c r="C12" s="187"/>
      <c r="D12" s="188"/>
      <c r="E12" s="188"/>
      <c r="F12" s="84">
        <f>D12+E12</f>
        <v>0</v>
      </c>
      <c r="G12" s="85"/>
      <c r="H12" s="85"/>
      <c r="I12" s="85"/>
    </row>
    <row r="13" spans="1:14" ht="16" thickBot="1">
      <c r="A13" s="86"/>
      <c r="B13" s="87"/>
      <c r="C13" s="88" t="s">
        <v>69</v>
      </c>
      <c r="D13" s="89">
        <f t="shared" ref="D13:F13" si="0">SUM(D8:D12)</f>
        <v>0</v>
      </c>
      <c r="E13" s="89">
        <f t="shared" si="0"/>
        <v>0</v>
      </c>
      <c r="F13" s="90">
        <f t="shared" si="0"/>
        <v>0</v>
      </c>
      <c r="G13" s="85"/>
      <c r="H13" s="85"/>
      <c r="I13" s="85"/>
    </row>
    <row r="14" spans="1:14" ht="40.15" customHeight="1" thickBot="1">
      <c r="A14" s="91" t="s">
        <v>70</v>
      </c>
      <c r="B14" s="92"/>
      <c r="C14" s="92"/>
      <c r="D14" s="92"/>
      <c r="E14" s="92"/>
      <c r="F14" s="93"/>
      <c r="G14" s="76"/>
      <c r="H14" s="74"/>
      <c r="I14" s="74"/>
      <c r="J14" s="74"/>
      <c r="K14" s="74"/>
      <c r="L14" s="74"/>
      <c r="M14" s="94"/>
    </row>
    <row r="15" spans="1:14" ht="15.5">
      <c r="A15" s="95" t="s">
        <v>62</v>
      </c>
      <c r="B15" s="96" t="s">
        <v>63</v>
      </c>
      <c r="C15" s="97" t="s">
        <v>175</v>
      </c>
      <c r="D15" s="80" t="s">
        <v>65</v>
      </c>
      <c r="E15" s="81" t="s">
        <v>66</v>
      </c>
      <c r="F15" s="82" t="s">
        <v>67</v>
      </c>
      <c r="G15" s="98"/>
      <c r="H15" s="64"/>
      <c r="I15" s="99"/>
    </row>
    <row r="16" spans="1:14" ht="15.5">
      <c r="A16" s="189"/>
      <c r="B16" s="190"/>
      <c r="C16" s="100"/>
      <c r="D16" s="188"/>
      <c r="E16" s="188"/>
      <c r="F16" s="84">
        <f t="shared" ref="F16:F20" si="1">D16+E16</f>
        <v>0</v>
      </c>
      <c r="G16" s="85"/>
      <c r="H16" s="85"/>
      <c r="I16" s="85"/>
    </row>
    <row r="17" spans="1:13" ht="15.5">
      <c r="A17" s="189"/>
      <c r="B17" s="190"/>
      <c r="C17" s="100"/>
      <c r="D17" s="188"/>
      <c r="E17" s="188"/>
      <c r="F17" s="84">
        <f t="shared" si="1"/>
        <v>0</v>
      </c>
      <c r="G17" s="85"/>
      <c r="H17" s="85"/>
      <c r="I17" s="85"/>
    </row>
    <row r="18" spans="1:13" ht="15.5">
      <c r="A18" s="189"/>
      <c r="B18" s="190"/>
      <c r="C18" s="100"/>
      <c r="D18" s="188"/>
      <c r="E18" s="188"/>
      <c r="F18" s="84">
        <f t="shared" si="1"/>
        <v>0</v>
      </c>
      <c r="G18" s="85"/>
      <c r="H18" s="85"/>
      <c r="I18" s="85"/>
    </row>
    <row r="19" spans="1:13" ht="15.5">
      <c r="A19" s="189"/>
      <c r="B19" s="190"/>
      <c r="C19" s="100"/>
      <c r="D19" s="188"/>
      <c r="E19" s="188"/>
      <c r="F19" s="84">
        <f t="shared" si="1"/>
        <v>0</v>
      </c>
      <c r="G19" s="85"/>
      <c r="H19" s="85"/>
      <c r="I19" s="85"/>
    </row>
    <row r="20" spans="1:13" ht="15.5">
      <c r="A20" s="189"/>
      <c r="B20" s="190"/>
      <c r="C20" s="100"/>
      <c r="D20" s="188"/>
      <c r="E20" s="188"/>
      <c r="F20" s="84">
        <f t="shared" si="1"/>
        <v>0</v>
      </c>
      <c r="G20" s="85"/>
      <c r="H20" s="85"/>
      <c r="I20" s="85"/>
    </row>
    <row r="21" spans="1:13" ht="15.5">
      <c r="A21" s="101"/>
      <c r="B21" s="102"/>
      <c r="C21" s="103" t="s">
        <v>72</v>
      </c>
      <c r="D21" s="104">
        <f t="shared" ref="D21:F21" si="2">SUM(D16:D20)</f>
        <v>0</v>
      </c>
      <c r="E21" s="104">
        <f t="shared" si="2"/>
        <v>0</v>
      </c>
      <c r="F21" s="84">
        <f t="shared" si="2"/>
        <v>0</v>
      </c>
      <c r="G21" s="85"/>
      <c r="H21" s="85"/>
      <c r="I21" s="85"/>
    </row>
    <row r="22" spans="1:13" ht="16" thickBot="1">
      <c r="A22" s="105"/>
      <c r="B22" s="106"/>
      <c r="C22" s="107"/>
      <c r="D22" s="107"/>
      <c r="E22" s="108" t="s">
        <v>73</v>
      </c>
      <c r="F22" s="109">
        <f>F13-F21</f>
        <v>0</v>
      </c>
      <c r="G22" s="110"/>
      <c r="H22" s="94"/>
      <c r="I22" s="94"/>
      <c r="J22" s="94"/>
      <c r="K22" s="94"/>
      <c r="L22" s="94"/>
      <c r="M22" s="94"/>
    </row>
    <row r="23" spans="1:13" ht="16" thickBot="1">
      <c r="A23" s="471" t="s">
        <v>22</v>
      </c>
      <c r="B23" s="471"/>
      <c r="C23" s="471"/>
      <c r="D23" s="471"/>
      <c r="E23" s="471"/>
      <c r="F23" s="471"/>
      <c r="G23" s="10"/>
      <c r="H23" s="94"/>
      <c r="I23" s="94"/>
      <c r="J23" s="94"/>
      <c r="K23" s="94"/>
      <c r="L23" s="94"/>
      <c r="M23" s="94"/>
    </row>
    <row r="24" spans="1:13" ht="15.5">
      <c r="A24" s="112" t="s">
        <v>105</v>
      </c>
      <c r="B24" s="113"/>
      <c r="C24" s="113"/>
      <c r="D24" s="63"/>
      <c r="E24" s="120"/>
      <c r="F24" s="120"/>
      <c r="G24" s="10"/>
      <c r="H24" s="119"/>
      <c r="I24" s="119"/>
      <c r="J24" s="119"/>
      <c r="K24" s="119"/>
    </row>
    <row r="25" spans="1:13" ht="15.5">
      <c r="A25" s="121" t="s">
        <v>71</v>
      </c>
      <c r="B25" s="122" t="s">
        <v>77</v>
      </c>
      <c r="C25" s="123"/>
      <c r="D25" s="124"/>
      <c r="E25" s="123"/>
      <c r="F25" s="123"/>
      <c r="G25" s="10"/>
      <c r="H25" s="119"/>
      <c r="I25" s="119"/>
      <c r="J25" s="119"/>
      <c r="K25" s="119"/>
    </row>
    <row r="26" spans="1:13" ht="15.5">
      <c r="A26" s="125" t="str">
        <f>CONCATENATE("SFY ",'2. Getting Started'!B6+10," Projected Child Count")</f>
        <v>SFY 2031 Projected Child Count</v>
      </c>
      <c r="B26" s="126" t="str">
        <f>IF('35. Year 11 Amounts'!B1="","",'35. Year 11 Amounts'!B1)</f>
        <v/>
      </c>
      <c r="C26" s="123"/>
      <c r="D26" s="124"/>
      <c r="E26" s="123"/>
      <c r="F26" s="123"/>
      <c r="G26" s="10"/>
      <c r="H26" s="119"/>
      <c r="I26" s="119"/>
      <c r="J26" s="119"/>
      <c r="K26" s="119"/>
    </row>
    <row r="27" spans="1:13" ht="15.5">
      <c r="A27" s="125" t="str">
        <f>CONCATENATE("SFY ",'2. Getting Started'!B6+9," Projected Child Count")</f>
        <v>SFY 2030 Projected Child Count</v>
      </c>
      <c r="B27" s="126" t="str">
        <f>IF('32. Year 10 Amounts'!B1="","",'32. Year 10 Amounts'!B1)</f>
        <v/>
      </c>
      <c r="C27" s="119"/>
      <c r="D27" s="128"/>
      <c r="E27" s="119"/>
      <c r="F27" s="123"/>
      <c r="G27" s="123"/>
      <c r="H27" s="129"/>
      <c r="I27" s="129"/>
      <c r="J27" s="129"/>
      <c r="K27" s="129"/>
    </row>
    <row r="28" spans="1:13" ht="15.5">
      <c r="A28" s="127" t="s">
        <v>78</v>
      </c>
      <c r="B28" s="130" t="str">
        <f>IF(B26="","",B26-B27)</f>
        <v/>
      </c>
      <c r="C28" s="123" t="str">
        <f>IF(B28="","",IF(B28&gt;=0,"Not eligible for this exception",""))</f>
        <v/>
      </c>
      <c r="D28" s="124"/>
      <c r="E28" s="123"/>
      <c r="F28" s="123"/>
      <c r="G28" s="131"/>
      <c r="H28" s="132"/>
      <c r="I28" s="132"/>
      <c r="J28" s="132"/>
      <c r="K28" s="132"/>
    </row>
    <row r="29" spans="1:13" ht="15.5">
      <c r="A29" s="133" t="s">
        <v>79</v>
      </c>
      <c r="B29" s="134" t="str">
        <f>IF(B26="","",IF(B28&lt;=0,ABS(B28/B27),""))</f>
        <v/>
      </c>
      <c r="C29" s="135"/>
      <c r="D29" s="136"/>
      <c r="E29" s="135"/>
      <c r="F29" s="10"/>
      <c r="G29" s="10"/>
      <c r="H29" s="137"/>
      <c r="I29" s="137"/>
      <c r="J29" s="138"/>
      <c r="K29" s="138"/>
    </row>
    <row r="30" spans="1:13" ht="15.5">
      <c r="A30" s="115" t="s">
        <v>71</v>
      </c>
      <c r="B30" s="116" t="s">
        <v>0</v>
      </c>
      <c r="C30" s="116" t="s">
        <v>2</v>
      </c>
      <c r="D30" s="10"/>
      <c r="E30" s="72"/>
      <c r="F30" s="72"/>
      <c r="G30" s="10"/>
      <c r="H30" s="138"/>
      <c r="I30" s="138"/>
    </row>
    <row r="31" spans="1:13" ht="15.5">
      <c r="A31" s="139" t="str">
        <f>CONCATENATE("SFY ",'2. Getting Started'!B6+9," Budget")</f>
        <v>SFY 2030 Budget</v>
      </c>
      <c r="B31" s="140" t="str">
        <f>IF('32. Year 10 Amounts'!D30="","",'32. Year 10 Amounts'!D30)</f>
        <v/>
      </c>
      <c r="C31" s="140" t="str">
        <f>IF('32. Year 10 Amounts'!F30="","",'32. Year 10 Amounts'!F30)</f>
        <v/>
      </c>
      <c r="D31" s="141"/>
      <c r="E31" s="74"/>
      <c r="F31" s="74"/>
      <c r="G31" s="72"/>
    </row>
    <row r="32" spans="1:13" ht="15.5">
      <c r="A32" s="117" t="s">
        <v>80</v>
      </c>
      <c r="B32" s="143" t="str">
        <f>IF(OR($B26="",B29="",B31=""),"",($B29*B31))</f>
        <v/>
      </c>
      <c r="C32" s="143" t="str">
        <f>IF(OR($B26="",B29="",C31=""),"",($B29*C31))</f>
        <v/>
      </c>
      <c r="D32" s="142"/>
      <c r="E32" s="118"/>
      <c r="F32" s="118"/>
      <c r="G32" s="120"/>
    </row>
    <row r="33" spans="1:22" ht="16" thickBot="1">
      <c r="A33" s="470" t="s">
        <v>22</v>
      </c>
      <c r="B33" s="470"/>
      <c r="C33" s="470"/>
      <c r="D33" s="123"/>
      <c r="E33" s="123"/>
      <c r="F33" s="123"/>
      <c r="G33" s="144"/>
      <c r="J33" s="118"/>
      <c r="K33" s="118"/>
      <c r="L33" s="118"/>
      <c r="M33" s="118"/>
      <c r="N33" s="118"/>
      <c r="O33" s="74"/>
      <c r="P33" s="118"/>
      <c r="Q33" s="118"/>
      <c r="R33" s="118"/>
      <c r="S33" s="118"/>
      <c r="T33" s="118"/>
      <c r="U33" s="118"/>
    </row>
    <row r="34" spans="1:22" ht="15.5">
      <c r="A34" s="112" t="s">
        <v>82</v>
      </c>
      <c r="B34" s="145"/>
      <c r="C34" s="146"/>
      <c r="D34" s="147"/>
      <c r="E34" s="131"/>
      <c r="F34" s="131"/>
      <c r="G34" s="144"/>
      <c r="J34" s="118"/>
      <c r="K34" s="118"/>
      <c r="L34" s="118"/>
      <c r="M34" s="118"/>
      <c r="N34" s="118"/>
      <c r="O34" s="118"/>
      <c r="P34" s="118"/>
      <c r="Q34" s="118"/>
      <c r="R34" s="118"/>
      <c r="S34" s="118"/>
      <c r="T34" s="118"/>
      <c r="U34" s="118"/>
    </row>
    <row r="35" spans="1:22" ht="15.5">
      <c r="A35" s="148" t="s">
        <v>83</v>
      </c>
      <c r="B35" s="72"/>
      <c r="C35" s="149"/>
      <c r="D35" s="150"/>
      <c r="E35" s="10"/>
      <c r="F35" s="10"/>
      <c r="G35" s="144"/>
      <c r="J35" s="74"/>
      <c r="K35" s="74"/>
      <c r="L35" s="74"/>
      <c r="M35" s="74"/>
      <c r="N35" s="74"/>
      <c r="O35" s="74"/>
      <c r="P35" s="74"/>
      <c r="Q35" s="74"/>
      <c r="R35" s="74"/>
      <c r="S35" s="74"/>
      <c r="T35" s="74"/>
      <c r="U35" s="74"/>
    </row>
    <row r="36" spans="1:22" ht="15.5">
      <c r="A36" s="151" t="s">
        <v>84</v>
      </c>
      <c r="B36" s="72"/>
      <c r="C36" s="152"/>
      <c r="D36" s="150"/>
      <c r="E36" s="10"/>
      <c r="F36" s="10"/>
      <c r="G36" s="144"/>
      <c r="K36" s="74"/>
      <c r="L36" s="74"/>
      <c r="M36" s="74"/>
      <c r="N36" s="74"/>
      <c r="O36" s="74"/>
      <c r="P36" s="74"/>
      <c r="Q36" s="74"/>
      <c r="R36" s="74"/>
      <c r="S36" s="74"/>
      <c r="T36" s="74"/>
      <c r="U36" s="74"/>
      <c r="V36" s="74"/>
    </row>
    <row r="37" spans="1:22" ht="15.5">
      <c r="A37" s="153" t="s">
        <v>85</v>
      </c>
      <c r="B37" s="154" t="s">
        <v>86</v>
      </c>
      <c r="C37" s="155" t="s">
        <v>87</v>
      </c>
      <c r="D37" s="118"/>
      <c r="E37" s="144"/>
      <c r="F37" s="144"/>
      <c r="G37" s="156"/>
      <c r="J37" s="94"/>
      <c r="K37" s="94"/>
      <c r="L37" s="94"/>
      <c r="M37" s="94"/>
      <c r="N37" s="94"/>
      <c r="O37" s="94"/>
      <c r="P37" s="94"/>
      <c r="Q37" s="94"/>
      <c r="R37" s="94"/>
      <c r="S37" s="94"/>
      <c r="T37" s="94"/>
      <c r="U37" s="94"/>
    </row>
    <row r="38" spans="1:22" ht="15.5">
      <c r="A38" s="191"/>
      <c r="B38" s="192"/>
      <c r="C38" s="193"/>
      <c r="D38" s="144"/>
      <c r="E38" s="144"/>
      <c r="F38" s="144"/>
      <c r="G38" s="156"/>
      <c r="J38" s="94"/>
      <c r="K38" s="94"/>
      <c r="L38" s="94"/>
      <c r="M38" s="94"/>
      <c r="N38" s="94"/>
      <c r="O38" s="94"/>
      <c r="P38" s="94"/>
      <c r="Q38" s="94"/>
      <c r="R38" s="94"/>
      <c r="S38" s="94"/>
      <c r="T38" s="94"/>
      <c r="U38" s="94"/>
    </row>
    <row r="39" spans="1:22" ht="15.5">
      <c r="A39" s="191"/>
      <c r="B39" s="192"/>
      <c r="C39" s="193"/>
      <c r="D39" s="144"/>
      <c r="E39" s="72"/>
      <c r="F39" s="72"/>
      <c r="G39" s="72"/>
      <c r="J39" s="94"/>
      <c r="K39" s="94"/>
      <c r="L39" s="94"/>
      <c r="M39" s="94"/>
      <c r="N39" s="94"/>
      <c r="O39" s="94"/>
      <c r="P39" s="94"/>
      <c r="Q39" s="94"/>
      <c r="R39" s="94"/>
      <c r="S39" s="94"/>
      <c r="T39" s="94"/>
      <c r="U39" s="94"/>
    </row>
    <row r="40" spans="1:22" ht="15.5">
      <c r="A40" s="191"/>
      <c r="B40" s="192"/>
      <c r="C40" s="193"/>
      <c r="D40" s="144"/>
      <c r="E40" s="72"/>
      <c r="F40" s="72"/>
      <c r="G40" s="72"/>
      <c r="J40" s="94"/>
      <c r="K40" s="94"/>
      <c r="L40" s="94"/>
      <c r="M40" s="94"/>
      <c r="N40" s="94"/>
      <c r="O40" s="94"/>
      <c r="P40" s="94"/>
      <c r="Q40" s="94"/>
      <c r="R40" s="94"/>
      <c r="S40" s="94"/>
      <c r="T40" s="94"/>
      <c r="U40" s="94"/>
    </row>
    <row r="41" spans="1:22" ht="15.5">
      <c r="A41" s="191"/>
      <c r="B41" s="192"/>
      <c r="C41" s="193"/>
      <c r="D41" s="144"/>
      <c r="E41" s="120"/>
      <c r="F41" s="120"/>
      <c r="G41" s="120"/>
      <c r="J41" s="94"/>
      <c r="K41" s="94"/>
      <c r="L41" s="94"/>
      <c r="M41" s="94"/>
      <c r="N41" s="94"/>
      <c r="O41" s="94"/>
      <c r="P41" s="94"/>
      <c r="Q41" s="94"/>
      <c r="R41" s="94"/>
      <c r="S41" s="94"/>
      <c r="T41" s="94"/>
      <c r="U41" s="94"/>
    </row>
    <row r="42" spans="1:22" ht="15.5">
      <c r="A42" s="191"/>
      <c r="B42" s="192"/>
      <c r="C42" s="193"/>
      <c r="D42" s="144"/>
      <c r="F42" s="10"/>
      <c r="G42" s="10"/>
      <c r="J42" s="74"/>
      <c r="K42" s="74"/>
      <c r="L42" s="74"/>
      <c r="M42" s="74"/>
      <c r="N42" s="74"/>
      <c r="O42" s="74"/>
      <c r="P42" s="74"/>
      <c r="Q42" s="74"/>
      <c r="R42" s="74"/>
      <c r="S42" s="74"/>
      <c r="T42" s="74"/>
      <c r="U42" s="74"/>
    </row>
    <row r="43" spans="1:22" ht="15.5">
      <c r="A43" s="157" t="s">
        <v>89</v>
      </c>
      <c r="B43" s="158"/>
      <c r="C43" s="159">
        <f>SUM(C38:C42)</f>
        <v>0</v>
      </c>
      <c r="D43" s="144"/>
      <c r="E43" s="74"/>
      <c r="F43" s="72"/>
      <c r="G43" s="10"/>
      <c r="J43" s="74"/>
      <c r="K43" s="74"/>
      <c r="L43" s="74"/>
      <c r="M43" s="74"/>
      <c r="N43" s="74"/>
      <c r="O43" s="74"/>
      <c r="P43" s="74"/>
      <c r="Q43" s="74"/>
      <c r="R43" s="74"/>
      <c r="S43" s="74"/>
      <c r="T43" s="74"/>
      <c r="U43" s="74"/>
    </row>
    <row r="44" spans="1:22" ht="16" thickBot="1">
      <c r="A44" s="472" t="s">
        <v>22</v>
      </c>
      <c r="B44" s="472"/>
      <c r="C44" s="472"/>
      <c r="D44" s="72"/>
      <c r="E44" s="72"/>
      <c r="F44" s="72"/>
      <c r="G44" s="144"/>
      <c r="J44" s="94"/>
      <c r="K44" s="94"/>
      <c r="L44" s="94"/>
      <c r="M44" s="94"/>
      <c r="N44" s="94"/>
      <c r="O44" s="94"/>
      <c r="P44" s="94"/>
      <c r="Q44" s="94"/>
      <c r="R44" s="94"/>
      <c r="S44" s="94"/>
      <c r="T44" s="94"/>
      <c r="U44" s="94"/>
    </row>
    <row r="45" spans="1:22" ht="15.5">
      <c r="A45" s="112" t="s">
        <v>91</v>
      </c>
      <c r="B45" s="114"/>
      <c r="C45" s="120"/>
      <c r="D45" s="120"/>
      <c r="E45" s="120"/>
      <c r="F45" s="120"/>
      <c r="G45" s="144"/>
      <c r="I45" s="94"/>
      <c r="J45" s="94"/>
      <c r="K45" s="94"/>
      <c r="L45" s="94"/>
      <c r="M45" s="94"/>
      <c r="N45" s="94"/>
      <c r="O45" s="94"/>
      <c r="P45" s="94"/>
      <c r="Q45" s="94"/>
      <c r="R45" s="94"/>
      <c r="S45" s="94"/>
      <c r="T45" s="94"/>
    </row>
    <row r="46" spans="1:22" ht="26.65" customHeight="1">
      <c r="A46" s="71" t="s">
        <v>92</v>
      </c>
      <c r="B46" s="152"/>
      <c r="C46" s="120"/>
      <c r="D46" s="72"/>
      <c r="E46" s="74"/>
      <c r="F46" s="74"/>
      <c r="G46" s="144"/>
      <c r="I46" s="94"/>
      <c r="J46" s="94"/>
      <c r="K46" s="94"/>
      <c r="L46" s="94"/>
      <c r="M46" s="94"/>
      <c r="N46" s="94"/>
      <c r="O46" s="94"/>
      <c r="P46" s="94"/>
      <c r="Q46" s="94"/>
      <c r="R46" s="94"/>
      <c r="S46" s="94"/>
      <c r="T46" s="94"/>
    </row>
    <row r="47" spans="1:22" ht="15.5">
      <c r="A47" s="160" t="s">
        <v>93</v>
      </c>
      <c r="B47" s="161" t="s">
        <v>94</v>
      </c>
      <c r="C47" s="118"/>
      <c r="D47" s="118"/>
      <c r="E47" s="144"/>
      <c r="F47" s="110"/>
      <c r="G47" s="10"/>
      <c r="I47" s="94"/>
      <c r="J47" s="94"/>
      <c r="K47" s="94"/>
      <c r="L47" s="94"/>
      <c r="M47" s="94"/>
      <c r="N47" s="94"/>
      <c r="O47" s="94"/>
      <c r="P47" s="94"/>
      <c r="Q47" s="94"/>
      <c r="R47" s="94"/>
      <c r="S47" s="94"/>
      <c r="T47" s="94"/>
    </row>
    <row r="48" spans="1:22" ht="60" customHeight="1">
      <c r="A48" s="194"/>
      <c r="B48" s="195"/>
      <c r="C48" s="144"/>
      <c r="D48" s="144"/>
      <c r="E48" s="144"/>
      <c r="F48" s="72"/>
      <c r="G48" s="10"/>
      <c r="I48" s="94"/>
      <c r="J48" s="94"/>
      <c r="K48" s="94"/>
      <c r="L48" s="94"/>
      <c r="M48" s="94"/>
      <c r="N48" s="94"/>
      <c r="O48" s="94"/>
      <c r="P48" s="94"/>
      <c r="Q48" s="94"/>
      <c r="R48" s="94"/>
      <c r="S48" s="94"/>
      <c r="T48" s="94"/>
    </row>
    <row r="49" spans="1:20" ht="60" customHeight="1">
      <c r="A49" s="194"/>
      <c r="B49" s="195"/>
      <c r="C49" s="144"/>
      <c r="D49" s="144"/>
      <c r="E49" s="156"/>
      <c r="F49" s="156"/>
      <c r="G49" s="156"/>
      <c r="I49" s="94"/>
      <c r="J49" s="94"/>
      <c r="K49" s="94"/>
      <c r="L49" s="94"/>
      <c r="M49" s="94"/>
      <c r="N49" s="94"/>
      <c r="O49" s="94"/>
      <c r="P49" s="94"/>
      <c r="Q49" s="94"/>
      <c r="R49" s="94"/>
      <c r="S49" s="94"/>
      <c r="T49" s="94"/>
    </row>
    <row r="50" spans="1:20" ht="60" customHeight="1">
      <c r="A50" s="194"/>
      <c r="B50" s="195"/>
      <c r="C50" s="144"/>
      <c r="D50" s="144"/>
      <c r="E50" s="72"/>
      <c r="F50" s="72"/>
      <c r="G50" s="72"/>
    </row>
    <row r="51" spans="1:20" ht="60" customHeight="1">
      <c r="A51" s="194"/>
      <c r="B51" s="195"/>
      <c r="C51" s="144"/>
      <c r="D51" s="144"/>
      <c r="E51" s="162"/>
      <c r="F51" s="162"/>
      <c r="G51" s="163"/>
    </row>
    <row r="52" spans="1:20" ht="60" customHeight="1">
      <c r="A52" s="194"/>
      <c r="B52" s="195"/>
      <c r="C52" s="144"/>
      <c r="D52" s="144"/>
      <c r="E52" s="163"/>
      <c r="F52" s="163"/>
      <c r="G52" s="123"/>
    </row>
    <row r="53" spans="1:20" ht="15.5">
      <c r="A53" s="164" t="s">
        <v>89</v>
      </c>
      <c r="B53" s="165">
        <f>SUM(B48:B52)</f>
        <v>0</v>
      </c>
      <c r="C53" s="144"/>
      <c r="D53" s="144"/>
      <c r="E53" s="74"/>
      <c r="G53" s="10"/>
    </row>
    <row r="54" spans="1:20" ht="16" thickBot="1">
      <c r="A54" s="470" t="s">
        <v>22</v>
      </c>
      <c r="B54" s="470"/>
      <c r="C54" s="10"/>
      <c r="D54" s="72"/>
      <c r="E54" s="72"/>
      <c r="F54" s="72"/>
      <c r="G54" s="144"/>
    </row>
    <row r="55" spans="1:20" ht="15.5">
      <c r="A55" s="167" t="str">
        <f>IF('3b. High Cost Fund'!$B13="No","This exception is not valid in your state.","Exception (e) The assumption of cost by the high cost fund operated by the")</f>
        <v>Exception (e) The assumption of cost by the high cost fund operated by the</v>
      </c>
      <c r="B55" s="146"/>
      <c r="C55" s="147"/>
      <c r="D55" s="131"/>
      <c r="E55" s="131"/>
      <c r="F55" s="144"/>
      <c r="G55" s="144"/>
    </row>
    <row r="56" spans="1:20" ht="28.15" customHeight="1">
      <c r="A56" s="71" t="str">
        <f>IF('3b. High Cost Fund'!$B13="No","","SEA under §300.704. MUST be explicitly permitted by the SEA.")</f>
        <v>SEA under §300.704. MUST be explicitly permitted by the SEA.</v>
      </c>
      <c r="B56" s="168"/>
      <c r="C56" s="169"/>
      <c r="D56" s="170"/>
      <c r="E56" s="163"/>
      <c r="F56" s="144"/>
      <c r="G56" s="144"/>
    </row>
    <row r="57" spans="1:20" ht="15.5">
      <c r="A57" s="171" t="s">
        <v>85</v>
      </c>
      <c r="B57" s="172" t="s">
        <v>96</v>
      </c>
      <c r="C57" s="118"/>
      <c r="D57" s="144"/>
      <c r="E57" s="144"/>
      <c r="F57" s="10"/>
      <c r="G57" s="10"/>
    </row>
    <row r="58" spans="1:20" ht="15.4" customHeight="1">
      <c r="A58" s="196"/>
      <c r="B58" s="197"/>
      <c r="C58" s="337" t="str">
        <f>IF(AND(B58&lt;&gt;"",'3b. High Cost Fund'!$B13="No"),"Invalid entry. This exception is valid only in states with high-cost funds. If your state has a high-cost fund, please indicate that on tab 3b.","")</f>
        <v/>
      </c>
      <c r="D58" s="144"/>
      <c r="E58" s="144"/>
      <c r="F58" s="10"/>
      <c r="G58" s="10"/>
    </row>
    <row r="59" spans="1:20" ht="15.5">
      <c r="A59" s="196"/>
      <c r="B59" s="197"/>
      <c r="C59" s="144"/>
      <c r="D59" s="10"/>
      <c r="E59" s="10"/>
      <c r="F59" s="10"/>
      <c r="G59" s="10"/>
    </row>
    <row r="60" spans="1:20" ht="15.5">
      <c r="A60" s="196"/>
      <c r="B60" s="197"/>
      <c r="C60" s="144"/>
      <c r="D60" s="10"/>
      <c r="E60" s="10"/>
      <c r="F60" s="10"/>
      <c r="G60" s="10"/>
    </row>
    <row r="61" spans="1:20" ht="15.5">
      <c r="A61" s="196"/>
      <c r="B61" s="197"/>
      <c r="C61" s="144"/>
      <c r="D61" s="10"/>
      <c r="E61" s="10"/>
      <c r="F61" s="10"/>
      <c r="G61" s="10"/>
    </row>
    <row r="62" spans="1:20" ht="15.5">
      <c r="A62" s="196"/>
      <c r="B62" s="197"/>
      <c r="C62" s="144"/>
      <c r="D62" s="10"/>
      <c r="E62" s="10"/>
      <c r="F62" s="10"/>
      <c r="G62" s="10"/>
    </row>
    <row r="63" spans="1:20" ht="15.5">
      <c r="A63" s="173" t="s">
        <v>89</v>
      </c>
      <c r="B63" s="174">
        <f>IF('3b. High Cost Fund'!$B13="No",0,SUM(B58:B62))</f>
        <v>0</v>
      </c>
      <c r="C63" s="144"/>
      <c r="D63" s="10"/>
      <c r="E63" s="10"/>
      <c r="F63" s="10"/>
      <c r="G63" s="10"/>
    </row>
    <row r="64" spans="1:20" ht="16" thickBot="1">
      <c r="A64" s="470" t="s">
        <v>22</v>
      </c>
      <c r="B64" s="470"/>
      <c r="C64" s="144"/>
      <c r="D64" s="10"/>
      <c r="E64" s="10"/>
      <c r="F64" s="10"/>
      <c r="G64" s="10"/>
    </row>
    <row r="65" spans="1:7" ht="15.5">
      <c r="A65" s="347" t="s">
        <v>107</v>
      </c>
      <c r="B65" s="348"/>
      <c r="C65" s="144"/>
      <c r="D65" s="10"/>
      <c r="E65" s="10"/>
      <c r="F65" s="10"/>
      <c r="G65" s="10"/>
    </row>
    <row r="66" spans="1:7" ht="15.5">
      <c r="A66" s="242" t="s">
        <v>123</v>
      </c>
      <c r="B66" s="265" t="s">
        <v>124</v>
      </c>
      <c r="C66" s="144"/>
      <c r="D66" s="10"/>
      <c r="E66" s="10"/>
      <c r="F66" s="10"/>
      <c r="G66" s="10"/>
    </row>
    <row r="67" spans="1:7" ht="15.5">
      <c r="A67" s="103" t="s">
        <v>0</v>
      </c>
      <c r="B67" s="240">
        <f>IF(B$28&gt;=0,(F$22+C$43+B$53+B$63),(F$22+C$43+B$53+B$63+B$32))</f>
        <v>0</v>
      </c>
      <c r="C67" s="144"/>
      <c r="D67" s="10"/>
      <c r="E67" s="10"/>
      <c r="F67" s="10"/>
      <c r="G67" s="10"/>
    </row>
    <row r="68" spans="1:7" ht="15.5">
      <c r="A68" s="241" t="s">
        <v>2</v>
      </c>
      <c r="B68" s="174">
        <f>IF(B$28&gt;=0,(F$22+C$43+B$53+B$63),(F$22+C$43+B$53+B$63+C$32))</f>
        <v>0</v>
      </c>
      <c r="C68" s="144"/>
      <c r="D68" s="10"/>
      <c r="E68" s="10"/>
      <c r="F68" s="10"/>
      <c r="G68" s="10"/>
    </row>
    <row r="69" spans="1:7" ht="16" thickBot="1">
      <c r="A69" s="474" t="s">
        <v>22</v>
      </c>
      <c r="B69" s="474"/>
      <c r="C69" s="10"/>
      <c r="D69" s="10"/>
      <c r="E69" s="10"/>
      <c r="F69" s="10"/>
      <c r="G69" s="10"/>
    </row>
    <row r="70" spans="1:7" ht="31.15" customHeight="1">
      <c r="A70" s="336" t="s">
        <v>98</v>
      </c>
      <c r="B70" s="177"/>
      <c r="C70" s="11"/>
      <c r="D70" s="178"/>
      <c r="E70" s="10"/>
      <c r="F70" s="10"/>
      <c r="G70" s="10"/>
    </row>
    <row r="71" spans="1:7" ht="15.5">
      <c r="A71" s="179" t="s">
        <v>71</v>
      </c>
      <c r="B71" s="180" t="s">
        <v>99</v>
      </c>
      <c r="C71" s="11" t="s">
        <v>100</v>
      </c>
      <c r="E71" s="10"/>
      <c r="F71" s="10"/>
      <c r="G71" s="10"/>
    </row>
    <row r="72" spans="1:7" ht="15.5">
      <c r="A72" s="181" t="s">
        <v>102</v>
      </c>
      <c r="B72" s="198">
        <v>0</v>
      </c>
      <c r="C72" s="182" t="s">
        <v>103</v>
      </c>
      <c r="D72" s="10"/>
      <c r="E72" s="10"/>
      <c r="F72" s="10"/>
      <c r="G72" s="10"/>
    </row>
    <row r="73" spans="1:7" ht="30" customHeight="1">
      <c r="A73" s="345" t="s">
        <v>183</v>
      </c>
      <c r="B73" s="183"/>
      <c r="C73" s="183"/>
      <c r="D73" s="183"/>
      <c r="E73" s="183"/>
      <c r="F73" s="183"/>
      <c r="G73" s="183"/>
    </row>
    <row r="74" spans="1:7" s="185" customFormat="1" ht="15.5">
      <c r="A74" s="358" t="s">
        <v>182</v>
      </c>
      <c r="B74" s="184"/>
      <c r="C74" s="184"/>
      <c r="D74" s="184"/>
      <c r="E74" s="184"/>
      <c r="F74" s="184"/>
      <c r="G74" s="184"/>
    </row>
    <row r="75" spans="1:7" ht="15.5">
      <c r="A75" s="469" t="s">
        <v>24</v>
      </c>
      <c r="B75" s="469"/>
      <c r="C75" s="469"/>
      <c r="D75" s="469"/>
      <c r="E75" s="469"/>
      <c r="F75" s="469"/>
      <c r="G75" s="469"/>
    </row>
    <row r="76" spans="1:7" ht="15.5" hidden="1"/>
    <row r="77" spans="1:7" ht="15.5" hidden="1"/>
    <row r="78" spans="1:7" ht="15.5" hidden="1"/>
    <row r="79" spans="1:7" ht="15.5" hidden="1"/>
  </sheetData>
  <sheetProtection algorithmName="SHA-512" hashValue="H5EgeBqTAF8zrmu41SFuhnF8toipbsfOxF3YmU5iAyATXRGK3+BnVx8CWz/NvrAV+GFvGwOHgiR6SCinNDqCBw==" saltValue="TujI25f7NDzC+wVPK/L/qA==" spinCount="100000" sheet="1" formatColumns="0" formatRows="0"/>
  <mergeCells count="7">
    <mergeCell ref="A54:B54"/>
    <mergeCell ref="A69:B69"/>
    <mergeCell ref="A75:G75"/>
    <mergeCell ref="A23:F23"/>
    <mergeCell ref="A33:C33"/>
    <mergeCell ref="A44:C44"/>
    <mergeCell ref="A64:B64"/>
  </mergeCells>
  <conditionalFormatting sqref="A55">
    <cfRule type="containsText" dxfId="162" priority="1" operator="containsText" text="not valid">
      <formula>NOT(ISERROR(SEARCH("not valid",A55)))</formula>
    </cfRule>
  </conditionalFormatting>
  <dataValidations count="1">
    <dataValidation type="list" allowBlank="1" showInputMessage="1" showErrorMessage="1" sqref="B38:B42" xr:uid="{00000000-0002-0000-2500-000000000000}">
      <formula1>Exception_c</formula1>
    </dataValidation>
  </dataValidations>
  <hyperlinks>
    <hyperlink ref="C72" r:id="rId1" xr:uid="{00000000-0004-0000-2500-000000000000}"/>
    <hyperlink ref="A74" r:id="rId2" xr:uid="{00000000-0004-0000-2500-000001000000}"/>
  </hyperlinks>
  <pageMargins left="0.75" right="0.75" top="1" bottom="1" header="0.5" footer="0.5"/>
  <pageSetup orientation="portrait" horizontalDpi="4294967292" verticalDpi="4294967292" r:id="rId3"/>
  <tableParts count="9">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N22"/>
  <sheetViews>
    <sheetView showGridLines="0" tabSelected="1" zoomScaleNormal="100" workbookViewId="0">
      <selection activeCell="B5" sqref="B5"/>
    </sheetView>
  </sheetViews>
  <sheetFormatPr defaultColWidth="0" defaultRowHeight="14.5" zeroHeight="1"/>
  <cols>
    <col min="1" max="1" width="44.453125" customWidth="1"/>
    <col min="2" max="2" width="26.453125" customWidth="1"/>
    <col min="3" max="3" width="23.453125" customWidth="1"/>
    <col min="4" max="4" width="20.7265625" customWidth="1"/>
    <col min="5" max="6" width="9.1796875" customWidth="1"/>
    <col min="7" max="7" width="9.54296875" bestFit="1" customWidth="1"/>
    <col min="8" max="14" width="9.1796875" customWidth="1"/>
    <col min="15" max="16384" width="9.1796875" hidden="1"/>
  </cols>
  <sheetData>
    <row r="1" spans="1:7" ht="15.5">
      <c r="A1" s="219" t="s">
        <v>20</v>
      </c>
      <c r="B1" s="220" t="s">
        <v>120</v>
      </c>
    </row>
    <row r="2" spans="1:7">
      <c r="A2" s="3" t="s">
        <v>14</v>
      </c>
      <c r="B2" s="342" t="str">
        <f>IFERROR(VLOOKUP(B3,'CCDDD#'!$A$2:$C$318,3,0),"")</f>
        <v/>
      </c>
    </row>
    <row r="3" spans="1:7">
      <c r="A3" s="3" t="s">
        <v>15</v>
      </c>
      <c r="B3" s="372"/>
      <c r="C3" s="2" t="s">
        <v>1185</v>
      </c>
    </row>
    <row r="4" spans="1:7" ht="15.5">
      <c r="A4" s="7" t="s">
        <v>16</v>
      </c>
      <c r="B4" s="222" t="s">
        <v>18</v>
      </c>
    </row>
    <row r="5" spans="1:7" ht="15.5">
      <c r="A5" s="7" t="s">
        <v>17</v>
      </c>
      <c r="B5" s="222" t="s">
        <v>19</v>
      </c>
    </row>
    <row r="6" spans="1:7" ht="58">
      <c r="A6" s="217" t="s">
        <v>144</v>
      </c>
      <c r="B6" s="223">
        <v>2021</v>
      </c>
      <c r="C6" s="8" t="str">
        <f>CONCATENATE("State fiscal year ",B6," covers the period ",B4,", ",B6-1," through ",B5,", ",B6)</f>
        <v>State fiscal year 2021 covers the period July 1, 2020 through June 30, 2021</v>
      </c>
      <c r="D6" s="4"/>
    </row>
    <row r="7" spans="1:7">
      <c r="A7" s="463" t="s">
        <v>22</v>
      </c>
      <c r="B7" s="463"/>
      <c r="C7" s="463"/>
      <c r="D7" s="463"/>
    </row>
    <row r="8" spans="1:7" ht="30.75" customHeight="1">
      <c r="A8" s="462" t="str">
        <f>CONCATENATE("Compliance standard: For each method, list the last fiscal year prior to state fiscal year ",B6," in which the LEA met the LEA MOE compliance standard and the final expenditures and child count for that year.")</f>
        <v>Compliance standard: For each method, list the last fiscal year prior to state fiscal year 2021 in which the LEA met the LEA MOE compliance standard and the final expenditures and child count for that year.</v>
      </c>
      <c r="B8" s="462"/>
      <c r="C8" s="462"/>
      <c r="D8" s="462"/>
    </row>
    <row r="9" spans="1:7" ht="29">
      <c r="A9" s="226" t="s">
        <v>121</v>
      </c>
      <c r="B9" s="227" t="s">
        <v>156</v>
      </c>
      <c r="C9" s="227" t="s">
        <v>1</v>
      </c>
      <c r="D9" s="228" t="s">
        <v>116</v>
      </c>
      <c r="G9" s="204"/>
    </row>
    <row r="10" spans="1:7">
      <c r="A10" s="224" t="s">
        <v>0</v>
      </c>
      <c r="B10" s="221">
        <v>2020</v>
      </c>
      <c r="C10" s="230">
        <f>IFERROR(VLOOKUP(B3,'42. SEA or LEA Worksheet'!A4:P319,16,0),0)</f>
        <v>0</v>
      </c>
      <c r="D10" s="231">
        <f>IFERROR(VLOOKUP(B3,'42. SEA or LEA Worksheet'!A4:O319,15,0),0)</f>
        <v>0</v>
      </c>
      <c r="E10" t="str">
        <f>IF(B10="","",IF(B$6-B10&gt;1,"There are intervening years. Use the intervening years tab to calculate exceptions and adjustments.",""))</f>
        <v/>
      </c>
    </row>
    <row r="11" spans="1:7">
      <c r="A11" s="225" t="s">
        <v>2</v>
      </c>
      <c r="B11" s="221">
        <v>2020</v>
      </c>
      <c r="C11" s="230">
        <f>IFERROR(VLOOKUP(B3,'42. SEA or LEA Worksheet'!A4:R319,18,0),0)</f>
        <v>0</v>
      </c>
      <c r="D11" s="231">
        <f>IFERROR(VLOOKUP(B3,'42. SEA or LEA Worksheet'!A4:O319,15,0),0)</f>
        <v>0</v>
      </c>
      <c r="E11" t="str">
        <f t="shared" ref="E11:E13" si="0">IF(B11="","",IF(B$6-B11&gt;1,"There are intervening years. Use the intervening years tab to calculate exceptions and adjustments.",""))</f>
        <v/>
      </c>
    </row>
    <row r="12" spans="1:7">
      <c r="A12" s="225" t="s">
        <v>3</v>
      </c>
      <c r="B12" s="221">
        <v>2020</v>
      </c>
      <c r="C12" s="230" t="e">
        <f>C10/D10</f>
        <v>#DIV/0!</v>
      </c>
      <c r="D12" s="231">
        <f>IFERROR(VLOOKUP(B3,'42. SEA or LEA Worksheet'!A4:O319,15,0),0)</f>
        <v>0</v>
      </c>
      <c r="E12" t="str">
        <f t="shared" si="0"/>
        <v/>
      </c>
    </row>
    <row r="13" spans="1:7">
      <c r="A13" s="229" t="s">
        <v>4</v>
      </c>
      <c r="B13" s="223">
        <v>2020</v>
      </c>
      <c r="C13" s="230" t="e">
        <f>C11/D11</f>
        <v>#DIV/0!</v>
      </c>
      <c r="D13" s="231">
        <f>IFERROR(VLOOKUP(B3,'42. SEA or LEA Worksheet'!A4:O319,15,0),0)</f>
        <v>0</v>
      </c>
      <c r="E13" t="str">
        <f t="shared" si="0"/>
        <v/>
      </c>
    </row>
    <row r="14" spans="1:7">
      <c r="A14" s="463" t="s">
        <v>22</v>
      </c>
      <c r="B14" s="463"/>
      <c r="C14" s="463"/>
      <c r="D14" s="463"/>
    </row>
    <row r="15" spans="1:7" ht="15.5">
      <c r="A15" s="199" t="str">
        <f>CONCATENATE("Enter some essential information for SFY ",B6-1)</f>
        <v>Enter some essential information for SFY 2020</v>
      </c>
    </row>
    <row r="16" spans="1:7" ht="30" customHeight="1">
      <c r="A16" s="233" t="s">
        <v>120</v>
      </c>
      <c r="B16" s="227" t="s">
        <v>162</v>
      </c>
      <c r="C16" s="228" t="s">
        <v>163</v>
      </c>
    </row>
    <row r="17" spans="1:14">
      <c r="A17" s="224" t="s">
        <v>0</v>
      </c>
      <c r="B17" s="234">
        <f>'8. Year 2 Amounts'!D30</f>
        <v>0</v>
      </c>
      <c r="C17" s="235">
        <f>IFERROR(VLOOKUP(B3,'42. SEA or LEA Worksheet'!A4:P318,16,0),0)</f>
        <v>0</v>
      </c>
    </row>
    <row r="18" spans="1:14">
      <c r="A18" s="225" t="s">
        <v>2</v>
      </c>
      <c r="B18" s="234">
        <f>'8. Year 2 Amounts'!F30</f>
        <v>0</v>
      </c>
      <c r="C18" s="235">
        <f>IFERROR(VLOOKUP(B3,'42. SEA or LEA Worksheet'!A4:R318,18,0),0)</f>
        <v>0</v>
      </c>
    </row>
    <row r="19" spans="1:14">
      <c r="A19" s="229" t="s">
        <v>49</v>
      </c>
      <c r="B19" s="236" t="e">
        <f>'8. Year 2 Amounts'!B1</f>
        <v>#N/A</v>
      </c>
      <c r="C19" s="232">
        <f>IFERROR(VLOOKUP(B3,'42. SEA or LEA Worksheet'!A4:O318,15,0),0)</f>
        <v>0</v>
      </c>
    </row>
    <row r="20" spans="1:14" ht="26.25" customHeight="1">
      <c r="A20" s="341" t="s">
        <v>183</v>
      </c>
      <c r="B20" s="341"/>
    </row>
    <row r="21" spans="1:14" ht="15.5">
      <c r="A21" s="358" t="s">
        <v>182</v>
      </c>
      <c r="B21" s="340"/>
    </row>
    <row r="22" spans="1:14">
      <c r="A22" s="464" t="s">
        <v>24</v>
      </c>
      <c r="B22" s="464"/>
      <c r="C22" s="464"/>
      <c r="D22" s="464"/>
      <c r="E22" s="464"/>
      <c r="F22" s="464"/>
      <c r="G22" s="464"/>
      <c r="H22" s="464"/>
      <c r="I22" s="464"/>
      <c r="J22" s="464"/>
      <c r="K22" s="464"/>
      <c r="L22" s="464"/>
      <c r="M22" s="464"/>
      <c r="N22" s="464"/>
    </row>
  </sheetData>
  <sheetProtection algorithmName="SHA-512" hashValue="xQ3bCseybe+efbunsd8fkDXAUXaYC0l5vqtj6tE4clQLEbIi12Uww11iP3J27iMUDojWEiJjN26jHhxaqfulUA==" saltValue="DWOdWv+9ywr1A48IVUcI/g==" spinCount="100000" sheet="1" objects="1" scenarios="1" formatColumns="0" formatRows="0"/>
  <mergeCells count="4">
    <mergeCell ref="A8:D8"/>
    <mergeCell ref="A7:D7"/>
    <mergeCell ref="A14:D14"/>
    <mergeCell ref="A22:N22"/>
  </mergeCells>
  <hyperlinks>
    <hyperlink ref="A21" r:id="rId1" xr:uid="{00000000-0004-0000-0200-000000000000}"/>
  </hyperlinks>
  <pageMargins left="0.7" right="0.7" top="0.75" bottom="0.75" header="0.3" footer="0.3"/>
  <pageSetup orientation="portrait" r:id="rId2"/>
  <tableParts count="3">
    <tablePart r:id="rId3"/>
    <tablePart r:id="rId4"/>
    <tablePart r:id="rId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0070C0"/>
  </sheetPr>
  <dimension ref="A1:F32"/>
  <sheetViews>
    <sheetView showGridLines="0" workbookViewId="0">
      <selection activeCell="A5" sqref="A5"/>
    </sheetView>
  </sheetViews>
  <sheetFormatPr defaultColWidth="0" defaultRowHeight="14.5" zeroHeight="1"/>
  <cols>
    <col min="1" max="1" width="43.453125" bestFit="1" customWidth="1"/>
    <col min="2" max="5" width="33.7265625" customWidth="1"/>
    <col min="6" max="6" width="0.81640625" customWidth="1"/>
    <col min="7" max="16384" width="9.1796875" hidden="1"/>
  </cols>
  <sheetData>
    <row r="1" spans="1:5" ht="21">
      <c r="A1" s="301" t="str">
        <f>CONCATENATE("Summary of Year 11: State Fiscal Year ",'2. Getting Started'!B6+10)</f>
        <v>Summary of Year 11: State Fiscal Year 2031</v>
      </c>
      <c r="B1" s="299"/>
      <c r="C1" s="299"/>
      <c r="D1" s="21" t="s">
        <v>14</v>
      </c>
      <c r="E1" s="20" t="str">
        <f>IF('2. Getting Started'!B2="","",'2. Getting Started'!B2)</f>
        <v/>
      </c>
    </row>
    <row r="2" spans="1:5" ht="18.5">
      <c r="A2" s="2" t="str">
        <f>CONCATENATE("State fiscal year ",'2. Getting Started'!B6+10," covers the period ",'2. Getting Started'!B4,", ",'2. Getting Started'!B6+9," through ",'2. Getting Started'!B5,", ",'2. Getting Started'!B6+10)</f>
        <v>State fiscal year 2031 covers the period July 1, 2030 through June 30, 2031</v>
      </c>
      <c r="B2" s="299"/>
      <c r="C2" s="299"/>
      <c r="D2" s="300"/>
      <c r="E2" s="299"/>
    </row>
    <row r="3" spans="1:5" ht="18.5">
      <c r="A3" s="8"/>
      <c r="B3" s="18"/>
      <c r="C3" s="18"/>
      <c r="D3" s="202"/>
      <c r="E3" s="18"/>
    </row>
    <row r="4" spans="1:5" ht="15.5">
      <c r="A4" s="5" t="s">
        <v>7</v>
      </c>
      <c r="B4" s="4"/>
      <c r="C4" s="4"/>
      <c r="D4" s="4"/>
      <c r="E4" s="4"/>
    </row>
    <row r="5" spans="1:5">
      <c r="A5" s="260" t="s">
        <v>125</v>
      </c>
      <c r="B5" s="244" t="s">
        <v>0</v>
      </c>
      <c r="C5" s="244" t="s">
        <v>2</v>
      </c>
      <c r="D5" s="244" t="s">
        <v>3</v>
      </c>
      <c r="E5" s="245" t="s">
        <v>4</v>
      </c>
    </row>
    <row r="6" spans="1:5">
      <c r="A6" s="243" t="s">
        <v>44</v>
      </c>
      <c r="B6" s="3" t="e">
        <f>IF('2. Getting Started'!B10="","",IF('38. Total Local Funds'!F78="Met",'2. Getting Started'!$B$6+8,IF('38.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Funds'!F78="Met",'2. Getting Started'!$B$6+8,IF('39.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Capita'!F79="Met",'2. Getting Started'!$B$6+8,IF('40.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Cap'!F79="Met",'2. Getting Started'!$B$6+8,IF('41.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Started'!$B$6+8,'29. Year 9 Amounts'!K30,IF(B6='2. Getting Started'!$B$6+7,'26. Year 8 Amounts'!K30,IF(B6='2.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Started'!$B$6+8,'29. Year 9 Amounts'!M30,IF(C6='2. Getting Started'!$B$6+7,'26. Year 8 Amounts'!M30,IF(C6='2.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Started'!$B$6+8,'29. Year 9 Amounts'!K31,IF(D6='2. Getting Started'!$B$6+7,'26. Year 8 Amounts'!K31,IF(D6='2.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Started'!$B$6+8,'29. Year 9 Amounts'!M31,IF(E6='2. Getting Started'!$B$6+7,'26. Year 8 Amounts'!M31,IF(E6='2.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'35. Year 11 Amounts'!D30</f>
        <v/>
      </c>
      <c r="C8" s="205" t="str">
        <f>'35. Year 11 Amounts'!F30</f>
        <v/>
      </c>
      <c r="D8" s="205" t="str">
        <f>'35. Year 11 Amounts'!D31</f>
        <v/>
      </c>
      <c r="E8" s="267" t="str">
        <f>'35. Year 11 Amounts'!F31</f>
        <v/>
      </c>
    </row>
    <row r="9" spans="1:5">
      <c r="A9" s="243" t="s">
        <v>117</v>
      </c>
      <c r="B9" s="201" t="str">
        <f>IF(B8="","",IF(B8&gt;=B7,"Met",IF(AND(B8&lt;B7,'38. Total Local Funds'!$B94="Met"),"Met with Exceptions &amp; Adjustments","Did Not Meet")))</f>
        <v/>
      </c>
      <c r="C9" s="201" t="str">
        <f>IF(C8="","",IF(C8&gt;=C7,"Met",IF(AND(C8&lt;C7,'39. Total State &amp; Local Funds'!$B94="Met"),"Met with Exceptions &amp; Adjustments","Did Not Meet")))</f>
        <v/>
      </c>
      <c r="D9" s="201" t="str">
        <f>IF(D8="","",IF(D8&gt;=D7,"Met",IF(AND(D8&lt;D7,'40. Local Funds Per Capita'!$B95="Met"),"Met with Exceptions &amp; Adjustments","Did Not Meet")))</f>
        <v/>
      </c>
      <c r="E9" s="259" t="str">
        <f>IF(E8="","",IF(E8&gt;=E7,"Met",IF(AND(E8&lt;E7,'41. State &amp; Local Funds Per Cap'!$B95="Met"),"Met with Exceptions &amp; Adjustments","Did Not Meet")))</f>
        <v/>
      </c>
    </row>
    <row r="10" spans="1:5">
      <c r="A10" s="246" t="s">
        <v>46</v>
      </c>
      <c r="B10" s="256" t="str">
        <f>IF(B9="","",IF(B9="Did Not Meet",'38. Total Local Funds'!$B92-'38. Total Local Funds'!$B93,0))</f>
        <v/>
      </c>
      <c r="C10" s="256" t="str">
        <f>IF(C9="","",IF(C9="Did Not Meet",'39. Total State &amp; Local Funds'!$B92-'39. Total State &amp; Local Funds'!$B93,0))</f>
        <v/>
      </c>
      <c r="D10" s="256" t="str">
        <f>IF(D9="","",IF(D9="Did Not Meet",(('40. Local Funds Per Capita'!$B93-'40. Local Funds Per Capita'!$B94)*'35. Year 11 Amounts'!B1),0))</f>
        <v/>
      </c>
      <c r="E10" s="261" t="str">
        <f>IF(E9="","",IF(E9="Did Not Meet",(('41. State &amp; Local Funds Per Cap'!$B93-'41. State &amp; Local Funds Per Cap'!$B94)*'35. Year 11 Amounts'!B1),0))</f>
        <v/>
      </c>
    </row>
    <row r="11" spans="1:5">
      <c r="A11" s="464" t="s">
        <v>174</v>
      </c>
      <c r="B11" s="464"/>
      <c r="C11" s="464"/>
      <c r="D11" s="464"/>
      <c r="E11" s="464"/>
    </row>
    <row r="12" spans="1:5" ht="15.5">
      <c r="A12" s="5" t="s">
        <v>10</v>
      </c>
      <c r="B12" s="5"/>
      <c r="C12" s="5"/>
      <c r="D12" s="5"/>
      <c r="E12" s="5"/>
    </row>
    <row r="13" spans="1:5">
      <c r="A13" s="260" t="s">
        <v>125</v>
      </c>
      <c r="B13" s="244" t="s">
        <v>0</v>
      </c>
      <c r="C13" s="244" t="s">
        <v>2</v>
      </c>
      <c r="D13" s="244" t="s">
        <v>3</v>
      </c>
      <c r="E13" s="245" t="s">
        <v>4</v>
      </c>
    </row>
    <row r="14" spans="1:5">
      <c r="A14" s="243" t="s">
        <v>44</v>
      </c>
      <c r="B14" s="276"/>
      <c r="C14" s="277"/>
      <c r="D14" s="277"/>
      <c r="E14" s="278"/>
    </row>
    <row r="15" spans="1:5">
      <c r="A15" s="243" t="s">
        <v>45</v>
      </c>
      <c r="B15" s="279"/>
      <c r="C15" s="280"/>
      <c r="D15" s="280"/>
      <c r="E15" s="281"/>
    </row>
    <row r="16" spans="1:5">
      <c r="A16" s="243" t="s">
        <v>11</v>
      </c>
      <c r="B16" s="250" t="s">
        <v>119</v>
      </c>
      <c r="C16" s="251"/>
      <c r="D16" s="251"/>
      <c r="E16" s="252"/>
    </row>
    <row r="17" spans="1:5">
      <c r="A17" s="243" t="s">
        <v>117</v>
      </c>
      <c r="B17" s="279"/>
      <c r="C17" s="280"/>
      <c r="D17" s="280"/>
      <c r="E17" s="281"/>
    </row>
    <row r="18" spans="1:5">
      <c r="A18" s="246" t="s">
        <v>46</v>
      </c>
      <c r="B18" s="282"/>
      <c r="C18" s="283"/>
      <c r="D18" s="283"/>
      <c r="E18" s="284"/>
    </row>
    <row r="19" spans="1:5">
      <c r="A19" s="464" t="s">
        <v>174</v>
      </c>
      <c r="B19" s="464"/>
      <c r="C19" s="464"/>
      <c r="D19" s="464"/>
      <c r="E19" s="464"/>
    </row>
    <row r="20" spans="1:5">
      <c r="A20" s="2" t="str">
        <f>CONCATENATE("Exceptions and Adjustment Claimed for State Fiscal Year ",'2. Getting Started'!B6+10)</f>
        <v>Exceptions and Adjustment Claimed for State Fiscal Year 2031</v>
      </c>
    </row>
    <row r="21" spans="1:5">
      <c r="A21" s="2"/>
      <c r="B21" s="322" t="s">
        <v>147</v>
      </c>
      <c r="C21" s="4"/>
    </row>
    <row r="22" spans="1:5">
      <c r="A22" s="260" t="s">
        <v>150</v>
      </c>
      <c r="B22" s="244" t="s">
        <v>154</v>
      </c>
      <c r="C22" s="245" t="s">
        <v>155</v>
      </c>
    </row>
    <row r="23" spans="1:5">
      <c r="A23" s="224" t="s">
        <v>139</v>
      </c>
      <c r="B23" s="17">
        <f>'36. Year 11 Exc &amp; Adj'!F12</f>
        <v>0</v>
      </c>
      <c r="C23" s="258">
        <f>'36. Year 11 Exc &amp; Adj'!F12</f>
        <v>0</v>
      </c>
    </row>
    <row r="24" spans="1:5">
      <c r="A24" s="224" t="s">
        <v>140</v>
      </c>
      <c r="B24" s="17" t="str">
        <f>'36. Year 11 Exc &amp; Adj'!B32</f>
        <v/>
      </c>
      <c r="C24" s="258" t="str">
        <f>'36. Year 11 Exc &amp; Adj'!C32</f>
        <v/>
      </c>
    </row>
    <row r="25" spans="1:5">
      <c r="A25" s="224" t="s">
        <v>141</v>
      </c>
      <c r="B25" s="17">
        <f>'36. Year 11 Exc &amp; Adj'!C33</f>
        <v>0</v>
      </c>
      <c r="C25" s="258">
        <f>'36. Year 11 Exc &amp; Adj'!C33</f>
        <v>0</v>
      </c>
    </row>
    <row r="26" spans="1:5">
      <c r="A26" s="224" t="s">
        <v>142</v>
      </c>
      <c r="B26" s="17">
        <f>'36. Year 11 Exc &amp; Adj'!B43</f>
        <v>0</v>
      </c>
      <c r="C26" s="258">
        <f>'36. Year 11 Exc &amp; Adj'!B43</f>
        <v>0</v>
      </c>
    </row>
    <row r="27" spans="1:5">
      <c r="A27" s="224" t="str">
        <f>IF('3b. High Cost Fund'!$B13="No","This exception is not valid for your state.","Exception (e)")</f>
        <v>Exception (e)</v>
      </c>
      <c r="B27" s="17">
        <f>IF('3b. High Cost Fund'!$B13="No","",'36. Year 11 Exc &amp; Adj'!B53)</f>
        <v>0</v>
      </c>
      <c r="C27" s="258">
        <f>IF('3b. High Cost Fund'!$B13="No","",'36. Year 11 Exc &amp; Adj'!B53)</f>
        <v>0</v>
      </c>
    </row>
    <row r="28" spans="1:5">
      <c r="A28" s="224" t="s">
        <v>143</v>
      </c>
      <c r="B28" s="17">
        <f>AdjDataYear11Budget[Projected Adjustment]</f>
        <v>0</v>
      </c>
      <c r="C28" s="258">
        <f>AdjDataYear11Budget[Projected Adjustment]</f>
        <v>0</v>
      </c>
    </row>
    <row r="29" spans="1:5">
      <c r="A29" s="246" t="s">
        <v>124</v>
      </c>
      <c r="B29" s="328">
        <f>SUM(B23:B28)</f>
        <v>0</v>
      </c>
      <c r="C29" s="329">
        <f>SUM(C23:C28)</f>
        <v>0</v>
      </c>
    </row>
    <row r="30" spans="1:5" ht="28.5" customHeight="1">
      <c r="A30" s="345" t="s">
        <v>183</v>
      </c>
      <c r="B30" s="346"/>
      <c r="C30" s="346"/>
      <c r="D30" s="346"/>
      <c r="E30" s="346"/>
    </row>
    <row r="31" spans="1:5" ht="15.5">
      <c r="A31" s="358" t="s">
        <v>182</v>
      </c>
    </row>
    <row r="32" spans="1:5">
      <c r="A32" s="464" t="s">
        <v>24</v>
      </c>
      <c r="B32" s="464"/>
      <c r="C32" s="464"/>
      <c r="D32" s="464"/>
      <c r="E32" s="464"/>
    </row>
  </sheetData>
  <sheetProtection algorithmName="SHA-512" hashValue="UyBFBpEBkwnmTR36C/SW3Wsxr+BaxKS6jQF+BN63dA8Txv30OQ7B90Tnnedr9HFz0P7VkQNjJhkEY+Oev/9txg==" saltValue="xmbbrxjOOFqOMkfNSSb4oA==" spinCount="100000" sheet="1" objects="1" scenarios="1" formatColumns="0" formatRows="0"/>
  <mergeCells count="3">
    <mergeCell ref="A11:E11"/>
    <mergeCell ref="A19:E19"/>
    <mergeCell ref="A32:E32"/>
  </mergeCells>
  <conditionalFormatting sqref="B9:E9">
    <cfRule type="containsText" dxfId="161" priority="1" operator="containsText" text="Did Not Meet">
      <formula>NOT(ISERROR(SEARCH("Did Not Meet",B9)))</formula>
    </cfRule>
    <cfRule type="containsText" dxfId="160" priority="2" operator="containsText" text="Met">
      <formula>NOT(ISERROR(SEARCH("Met",B9)))</formula>
    </cfRule>
  </conditionalFormatting>
  <hyperlinks>
    <hyperlink ref="A31" r:id="rId1" xr:uid="{00000000-0004-0000-2600-000000000000}"/>
  </hyperlinks>
  <pageMargins left="0.7" right="0.7" top="0.75" bottom="0.75" header="0.3" footer="0.3"/>
  <pageSetup orientation="landscape" verticalDpi="300" r:id="rId2"/>
  <tableParts count="3">
    <tablePart r:id="rId3"/>
    <tablePart r:id="rId4"/>
    <tablePart r:id="rId5"/>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theme="7"/>
  </sheetPr>
  <dimension ref="A1:I97"/>
  <sheetViews>
    <sheetView showGridLines="0" topLeftCell="A31" zoomScaleNormal="100" workbookViewId="0">
      <selection activeCell="F1" sqref="F1"/>
    </sheetView>
  </sheetViews>
  <sheetFormatPr defaultColWidth="0" defaultRowHeight="14.5" zeroHeight="1"/>
  <cols>
    <col min="1" max="1" width="43.54296875" customWidth="1"/>
    <col min="2" max="2" width="25.81640625" bestFit="1" customWidth="1"/>
    <col min="3" max="4" width="9.1796875" customWidth="1"/>
    <col min="5" max="5" width="43.54296875" customWidth="1"/>
    <col min="6" max="6" width="26.1796875" bestFit="1" customWidth="1"/>
    <col min="7" max="7" width="0.81640625" customWidth="1"/>
    <col min="8" max="8" width="27" hidden="1" customWidth="1"/>
    <col min="9" max="9" width="9.1796875" hidden="1" customWidth="1"/>
    <col min="10" max="16384" width="9.1796875" hidden="1"/>
  </cols>
  <sheetData>
    <row r="1" spans="1:9" ht="33.75" customHeight="1">
      <c r="A1" s="302" t="s">
        <v>171</v>
      </c>
      <c r="B1" s="303"/>
      <c r="C1" s="480" t="s">
        <v>174</v>
      </c>
      <c r="D1" s="480"/>
      <c r="E1" s="21" t="s">
        <v>14</v>
      </c>
      <c r="F1" s="20" t="str">
        <f>IF('2. Getting Started'!B2="","",'2. Getting Started'!B2)</f>
        <v/>
      </c>
    </row>
    <row r="2" spans="1:9" ht="18.75" customHeight="1">
      <c r="A2" s="18" t="s">
        <v>13</v>
      </c>
      <c r="B2" s="4"/>
      <c r="C2" s="480"/>
      <c r="D2" s="480"/>
      <c r="E2" s="18" t="s">
        <v>6</v>
      </c>
      <c r="F2" s="4"/>
      <c r="H2" s="2" t="s">
        <v>12</v>
      </c>
    </row>
    <row r="3" spans="1:9" ht="39" customHeight="1">
      <c r="A3" s="16" t="str">
        <f>CONCATENATE("Prior to Year 1: SFY ",'2. Getting Started'!B6)</f>
        <v>Prior to Year 1: SFY 2021</v>
      </c>
      <c r="B3" s="16"/>
      <c r="C3" s="480"/>
      <c r="D3" s="480"/>
      <c r="E3" s="16" t="str">
        <f>CONCATENATE("Prior to Year 1: SFY ",'2. Getting Started'!B6)</f>
        <v>Prior to Year 1: SFY 2021</v>
      </c>
      <c r="F3" s="16"/>
      <c r="H3" s="2"/>
    </row>
    <row r="4" spans="1:9" ht="29">
      <c r="A4" s="225" t="str">
        <f>CONCATENATE("Last year before SFY ",'2. Getting Started'!B6," that the compliance standard was met for total local funds")</f>
        <v>Last year before SFY 2021 that the compliance standard was met for total local funds</v>
      </c>
      <c r="B4" s="257">
        <f>IF('2. Getting Started'!B10="","",'2. Getting Started'!B10)</f>
        <v>2020</v>
      </c>
      <c r="C4" s="480"/>
      <c r="D4" s="480"/>
      <c r="E4" s="225" t="str">
        <f>CONCATENATE("Last year before SFY ",'2. Getting Started'!B6," that the compliance standard was met for total local funds")</f>
        <v>Last year before SFY 2021 that the compliance standard was met for total local funds</v>
      </c>
      <c r="F4" s="257">
        <f>IF('2. Getting Started'!B10="","",'2. Getting Started'!B10)</f>
        <v>2020</v>
      </c>
      <c r="H4" s="1" t="s">
        <v>21</v>
      </c>
      <c r="I4">
        <f>'2. Getting Started'!B6-'2. Getting Started'!B10</f>
        <v>1</v>
      </c>
    </row>
    <row r="5" spans="1:9" ht="15" customHeight="1">
      <c r="A5" s="224" t="s">
        <v>1</v>
      </c>
      <c r="B5" s="258">
        <f>IF('2. Getting Started'!C10="","",'2. Getting Started'!C10)</f>
        <v>0</v>
      </c>
      <c r="C5" s="480"/>
      <c r="D5" s="480"/>
      <c r="E5" s="224" t="s">
        <v>1</v>
      </c>
      <c r="F5" s="258">
        <f>IF('2. Getting Started'!C10="","",'2. Getting Started'!C10)</f>
        <v>0</v>
      </c>
    </row>
    <row r="6" spans="1:9" ht="15" customHeight="1">
      <c r="A6" s="229" t="s">
        <v>5</v>
      </c>
      <c r="B6" s="261">
        <f>IF(B5="","",IF(I4=1,0,IF(I4&gt;1,VLOOKUP(I4,'3a. Intervening Years'!I4:K22,2))))</f>
        <v>0</v>
      </c>
      <c r="C6" s="480"/>
      <c r="D6" s="480"/>
      <c r="E6" s="229" t="s">
        <v>5</v>
      </c>
      <c r="F6" s="261">
        <f>IF(F5="","",IF(I4=1,0,IF(I4&gt;1,VLOOKUP(I4,'3a. Intervening Years'!I4:K22,2))))</f>
        <v>0</v>
      </c>
    </row>
    <row r="7" spans="1:9" ht="15" customHeight="1">
      <c r="A7" s="479" t="s">
        <v>174</v>
      </c>
      <c r="B7" s="479"/>
      <c r="C7" s="480"/>
      <c r="D7" s="480"/>
      <c r="E7" s="479" t="s">
        <v>174</v>
      </c>
      <c r="F7" s="479"/>
    </row>
    <row r="8" spans="1:9" ht="15.75" customHeight="1">
      <c r="A8" s="5" t="str">
        <f>CONCATENATE("Year 1: SFY ",'2. Getting Started'!B$6)</f>
        <v>Year 1: SFY 2021</v>
      </c>
      <c r="B8" s="4"/>
      <c r="C8" s="480"/>
      <c r="D8" s="480"/>
      <c r="E8" s="5" t="str">
        <f>CONCATENATE("Year 1: SFY ",'2. Getting Started'!B$6)</f>
        <v>Year 1: SFY 2021</v>
      </c>
      <c r="F8" s="4"/>
    </row>
    <row r="9" spans="1:9" ht="15" customHeight="1">
      <c r="A9" s="481" t="s">
        <v>180</v>
      </c>
      <c r="B9" s="482"/>
      <c r="C9" s="480"/>
      <c r="D9" s="480"/>
      <c r="E9" s="224" t="str">
        <f>CONCATENATE("Starting MOE Threshold for SFY ",'2. Getting Started'!B$6)</f>
        <v>Starting MOE Threshold for SFY 2021</v>
      </c>
      <c r="F9" s="258">
        <f>IF(F5="","",(F5-F6))</f>
        <v>0</v>
      </c>
    </row>
    <row r="10" spans="1:9" ht="15" customHeight="1">
      <c r="A10" s="483"/>
      <c r="B10" s="484"/>
      <c r="C10" s="480"/>
      <c r="D10" s="480"/>
      <c r="E10" s="224" t="str">
        <f>CONCATENATE("SFY ",'2. Getting Started'!B$6," Exceptions")</f>
        <v>SFY 2021 Exceptions</v>
      </c>
      <c r="F10" s="258">
        <f>'6. Year 1 Exc &amp; Adj'!I67</f>
        <v>0</v>
      </c>
    </row>
    <row r="11" spans="1:9" ht="15" customHeight="1">
      <c r="A11" s="483"/>
      <c r="B11" s="484"/>
      <c r="C11" s="480"/>
      <c r="D11" s="480"/>
      <c r="E11" s="224" t="str">
        <f>CONCATENATE("SFY ",'2. Getting Started'!B$6," Adjustment")</f>
        <v>SFY 2021 Adjustment</v>
      </c>
      <c r="F11" s="258">
        <f>AdjDataYear1Expenditures[[Adjustment ]]</f>
        <v>0</v>
      </c>
    </row>
    <row r="12" spans="1:9" ht="15" customHeight="1">
      <c r="A12" s="483"/>
      <c r="B12" s="484"/>
      <c r="C12" s="480"/>
      <c r="D12" s="480"/>
      <c r="E12" s="224" t="str">
        <f>CONCATENATE("Adjusted MOE Threshold for SFY ",'2. Getting Started'!B$6)</f>
        <v>Adjusted MOE Threshold for SFY 2021</v>
      </c>
      <c r="F12" s="258">
        <f>IF(F9="","",(F9-F10-F11))</f>
        <v>0</v>
      </c>
    </row>
    <row r="13" spans="1:9" ht="15" customHeight="1">
      <c r="A13" s="483"/>
      <c r="B13" s="484"/>
      <c r="C13" s="480"/>
      <c r="D13" s="480"/>
      <c r="E13" s="224" t="str">
        <f>CONCATENATE("Final Expenditures for SFY ",'2. Getting Started'!B$6)</f>
        <v>Final Expenditures for SFY 2021</v>
      </c>
      <c r="F13" s="258">
        <f>'5. Year 1 Amounts'!K30</f>
        <v>0</v>
      </c>
    </row>
    <row r="14" spans="1:9" ht="15" customHeight="1">
      <c r="A14" s="485"/>
      <c r="B14" s="486"/>
      <c r="C14" s="480"/>
      <c r="D14" s="480"/>
      <c r="E14" s="275" t="str">
        <f>CONCATENATE("MOE Result for SFY ",'2. Getting Started'!B$6)</f>
        <v>MOE Result for SFY 2021</v>
      </c>
      <c r="F14" s="285" t="str">
        <f>IF(F13="","",IF(F13&gt;=F12,"Met","Did Not Meet"))</f>
        <v>Met</v>
      </c>
    </row>
    <row r="15" spans="1:9" ht="15" customHeight="1">
      <c r="A15" s="479" t="s">
        <v>174</v>
      </c>
      <c r="B15" s="479"/>
      <c r="C15" s="480"/>
      <c r="D15" s="480"/>
      <c r="E15" s="479" t="s">
        <v>174</v>
      </c>
      <c r="F15" s="479"/>
    </row>
    <row r="16" spans="1:9" ht="15.75" customHeight="1">
      <c r="A16" s="5" t="str">
        <f>CONCATENATE("Year 2: SFY ",'2. Getting Started'!B$6+1)</f>
        <v>Year 2: SFY 2022</v>
      </c>
      <c r="B16" s="4"/>
      <c r="C16" s="480"/>
      <c r="D16" s="480"/>
      <c r="E16" s="5" t="str">
        <f>CONCATENATE("Year 2: SFY ",'2. Getting Started'!B$6+1)</f>
        <v>Year 2: SFY 2022</v>
      </c>
      <c r="F16" s="4"/>
    </row>
    <row r="17" spans="1:6" ht="15" customHeight="1">
      <c r="A17" s="224" t="str">
        <f>CONCATENATE("Starting MOE Threshold for SFY ",'2. Getting Started'!B$6+1)</f>
        <v>Starting MOE Threshold for SFY 2022</v>
      </c>
      <c r="B17" s="258">
        <f>IF(B5="","",(B5-B6))</f>
        <v>0</v>
      </c>
      <c r="C17" s="480"/>
      <c r="D17" s="480"/>
      <c r="E17" s="224" t="str">
        <f>CONCATENATE("Starting MOE Threshold for SFY ",'2. Getting Started'!B$6+1)</f>
        <v>Starting MOE Threshold for SFY 2022</v>
      </c>
      <c r="F17" s="258">
        <f>IF(F14="Met",F13,F12)</f>
        <v>0</v>
      </c>
    </row>
    <row r="18" spans="1:6" ht="15" customHeight="1">
      <c r="A18" s="224" t="str">
        <f>CONCATENATE("SFY ",'2. Getting Started'!B$6," + ",'2. Getting Started'!B$6+1," Projected Exceptions")</f>
        <v>SFY 2021 + 2022 Projected Exceptions</v>
      </c>
      <c r="B18" s="258" t="e">
        <f>'6. Year 1 Exc &amp; Adj'!B67+'9. Year 2 Exc &amp; Adj'!B67</f>
        <v>#N/A</v>
      </c>
      <c r="C18" s="480"/>
      <c r="D18" s="480"/>
      <c r="E18" s="224" t="str">
        <f>CONCATENATE("SFY ",'2. Getting Started'!B$6+1," Exceptions")</f>
        <v>SFY 2022 Exceptions</v>
      </c>
      <c r="F18" s="258" t="e">
        <f>'9. Year 2 Exc &amp; Adj'!I67</f>
        <v>#N/A</v>
      </c>
    </row>
    <row r="19" spans="1:6" ht="15" customHeight="1">
      <c r="A19" s="224" t="str">
        <f>CONCATENATE("SFY ",'2. Getting Started'!B$6," + ",'2. Getting Started'!B$6+1," Projected Adjustments")</f>
        <v>SFY 2021 + 2022 Projected Adjustments</v>
      </c>
      <c r="B19" s="258">
        <f>AdjDataYear1Budget[Projected Adjustment]+AdjDataYear2Budget[Projected Adjustment]</f>
        <v>0</v>
      </c>
      <c r="C19" s="480"/>
      <c r="D19" s="480"/>
      <c r="E19" s="224" t="str">
        <f>CONCATENATE("SFY ",'2. Getting Started'!B$6+1," Adjustment")</f>
        <v>SFY 2022 Adjustment</v>
      </c>
      <c r="F19" s="258">
        <f>AdjDataYear2Expenditures[[Adjustment ]]</f>
        <v>0</v>
      </c>
    </row>
    <row r="20" spans="1:6" ht="15" customHeight="1">
      <c r="A20" s="224" t="str">
        <f>CONCATENATE("Adjusted MOE Threshold for SFY ",'2. Getting Started'!B$6+1)</f>
        <v>Adjusted MOE Threshold for SFY 2022</v>
      </c>
      <c r="B20" s="258" t="e">
        <f>IF(B17="","",(B17-B18-B19))</f>
        <v>#N/A</v>
      </c>
      <c r="C20" s="480"/>
      <c r="D20" s="480"/>
      <c r="E20" s="224" t="str">
        <f>CONCATENATE("Adjusted MOE Threshold for SFY ",'2. Getting Started'!B$6+1)</f>
        <v>Adjusted MOE Threshold for SFY 2022</v>
      </c>
      <c r="F20" s="258" t="e">
        <f>IF(F17="","",(F17-F18-F19))</f>
        <v>#N/A</v>
      </c>
    </row>
    <row r="21" spans="1:6" ht="15" customHeight="1">
      <c r="A21" s="224" t="str">
        <f>CONCATENATE("Budgeted Amount for SFY ",'2. Getting Started'!B$6+1)</f>
        <v>Budgeted Amount for SFY 2022</v>
      </c>
      <c r="B21" s="258">
        <f>'8. Year 2 Amounts'!D30</f>
        <v>0</v>
      </c>
      <c r="C21" s="480"/>
      <c r="D21" s="480"/>
      <c r="E21" s="224" t="str">
        <f>CONCATENATE("Final Expenditures for SFY ",'2. Getting Started'!B$6+1)</f>
        <v>Final Expenditures for SFY 2022</v>
      </c>
      <c r="F21" s="258">
        <f>'8. Year 2 Amounts'!K30</f>
        <v>0</v>
      </c>
    </row>
    <row r="22" spans="1:6" ht="15" customHeight="1">
      <c r="A22" s="275" t="str">
        <f>CONCATENATE("MOE Result for SFY ",'2. Getting Started'!B$6+1)</f>
        <v>MOE Result for SFY 2022</v>
      </c>
      <c r="B22" s="285" t="e">
        <f>IF(B21="","",IF(B21&gt;=B20,"Met","Did Not Meet"))</f>
        <v>#N/A</v>
      </c>
      <c r="C22" s="480"/>
      <c r="D22" s="480"/>
      <c r="E22" s="275" t="str">
        <f>CONCATENATE("MOE Result for SFY ",'2. Getting Started'!B$6+1)</f>
        <v>MOE Result for SFY 2022</v>
      </c>
      <c r="F22" s="285" t="e">
        <f>IF(F21="","",IF(F21&gt;=F20,"Met","Did Not Meet"))</f>
        <v>#N/A</v>
      </c>
    </row>
    <row r="23" spans="1:6" ht="15" customHeight="1">
      <c r="A23" s="479" t="s">
        <v>174</v>
      </c>
      <c r="B23" s="479"/>
      <c r="C23" s="480"/>
      <c r="D23" s="480"/>
      <c r="E23" s="479" t="s">
        <v>174</v>
      </c>
      <c r="F23" s="479"/>
    </row>
    <row r="24" spans="1:6" ht="15.75" customHeight="1">
      <c r="A24" s="5" t="str">
        <f>CONCATENATE("Year 3: SFY ",'2. Getting Started'!B$6+2)</f>
        <v>Year 3: SFY 2023</v>
      </c>
      <c r="B24" s="4"/>
      <c r="C24" s="480"/>
      <c r="D24" s="480"/>
      <c r="E24" s="5" t="str">
        <f>CONCATENATE("Year 3: SFY ",'2. Getting Started'!B$6+2)</f>
        <v>Year 3: SFY 2023</v>
      </c>
      <c r="F24" s="4"/>
    </row>
    <row r="25" spans="1:6" ht="15" customHeight="1">
      <c r="A25" s="224" t="str">
        <f>CONCATENATE("Starting MOE Threshold for SFY ",'2. Getting Started'!B$6+2)</f>
        <v>Starting MOE Threshold for SFY 2023</v>
      </c>
      <c r="B25" s="258">
        <f>IF(F14="Met",F13,F12)</f>
        <v>0</v>
      </c>
      <c r="C25" s="480"/>
      <c r="D25" s="480"/>
      <c r="E25" s="224" t="str">
        <f>CONCATENATE("Starting MOE Threshold for SFY ",'2. Getting Started'!B$6+2)</f>
        <v>Starting MOE Threshold for SFY 2023</v>
      </c>
      <c r="F25" s="258" t="e">
        <f>IF(F22="Met",F21,F20)</f>
        <v>#N/A</v>
      </c>
    </row>
    <row r="26" spans="1:6" ht="15" customHeight="1">
      <c r="A26" s="224" t="str">
        <f>CONCATENATE("SFY ",'2. Getting Started'!B$6+1," + ",'2. Getting Started'!B$6+2," Projected Exceptions")</f>
        <v>SFY 2022 + 2023 Projected Exceptions</v>
      </c>
      <c r="B26" s="258" t="e">
        <f>'9. Year 2 Exc &amp; Adj'!B67+'12. Year 3 Exc &amp; Adj'!B67</f>
        <v>#N/A</v>
      </c>
      <c r="C26" s="480"/>
      <c r="D26" s="480"/>
      <c r="E26" s="224" t="str">
        <f>CONCATENATE("SFY ",'2. Getting Started'!B$6+2," Exceptions")</f>
        <v>SFY 2023 Exceptions</v>
      </c>
      <c r="F26" s="258" t="e">
        <f>'12. Year 3 Exc &amp; Adj'!I67</f>
        <v>#N/A</v>
      </c>
    </row>
    <row r="27" spans="1:6" ht="15" customHeight="1">
      <c r="A27" s="224" t="str">
        <f>CONCATENATE("SFY ",'2. Getting Started'!B$6+1," + ",'2. Getting Started'!B$6+2," Projected Adjustments")</f>
        <v>SFY 2022 + 2023 Projected Adjustments</v>
      </c>
      <c r="B27" s="258">
        <f>AdjDataYear3Budget[Projected Adjustment]+AdjDataYear2Budget[Projected Adjustment]</f>
        <v>0</v>
      </c>
      <c r="C27" s="480"/>
      <c r="D27" s="480"/>
      <c r="E27" s="224" t="str">
        <f>CONCATENATE("SFY ",'2. Getting Started'!B$6+2," Adjustment")</f>
        <v>SFY 2023 Adjustment</v>
      </c>
      <c r="F27" s="258">
        <f>AdjDataYear3Expenditures[[Adjustment ]]</f>
        <v>0</v>
      </c>
    </row>
    <row r="28" spans="1:6" ht="15" customHeight="1">
      <c r="A28" s="224" t="str">
        <f>CONCATENATE("Adjusted MOE Threshold for SFY ",'2. Getting Started'!B$6+2)</f>
        <v>Adjusted MOE Threshold for SFY 2023</v>
      </c>
      <c r="B28" s="258" t="e">
        <f>IF(B25="","",(B25-B26-B27))</f>
        <v>#N/A</v>
      </c>
      <c r="C28" s="480"/>
      <c r="D28" s="480"/>
      <c r="E28" s="224" t="str">
        <f>CONCATENATE("Adjusted MOE Threshold for SFY ",'2. Getting Started'!B$6+2)</f>
        <v>Adjusted MOE Threshold for SFY 2023</v>
      </c>
      <c r="F28" s="258" t="e">
        <f>IF(F25="","",(F25-F26-F27))</f>
        <v>#N/A</v>
      </c>
    </row>
    <row r="29" spans="1:6" ht="15" customHeight="1">
      <c r="A29" s="224" t="str">
        <f>CONCATENATE("Budgeted Amount for SFY ",'2. Getting Started'!B$6+2)</f>
        <v>Budgeted Amount for SFY 2023</v>
      </c>
      <c r="B29" s="258" t="str">
        <f>'11. Year 3 Amounts'!D30</f>
        <v/>
      </c>
      <c r="C29" s="480"/>
      <c r="D29" s="480"/>
      <c r="E29" s="224" t="str">
        <f>CONCATENATE("Final Expenditures for SFY ",'2. Getting Started'!B$6+2)</f>
        <v>Final Expenditures for SFY 2023</v>
      </c>
      <c r="F29" s="258" t="str">
        <f>'11. Year 3 Amounts'!K30</f>
        <v/>
      </c>
    </row>
    <row r="30" spans="1:6" ht="15" customHeight="1">
      <c r="A30" s="275" t="str">
        <f>CONCATENATE("MOE Result for SFY ",'2. Getting Started'!B$6+2)</f>
        <v>MOE Result for SFY 2023</v>
      </c>
      <c r="B30" s="285" t="str">
        <f>IF(B29="","",IF(B29&gt;=B28,"Met","Did Not Meet"))</f>
        <v/>
      </c>
      <c r="C30" s="480"/>
      <c r="D30" s="480"/>
      <c r="E30" s="275" t="str">
        <f>CONCATENATE("MOE Result for SFY ",'2. Getting Started'!B$6+2)</f>
        <v>MOE Result for SFY 2023</v>
      </c>
      <c r="F30" s="285" t="str">
        <f>IF(F29="","",IF(F29&gt;=F28,"Met","Did Not Meet"))</f>
        <v/>
      </c>
    </row>
    <row r="31" spans="1:6" ht="15" customHeight="1">
      <c r="A31" s="479" t="s">
        <v>174</v>
      </c>
      <c r="B31" s="479"/>
      <c r="C31" s="480"/>
      <c r="D31" s="480"/>
      <c r="E31" s="479" t="s">
        <v>174</v>
      </c>
      <c r="F31" s="479"/>
    </row>
    <row r="32" spans="1:6" ht="15.75" customHeight="1">
      <c r="A32" s="5" t="str">
        <f>CONCATENATE("Year 4: SFY ",'2. Getting Started'!B$6+3)</f>
        <v>Year 4: SFY 2024</v>
      </c>
      <c r="B32" s="4"/>
      <c r="C32" s="480"/>
      <c r="D32" s="480"/>
      <c r="E32" s="5" t="str">
        <f>CONCATENATE("Year 4: SFY ",'2. Getting Started'!B$6+3)</f>
        <v>Year 4: SFY 2024</v>
      </c>
      <c r="F32" s="4"/>
    </row>
    <row r="33" spans="1:6" ht="15" customHeight="1">
      <c r="A33" s="224" t="str">
        <f>CONCATENATE("Starting MOE Threshold for SFY ",'2. Getting Started'!B$6+3)</f>
        <v>Starting MOE Threshold for SFY 2024</v>
      </c>
      <c r="B33" s="258" t="e">
        <f>IF(F22="Met",F21,F20)</f>
        <v>#N/A</v>
      </c>
      <c r="C33" s="480"/>
      <c r="D33" s="480"/>
      <c r="E33" s="224" t="str">
        <f>CONCATENATE("Starting MOE Threshold for SFY ",'2. Getting Started'!B$6+3)</f>
        <v>Starting MOE Threshold for SFY 2024</v>
      </c>
      <c r="F33" s="258" t="e">
        <f>IF(F30="Met",F29,F28)</f>
        <v>#N/A</v>
      </c>
    </row>
    <row r="34" spans="1:6" ht="15" customHeight="1">
      <c r="A34" s="224" t="str">
        <f>CONCATENATE("SFY ",'2. Getting Started'!B$6+2," + ",'2. Getting Started'!B$6+3," Projected Exceptions")</f>
        <v>SFY 2023 + 2024 Projected Exceptions</v>
      </c>
      <c r="B34" s="258" t="e">
        <f>'12. Year 3 Exc &amp; Adj'!B67+'15. Year 4 Exc &amp; Adj'!B67</f>
        <v>#N/A</v>
      </c>
      <c r="C34" s="480"/>
      <c r="D34" s="480"/>
      <c r="E34" s="224" t="str">
        <f>CONCATENATE("SFY ",'2. Getting Started'!B$6+3," Exceptions")</f>
        <v>SFY 2024 Exceptions</v>
      </c>
      <c r="F34" s="258">
        <f>'15. Year 4 Exc &amp; Adj'!I67</f>
        <v>0</v>
      </c>
    </row>
    <row r="35" spans="1:6" ht="15" customHeight="1">
      <c r="A35" s="224" t="str">
        <f>CONCATENATE("SFY ",'2. Getting Started'!B$6+2," + ",'2. Getting Started'!B$6+3," Projected Adjustments")</f>
        <v>SFY 2023 + 2024 Projected Adjustments</v>
      </c>
      <c r="B35" s="258">
        <f>AdjDataYear3Budget[Projected Adjustment]+AdjDataYear4Budget[Projected Adjustment]</f>
        <v>0</v>
      </c>
      <c r="C35" s="480"/>
      <c r="D35" s="480"/>
      <c r="E35" s="224" t="str">
        <f>CONCATENATE("SFY ",'2. Getting Started'!B$6+3," Adjustment")</f>
        <v>SFY 2024 Adjustment</v>
      </c>
      <c r="F35" s="258">
        <f>AdjDataYear4Expenditures[[Adjustment ]]</f>
        <v>0</v>
      </c>
    </row>
    <row r="36" spans="1:6" ht="15" customHeight="1">
      <c r="A36" s="224" t="str">
        <f>CONCATENATE("Adjusted MOE Threshold for SFY ",'2. Getting Started'!B$6+3)</f>
        <v>Adjusted MOE Threshold for SFY 2024</v>
      </c>
      <c r="B36" s="258" t="e">
        <f>IF(B33="","",(B33-B34-B35))</f>
        <v>#N/A</v>
      </c>
      <c r="C36" s="480"/>
      <c r="D36" s="480"/>
      <c r="E36" s="224" t="str">
        <f>CONCATENATE("Adjusted MOE Threshold for SFY ",'2. Getting Started'!B$6+3)</f>
        <v>Adjusted MOE Threshold for SFY 2024</v>
      </c>
      <c r="F36" s="258" t="e">
        <f>IF(F33="","",(F33-F34-F35))</f>
        <v>#N/A</v>
      </c>
    </row>
    <row r="37" spans="1:6" ht="15" customHeight="1">
      <c r="A37" s="224" t="str">
        <f>CONCATENATE("Budgeted Amount for SFY ",'2. Getting Started'!B$6+3)</f>
        <v>Budgeted Amount for SFY 2024</v>
      </c>
      <c r="B37" s="258" t="str">
        <f>'14. Year 4 Amounts'!D30</f>
        <v/>
      </c>
      <c r="C37" s="480"/>
      <c r="D37" s="480"/>
      <c r="E37" s="224" t="str">
        <f>CONCATENATE("Final Expenditures for SFY ",'2. Getting Started'!B$6+3)</f>
        <v>Final Expenditures for SFY 2024</v>
      </c>
      <c r="F37" s="258" t="str">
        <f>'14. Year 4 Amounts'!K30</f>
        <v/>
      </c>
    </row>
    <row r="38" spans="1:6" ht="15" customHeight="1">
      <c r="A38" s="275" t="str">
        <f>CONCATENATE("MOE Result for SFY ",'2. Getting Started'!B$6+3)</f>
        <v>MOE Result for SFY 2024</v>
      </c>
      <c r="B38" s="285" t="str">
        <f>IF(B37="","",IF(B37&gt;=B36,"Met","Did Not Meet"))</f>
        <v/>
      </c>
      <c r="C38" s="480"/>
      <c r="D38" s="480"/>
      <c r="E38" s="275" t="str">
        <f>CONCATENATE("MOE Result for SFY ",'2. Getting Started'!B$6+3)</f>
        <v>MOE Result for SFY 2024</v>
      </c>
      <c r="F38" s="285" t="str">
        <f>IF(F37="","",IF(F37&gt;=F36,"Met","Did Not Meet"))</f>
        <v/>
      </c>
    </row>
    <row r="39" spans="1:6" ht="15" customHeight="1">
      <c r="A39" s="479" t="s">
        <v>174</v>
      </c>
      <c r="B39" s="479"/>
      <c r="C39" s="480"/>
      <c r="D39" s="480"/>
      <c r="E39" s="479" t="s">
        <v>174</v>
      </c>
      <c r="F39" s="479"/>
    </row>
    <row r="40" spans="1:6" ht="15.75" customHeight="1">
      <c r="A40" s="5" t="str">
        <f>CONCATENATE("Year 5: SFY ",'2. Getting Started'!B$6+4)</f>
        <v>Year 5: SFY 2025</v>
      </c>
      <c r="B40" s="4"/>
      <c r="C40" s="480"/>
      <c r="D40" s="480"/>
      <c r="E40" s="5" t="str">
        <f>CONCATENATE("Year 5: SFY ",'2. Getting Started'!B$6+4)</f>
        <v>Year 5: SFY 2025</v>
      </c>
      <c r="F40" s="4"/>
    </row>
    <row r="41" spans="1:6" ht="15" customHeight="1">
      <c r="A41" s="224" t="str">
        <f>CONCATENATE("Starting MOE Threshold for SFY ",'2. Getting Started'!B$6+4)</f>
        <v>Starting MOE Threshold for SFY 2025</v>
      </c>
      <c r="B41" s="258" t="e">
        <f>IF(F30="Met",F29,F28)</f>
        <v>#N/A</v>
      </c>
      <c r="C41" s="480"/>
      <c r="D41" s="480"/>
      <c r="E41" s="224" t="str">
        <f>CONCATENATE("Starting MOE Threshold for SFY ",'2. Getting Started'!B$6+4)</f>
        <v>Starting MOE Threshold for SFY 2025</v>
      </c>
      <c r="F41" s="258" t="e">
        <f>IF(F38="Met",F37,F36)</f>
        <v>#N/A</v>
      </c>
    </row>
    <row r="42" spans="1:6" ht="15" customHeight="1">
      <c r="A42" s="224" t="str">
        <f>CONCATENATE("SFY ",'2. Getting Started'!B$6+3," + ",'2. Getting Started'!B$6+4," Projected Exceptions")</f>
        <v>SFY 2024 + 2025 Projected Exceptions</v>
      </c>
      <c r="B42" s="258">
        <f>'15. Year 4 Exc &amp; Adj'!B67+'18. Year 5 Exc &amp; Adj'!B67</f>
        <v>0</v>
      </c>
      <c r="C42" s="480"/>
      <c r="D42" s="480"/>
      <c r="E42" s="224" t="str">
        <f>CONCATENATE("SFY ",'2. Getting Started'!B$6+4," Exceptions")</f>
        <v>SFY 2025 Exceptions</v>
      </c>
      <c r="F42" s="258">
        <f>'18. Year 5 Exc &amp; Adj'!I67</f>
        <v>0</v>
      </c>
    </row>
    <row r="43" spans="1:6" ht="15" customHeight="1">
      <c r="A43" s="224" t="str">
        <f>CONCATENATE("SFY ",'2. Getting Started'!B$6+3," + ",'2. Getting Started'!B$6+4," Projected Adjustments")</f>
        <v>SFY 2024 + 2025 Projected Adjustments</v>
      </c>
      <c r="B43" s="258">
        <f>AdjDataYear4Budget[Projected Adjustment]+AdjDataYear5Budget[Projected Adjustment]</f>
        <v>0</v>
      </c>
      <c r="C43" s="480"/>
      <c r="D43" s="480"/>
      <c r="E43" s="224" t="str">
        <f>CONCATENATE("SFY ",'2. Getting Started'!B$6+4," Adjustment")</f>
        <v>SFY 2025 Adjustment</v>
      </c>
      <c r="F43" s="258">
        <f>AdjDataYear5Expenditures[[Adjustment ]]</f>
        <v>0</v>
      </c>
    </row>
    <row r="44" spans="1:6" ht="15" customHeight="1">
      <c r="A44" s="224" t="str">
        <f>CONCATENATE("Adjusted MOE Threshold for SFY ",'2. Getting Started'!B$6+4)</f>
        <v>Adjusted MOE Threshold for SFY 2025</v>
      </c>
      <c r="B44" s="258" t="e">
        <f>IF(B41="","",(B41-B42-B43))</f>
        <v>#N/A</v>
      </c>
      <c r="C44" s="480"/>
      <c r="D44" s="480"/>
      <c r="E44" s="224" t="str">
        <f>CONCATENATE("Adjusted MOE Threshold for SFY ",'2. Getting Started'!B$6+4)</f>
        <v>Adjusted MOE Threshold for SFY 2025</v>
      </c>
      <c r="F44" s="258" t="e">
        <f>IF(F41="","",(F41-F42-F43))</f>
        <v>#N/A</v>
      </c>
    </row>
    <row r="45" spans="1:6" ht="15" customHeight="1">
      <c r="A45" s="224" t="str">
        <f>CONCATENATE("Budgeted Amount for SFY ",'2. Getting Started'!B$6+4)</f>
        <v>Budgeted Amount for SFY 2025</v>
      </c>
      <c r="B45" s="258" t="str">
        <f>'17. Year 5 Amounts'!D30</f>
        <v/>
      </c>
      <c r="C45" s="480"/>
      <c r="D45" s="480"/>
      <c r="E45" s="224" t="str">
        <f>CONCATENATE("Final Expenditures for SFY ",'2. Getting Started'!B$6+4)</f>
        <v>Final Expenditures for SFY 2025</v>
      </c>
      <c r="F45" s="258" t="str">
        <f>'17. Year 5 Amounts'!K30</f>
        <v/>
      </c>
    </row>
    <row r="46" spans="1:6" ht="15" customHeight="1">
      <c r="A46" s="275" t="str">
        <f>CONCATENATE("MOE Result for SFY ",'2. Getting Started'!B$6+4)</f>
        <v>MOE Result for SFY 2025</v>
      </c>
      <c r="B46" s="285" t="str">
        <f>IF(B45="","",IF(B45&gt;=B44,"Met","Did Not Meet"))</f>
        <v/>
      </c>
      <c r="C46" s="480"/>
      <c r="D46" s="480"/>
      <c r="E46" s="275" t="str">
        <f>CONCATENATE("MOE Result for SFY ",'2. Getting Started'!B$6+4)</f>
        <v>MOE Result for SFY 2025</v>
      </c>
      <c r="F46" s="285" t="str">
        <f>IF(F45="","",IF(F45&gt;=F44,"Met","Did Not Meet"))</f>
        <v/>
      </c>
    </row>
    <row r="47" spans="1:6" ht="15" customHeight="1">
      <c r="A47" s="479" t="s">
        <v>174</v>
      </c>
      <c r="B47" s="479"/>
      <c r="C47" s="480"/>
      <c r="D47" s="480"/>
      <c r="E47" s="479" t="s">
        <v>174</v>
      </c>
      <c r="F47" s="479"/>
    </row>
    <row r="48" spans="1:6" ht="15.75" customHeight="1">
      <c r="A48" s="5" t="str">
        <f>CONCATENATE("Year 6: SFY ",'2. Getting Started'!B$6+5)</f>
        <v>Year 6: SFY 2026</v>
      </c>
      <c r="B48" s="4"/>
      <c r="C48" s="480"/>
      <c r="D48" s="480"/>
      <c r="E48" s="5" t="str">
        <f>CONCATENATE("Year 6: SFY ",'2. Getting Started'!B$6+5)</f>
        <v>Year 6: SFY 2026</v>
      </c>
      <c r="F48" s="4"/>
    </row>
    <row r="49" spans="1:6" ht="15" customHeight="1">
      <c r="A49" s="224" t="str">
        <f>CONCATENATE("Starting MOE Threshold for SFY ",'2. Getting Started'!B$6+5)</f>
        <v>Starting MOE Threshold for SFY 2026</v>
      </c>
      <c r="B49" s="258" t="e">
        <f>IF(F38="Met",F37,F36)</f>
        <v>#N/A</v>
      </c>
      <c r="C49" s="480"/>
      <c r="D49" s="480"/>
      <c r="E49" s="224" t="str">
        <f>CONCATENATE("Starting MOE Threshold for SFY ",'2. Getting Started'!B$6+5)</f>
        <v>Starting MOE Threshold for SFY 2026</v>
      </c>
      <c r="F49" s="258" t="e">
        <f>IF(F46="Met",F45,F44)</f>
        <v>#N/A</v>
      </c>
    </row>
    <row r="50" spans="1:6" ht="15" customHeight="1">
      <c r="A50" s="224" t="str">
        <f>CONCATENATE("SFY ",'2. Getting Started'!B$6+4," + ",'2. Getting Started'!B$6+5," Projected Exceptions")</f>
        <v>SFY 2025 + 2026 Projected Exceptions</v>
      </c>
      <c r="B50" s="258">
        <f>'18. Year 5 Exc &amp; Adj'!B67+'21. Year 6 Exc &amp; Adj'!B67</f>
        <v>0</v>
      </c>
      <c r="C50" s="480"/>
      <c r="D50" s="480"/>
      <c r="E50" s="224" t="str">
        <f>CONCATENATE("SFY ",'2. Getting Started'!B$6+5," Exceptions")</f>
        <v>SFY 2026 Exceptions</v>
      </c>
      <c r="F50" s="258">
        <f>'21. Year 6 Exc &amp; Adj'!I67</f>
        <v>0</v>
      </c>
    </row>
    <row r="51" spans="1:6" ht="15" customHeight="1">
      <c r="A51" s="224" t="str">
        <f>CONCATENATE("SFY ",'2. Getting Started'!B$6+4," + ",'2. Getting Started'!B$6+5," Projected Adjustments")</f>
        <v>SFY 2025 + 2026 Projected Adjustments</v>
      </c>
      <c r="B51" s="258">
        <f>AdjDataYear5Budget[Projected Adjustment]+AdjDataYear6Budget[Projected Adjustment]</f>
        <v>0</v>
      </c>
      <c r="C51" s="480"/>
      <c r="D51" s="480"/>
      <c r="E51" s="224" t="str">
        <f>CONCATENATE("SFY ",'2. Getting Started'!B$6+5," Adjustment")</f>
        <v>SFY 2026 Adjustment</v>
      </c>
      <c r="F51" s="258">
        <f>AdjDataYear6Expenditures[[Adjustment ]]</f>
        <v>0</v>
      </c>
    </row>
    <row r="52" spans="1:6" ht="15" customHeight="1">
      <c r="A52" s="224" t="str">
        <f>CONCATENATE("Adjusted MOE Threshold for SFY ",'2. Getting Started'!B$6+5)</f>
        <v>Adjusted MOE Threshold for SFY 2026</v>
      </c>
      <c r="B52" s="258" t="e">
        <f>IF(B49="","",(B49-B50-B51))</f>
        <v>#N/A</v>
      </c>
      <c r="C52" s="480"/>
      <c r="D52" s="480"/>
      <c r="E52" s="224" t="str">
        <f>CONCATENATE("Adjusted MOE Threshold for SFY ",'2. Getting Started'!B$6+5)</f>
        <v>Adjusted MOE Threshold for SFY 2026</v>
      </c>
      <c r="F52" s="258" t="e">
        <f>IF(F49="","",(F49-F50-F51))</f>
        <v>#N/A</v>
      </c>
    </row>
    <row r="53" spans="1:6" ht="15" customHeight="1">
      <c r="A53" s="224" t="str">
        <f>CONCATENATE("Budgeted Amount for SFY ",'2. Getting Started'!B$6+5)</f>
        <v>Budgeted Amount for SFY 2026</v>
      </c>
      <c r="B53" s="258" t="str">
        <f>'20. Year 6 Amounts'!D30</f>
        <v/>
      </c>
      <c r="C53" s="480"/>
      <c r="D53" s="480"/>
      <c r="E53" s="224" t="str">
        <f>CONCATENATE("Final Expenditures for SFY ",'2. Getting Started'!B$6+5)</f>
        <v>Final Expenditures for SFY 2026</v>
      </c>
      <c r="F53" s="258" t="str">
        <f>'20. Year 6 Amounts'!K30</f>
        <v/>
      </c>
    </row>
    <row r="54" spans="1:6" ht="15" customHeight="1">
      <c r="A54" s="275" t="str">
        <f>CONCATENATE("MOE Result for SFY ",'2. Getting Started'!B$6+5)</f>
        <v>MOE Result for SFY 2026</v>
      </c>
      <c r="B54" s="285" t="str">
        <f>IF(B53="","",IF(B53&gt;=B52,"Met","Did Not Meet"))</f>
        <v/>
      </c>
      <c r="C54" s="480"/>
      <c r="D54" s="480"/>
      <c r="E54" s="275" t="str">
        <f>CONCATENATE("MOE Result for SFY ",'2. Getting Started'!B$6+5)</f>
        <v>MOE Result for SFY 2026</v>
      </c>
      <c r="F54" s="285" t="str">
        <f>IF(F53="","",IF(F53&gt;=F52,"Met","Did Not Meet"))</f>
        <v/>
      </c>
    </row>
    <row r="55" spans="1:6" ht="15" customHeight="1">
      <c r="A55" s="479" t="s">
        <v>174</v>
      </c>
      <c r="B55" s="479"/>
      <c r="C55" s="480"/>
      <c r="D55" s="480"/>
      <c r="E55" s="479" t="s">
        <v>174</v>
      </c>
      <c r="F55" s="479"/>
    </row>
    <row r="56" spans="1:6" ht="15.75" customHeight="1">
      <c r="A56" s="5" t="str">
        <f>CONCATENATE("Year 7: SFY ",'2. Getting Started'!B$6+6)</f>
        <v>Year 7: SFY 2027</v>
      </c>
      <c r="B56" s="4"/>
      <c r="C56" s="480"/>
      <c r="D56" s="480"/>
      <c r="E56" s="5" t="str">
        <f>CONCATENATE("Year 7: SFY ",'2. Getting Started'!B$6+6)</f>
        <v>Year 7: SFY 2027</v>
      </c>
      <c r="F56" s="4"/>
    </row>
    <row r="57" spans="1:6" ht="15" customHeight="1">
      <c r="A57" s="224" t="str">
        <f>CONCATENATE("Starting MOE Threshold for SFY ",'2. Getting Started'!B$6+6)</f>
        <v>Starting MOE Threshold for SFY 2027</v>
      </c>
      <c r="B57" s="258" t="e">
        <f>IF(F46="Met",F45,F44)</f>
        <v>#N/A</v>
      </c>
      <c r="C57" s="480"/>
      <c r="D57" s="480"/>
      <c r="E57" s="224" t="str">
        <f>CONCATENATE("Starting MOE Threshold for SFY ",'2. Getting Started'!B$6+6)</f>
        <v>Starting MOE Threshold for SFY 2027</v>
      </c>
      <c r="F57" s="258" t="e">
        <f>IF(F54="Met",F53,F52)</f>
        <v>#N/A</v>
      </c>
    </row>
    <row r="58" spans="1:6" ht="15" customHeight="1">
      <c r="A58" s="224" t="str">
        <f>CONCATENATE("SFY ",'2. Getting Started'!B$6+5," + ",'2. Getting Started'!B$6+6," Projected Exceptions")</f>
        <v>SFY 2026 + 2027 Projected Exceptions</v>
      </c>
      <c r="B58" s="258">
        <f>'21. Year 6 Exc &amp; Adj'!B67+'24. Year 7 Exc &amp; Adj'!B67</f>
        <v>0</v>
      </c>
      <c r="C58" s="480"/>
      <c r="D58" s="480"/>
      <c r="E58" s="224" t="str">
        <f>CONCATENATE("SFY ",'2. Getting Started'!B$6+6," Exceptions")</f>
        <v>SFY 2027 Exceptions</v>
      </c>
      <c r="F58" s="258">
        <f>'24. Year 7 Exc &amp; Adj'!I67</f>
        <v>0</v>
      </c>
    </row>
    <row r="59" spans="1:6" ht="15" customHeight="1">
      <c r="A59" s="224" t="str">
        <f>CONCATENATE("SFY ",'2. Getting Started'!B$6+5," + ",'2. Getting Started'!B$6+6," Projected Adjustments")</f>
        <v>SFY 2026 + 2027 Projected Adjustments</v>
      </c>
      <c r="B59" s="258">
        <f>AdjDataYear6Budget[Projected Adjustment]+AdjDataYear7Budget[Projected Adjustment]</f>
        <v>0</v>
      </c>
      <c r="C59" s="480"/>
      <c r="D59" s="480"/>
      <c r="E59" s="224" t="str">
        <f>CONCATENATE("SFY ",'2. Getting Started'!B$6+6," Adjustment")</f>
        <v>SFY 2027 Adjustment</v>
      </c>
      <c r="F59" s="258">
        <f>AdjDataYear7Expenditures[[Adjustment ]]</f>
        <v>0</v>
      </c>
    </row>
    <row r="60" spans="1:6" ht="15" customHeight="1">
      <c r="A60" s="224" t="str">
        <f>CONCATENATE("Adjusted MOE Threshold for SFY ",'2. Getting Started'!B$6+6)</f>
        <v>Adjusted MOE Threshold for SFY 2027</v>
      </c>
      <c r="B60" s="258" t="e">
        <f>IF(B57="","",(B57-B58-B59))</f>
        <v>#N/A</v>
      </c>
      <c r="C60" s="480"/>
      <c r="D60" s="480"/>
      <c r="E60" s="224" t="str">
        <f>CONCATENATE("Adjusted MOE Threshold for SFY ",'2. Getting Started'!B$6+6)</f>
        <v>Adjusted MOE Threshold for SFY 2027</v>
      </c>
      <c r="F60" s="258" t="e">
        <f>IF(F57="","",(F57-F58-F59))</f>
        <v>#N/A</v>
      </c>
    </row>
    <row r="61" spans="1:6" ht="15" customHeight="1">
      <c r="A61" s="224" t="str">
        <f>CONCATENATE("Budgeted Amount for SFY ",'2. Getting Started'!B$6+6)</f>
        <v>Budgeted Amount for SFY 2027</v>
      </c>
      <c r="B61" s="258" t="str">
        <f>'23. Year 7 Amounts'!D30</f>
        <v/>
      </c>
      <c r="C61" s="480"/>
      <c r="D61" s="480"/>
      <c r="E61" s="224" t="str">
        <f>CONCATENATE("Final Expenditures for SFY ",'2. Getting Started'!B$6+6)</f>
        <v>Final Expenditures for SFY 2027</v>
      </c>
      <c r="F61" s="258" t="str">
        <f>'23. Year 7 Amounts'!K30</f>
        <v/>
      </c>
    </row>
    <row r="62" spans="1:6" ht="15" customHeight="1">
      <c r="A62" s="275" t="str">
        <f>CONCATENATE("MOE Result for SFY ",'2. Getting Started'!B$6+6)</f>
        <v>MOE Result for SFY 2027</v>
      </c>
      <c r="B62" s="285" t="str">
        <f>IF(B61="","",IF(B61&gt;=B60,"Met","Did Not Meet"))</f>
        <v/>
      </c>
      <c r="C62" s="480"/>
      <c r="D62" s="480"/>
      <c r="E62" s="275" t="str">
        <f>CONCATENATE("MOE Result for SFY ",'2. Getting Started'!B$6+6)</f>
        <v>MOE Result for SFY 2027</v>
      </c>
      <c r="F62" s="285" t="str">
        <f>IF(F61="","",IF(F61&gt;=F60,"Met","Did Not Meet"))</f>
        <v/>
      </c>
    </row>
    <row r="63" spans="1:6" ht="15" customHeight="1">
      <c r="A63" s="479" t="s">
        <v>174</v>
      </c>
      <c r="B63" s="479"/>
      <c r="C63" s="480"/>
      <c r="D63" s="480"/>
      <c r="E63" s="479" t="s">
        <v>174</v>
      </c>
      <c r="F63" s="479"/>
    </row>
    <row r="64" spans="1:6" ht="15.75" customHeight="1">
      <c r="A64" s="5" t="str">
        <f>CONCATENATE("Year 8: SFY ",'2. Getting Started'!B$6+7)</f>
        <v>Year 8: SFY 2028</v>
      </c>
      <c r="B64" s="4"/>
      <c r="C64" s="480"/>
      <c r="D64" s="480"/>
      <c r="E64" s="5" t="str">
        <f>CONCATENATE("Year 8: SFY ",'2. Getting Started'!B$6+7)</f>
        <v>Year 8: SFY 2028</v>
      </c>
      <c r="F64" s="4"/>
    </row>
    <row r="65" spans="1:6" ht="15" customHeight="1">
      <c r="A65" s="224" t="str">
        <f>CONCATENATE("Starting MOE Threshold for SFY ",'2. Getting Started'!B$6+7)</f>
        <v>Starting MOE Threshold for SFY 2028</v>
      </c>
      <c r="B65" s="258" t="e">
        <f>IF(F54="Met",F53,F52)</f>
        <v>#N/A</v>
      </c>
      <c r="C65" s="480"/>
      <c r="D65" s="480"/>
      <c r="E65" s="224" t="str">
        <f>CONCATENATE("Starting MOE Threshold for SFY ",'2. Getting Started'!B$6+7)</f>
        <v>Starting MOE Threshold for SFY 2028</v>
      </c>
      <c r="F65" s="258" t="e">
        <f>IF(F62="Met",F61,F60)</f>
        <v>#N/A</v>
      </c>
    </row>
    <row r="66" spans="1:6" ht="15" customHeight="1">
      <c r="A66" s="224" t="str">
        <f>CONCATENATE("SFY ",'2. Getting Started'!B$6+6," + ",'2. Getting Started'!B$6+7," Projected Exceptions")</f>
        <v>SFY 2027 + 2028 Projected Exceptions</v>
      </c>
      <c r="B66" s="258">
        <f>'24. Year 7 Exc &amp; Adj'!B67+'27. Year 8 Exc &amp; Adj'!B67</f>
        <v>0</v>
      </c>
      <c r="C66" s="480"/>
      <c r="D66" s="480"/>
      <c r="E66" s="224" t="str">
        <f>CONCATENATE("SFY ",'2. Getting Started'!B$6+7," Exceptions")</f>
        <v>SFY 2028 Exceptions</v>
      </c>
      <c r="F66" s="258">
        <f>'27. Year 8 Exc &amp; Adj'!I67</f>
        <v>0</v>
      </c>
    </row>
    <row r="67" spans="1:6" ht="15" customHeight="1">
      <c r="A67" s="224" t="str">
        <f>CONCATENATE("SFY ",'2. Getting Started'!B$6+6," + ",'2. Getting Started'!B$6+7," Projected Adjustments")</f>
        <v>SFY 2027 + 2028 Projected Adjustments</v>
      </c>
      <c r="B67" s="258">
        <f>AdjDataYear7Budget[Projected Adjustment]+AdjDataYear8Budget[Projected Adjustment]</f>
        <v>0</v>
      </c>
      <c r="C67" s="480"/>
      <c r="D67" s="480"/>
      <c r="E67" s="224" t="str">
        <f>CONCATENATE("SFY ",'2. Getting Started'!B$6+7," Adjustment")</f>
        <v>SFY 2028 Adjustment</v>
      </c>
      <c r="F67" s="258">
        <f>AdjDataYear8Expenditures[[Adjustment ]]</f>
        <v>0</v>
      </c>
    </row>
    <row r="68" spans="1:6" ht="15" customHeight="1">
      <c r="A68" s="224" t="str">
        <f>CONCATENATE("Adjusted MOE Threshold for SFY ",'2. Getting Started'!B$6+7)</f>
        <v>Adjusted MOE Threshold for SFY 2028</v>
      </c>
      <c r="B68" s="258" t="e">
        <f>IF(B65="","",(B65-B66-B67))</f>
        <v>#N/A</v>
      </c>
      <c r="C68" s="480"/>
      <c r="D68" s="480"/>
      <c r="E68" s="224" t="str">
        <f>CONCATENATE("Adjusted MOE Threshold for SFY ",'2. Getting Started'!B$6+7)</f>
        <v>Adjusted MOE Threshold for SFY 2028</v>
      </c>
      <c r="F68" s="258" t="e">
        <f>IF(F65="","",(F65-F66-F67))</f>
        <v>#N/A</v>
      </c>
    </row>
    <row r="69" spans="1:6" ht="15" customHeight="1">
      <c r="A69" s="224" t="str">
        <f>CONCATENATE("Budgeted Amount for SFY ",'2. Getting Started'!B$6+7)</f>
        <v>Budgeted Amount for SFY 2028</v>
      </c>
      <c r="B69" s="258" t="str">
        <f>'26. Year 8 Amounts'!D30</f>
        <v/>
      </c>
      <c r="C69" s="480"/>
      <c r="D69" s="480"/>
      <c r="E69" s="224" t="str">
        <f>CONCATENATE("Final Expenditures for SFY ",'2. Getting Started'!B$6+7)</f>
        <v>Final Expenditures for SFY 2028</v>
      </c>
      <c r="F69" s="258" t="str">
        <f>'26. Year 8 Amounts'!K30</f>
        <v/>
      </c>
    </row>
    <row r="70" spans="1:6" ht="15" customHeight="1">
      <c r="A70" s="275" t="str">
        <f>CONCATENATE("MOE Result for SFY ",'2. Getting Started'!B$6+7)</f>
        <v>MOE Result for SFY 2028</v>
      </c>
      <c r="B70" s="285" t="str">
        <f>IF(B69="","",IF(B69&gt;=B68,"Met","Did Not Meet"))</f>
        <v/>
      </c>
      <c r="C70" s="480"/>
      <c r="D70" s="480"/>
      <c r="E70" s="275" t="str">
        <f>CONCATENATE("MOE Result for SFY ",'2. Getting Started'!B$6+7)</f>
        <v>MOE Result for SFY 2028</v>
      </c>
      <c r="F70" s="285" t="str">
        <f>IF(F69="","",IF(F69&gt;=F68,"Met","Did Not Meet"))</f>
        <v/>
      </c>
    </row>
    <row r="71" spans="1:6" ht="15" customHeight="1">
      <c r="A71" s="479" t="s">
        <v>174</v>
      </c>
      <c r="B71" s="479"/>
      <c r="C71" s="480"/>
      <c r="D71" s="480"/>
      <c r="E71" s="479" t="s">
        <v>174</v>
      </c>
      <c r="F71" s="479"/>
    </row>
    <row r="72" spans="1:6" ht="15.75" customHeight="1">
      <c r="A72" s="5" t="str">
        <f>CONCATENATE("Year 9: SFY ",'2. Getting Started'!B$6+8)</f>
        <v>Year 9: SFY 2029</v>
      </c>
      <c r="B72" s="4"/>
      <c r="C72" s="480"/>
      <c r="D72" s="480"/>
      <c r="E72" s="5" t="str">
        <f>CONCATENATE("Year 9: SFY ",'2. Getting Started'!B$6+8)</f>
        <v>Year 9: SFY 2029</v>
      </c>
      <c r="F72" s="4"/>
    </row>
    <row r="73" spans="1:6" ht="15" customHeight="1">
      <c r="A73" s="224" t="str">
        <f>CONCATENATE("Starting MOE Threshold for SFY ",'2. Getting Started'!B$6+8)</f>
        <v>Starting MOE Threshold for SFY 2029</v>
      </c>
      <c r="B73" s="258" t="e">
        <f>IF(F62="Met",F61,F60)</f>
        <v>#N/A</v>
      </c>
      <c r="C73" s="480"/>
      <c r="D73" s="480"/>
      <c r="E73" s="224" t="str">
        <f>CONCATENATE("Starting MOE Threshold for SFY ",'2. Getting Started'!B$6+8)</f>
        <v>Starting MOE Threshold for SFY 2029</v>
      </c>
      <c r="F73" s="258" t="e">
        <f>IF(F70="Met",F69,F68)</f>
        <v>#N/A</v>
      </c>
    </row>
    <row r="74" spans="1:6" ht="15" customHeight="1">
      <c r="A74" s="224" t="str">
        <f>CONCATENATE("SFY ",'2. Getting Started'!B$6+7," + ",'2. Getting Started'!B$6+8," Projected Exceptions")</f>
        <v>SFY 2028 + 2029 Projected Exceptions</v>
      </c>
      <c r="B74" s="258">
        <f>'27. Year 8 Exc &amp; Adj'!B67+'30. Year 9 Exc &amp; Adj'!B67</f>
        <v>0</v>
      </c>
      <c r="C74" s="480"/>
      <c r="D74" s="480"/>
      <c r="E74" s="224" t="str">
        <f>CONCATENATE("SFY ",'2. Getting Started'!B$6+8," Exceptions")</f>
        <v>SFY 2029 Exceptions</v>
      </c>
      <c r="F74" s="258">
        <f>'30. Year 9 Exc &amp; Adj'!I67</f>
        <v>0</v>
      </c>
    </row>
    <row r="75" spans="1:6" ht="15" customHeight="1">
      <c r="A75" s="224" t="str">
        <f>CONCATENATE("SFY ",'2. Getting Started'!B$6+7," + ",'2. Getting Started'!B$6+8," Projected Adjustments")</f>
        <v>SFY 2028 + 2029 Projected Adjustments</v>
      </c>
      <c r="B75" s="258">
        <f>AdjDataYear8Budget[Projected Adjustment]+AdjDataYear9Budget[Projected Adjustment]</f>
        <v>0</v>
      </c>
      <c r="C75" s="480"/>
      <c r="D75" s="480"/>
      <c r="E75" s="224" t="str">
        <f>CONCATENATE("SFY ",'2. Getting Started'!B$6+8," Adjustment")</f>
        <v>SFY 2029 Adjustment</v>
      </c>
      <c r="F75" s="258">
        <f>AdjDataYear9Expenditures[[Adjustment ]]</f>
        <v>0</v>
      </c>
    </row>
    <row r="76" spans="1:6" ht="15" customHeight="1">
      <c r="A76" s="224" t="str">
        <f>CONCATENATE("Adjusted MOE Threshold for SFY ",'2. Getting Started'!B$6+8)</f>
        <v>Adjusted MOE Threshold for SFY 2029</v>
      </c>
      <c r="B76" s="258" t="e">
        <f>IF(B73="","",(B73-B74-B75))</f>
        <v>#N/A</v>
      </c>
      <c r="C76" s="480"/>
      <c r="D76" s="480"/>
      <c r="E76" s="224" t="str">
        <f>CONCATENATE("Adjusted MOE Threshold for SFY ",'2. Getting Started'!B$6+8)</f>
        <v>Adjusted MOE Threshold for SFY 2029</v>
      </c>
      <c r="F76" s="258" t="e">
        <f>IF(F73="","",(F73-F74-F75))</f>
        <v>#N/A</v>
      </c>
    </row>
    <row r="77" spans="1:6" ht="15" customHeight="1">
      <c r="A77" s="224" t="str">
        <f>CONCATENATE("Budgeted Amount for SFY ",'2. Getting Started'!B$6+8)</f>
        <v>Budgeted Amount for SFY 2029</v>
      </c>
      <c r="B77" s="258" t="str">
        <f>'29. Year 9 Amounts'!D30</f>
        <v/>
      </c>
      <c r="C77" s="480"/>
      <c r="D77" s="480"/>
      <c r="E77" s="224" t="str">
        <f>CONCATENATE("Final Expenditures for SFY ",'2. Getting Started'!B$6+8)</f>
        <v>Final Expenditures for SFY 2029</v>
      </c>
      <c r="F77" s="258" t="str">
        <f>'29. Year 9 Amounts'!K30</f>
        <v/>
      </c>
    </row>
    <row r="78" spans="1:6" ht="15" customHeight="1">
      <c r="A78" s="275" t="str">
        <f>CONCATENATE("MOE Result for SFY ",'2. Getting Started'!B$6+8)</f>
        <v>MOE Result for SFY 2029</v>
      </c>
      <c r="B78" s="285" t="str">
        <f>IF(B77="","",IF(B77&gt;=B76,"Met","Did Not Meet"))</f>
        <v/>
      </c>
      <c r="C78" s="480"/>
      <c r="D78" s="480"/>
      <c r="E78" s="275" t="str">
        <f>CONCATENATE("MOE Result for SFY ",'2. Getting Started'!B$6+8)</f>
        <v>MOE Result for SFY 2029</v>
      </c>
      <c r="F78" s="285" t="str">
        <f>IF(F77="","",IF(F77&gt;=F76,"Met","Did Not Meet"))</f>
        <v/>
      </c>
    </row>
    <row r="79" spans="1:6" ht="15" customHeight="1">
      <c r="A79" s="479" t="s">
        <v>174</v>
      </c>
      <c r="B79" s="479"/>
      <c r="C79" s="480"/>
      <c r="D79" s="480"/>
      <c r="E79" s="479" t="s">
        <v>174</v>
      </c>
      <c r="F79" s="479"/>
    </row>
    <row r="80" spans="1:6" ht="15.75" customHeight="1">
      <c r="A80" s="5" t="str">
        <f>CONCATENATE("Year 10: SFY ",'2. Getting Started'!B$6+9)</f>
        <v>Year 10: SFY 2030</v>
      </c>
      <c r="B80" s="4"/>
      <c r="C80" s="480"/>
      <c r="D80" s="480"/>
      <c r="E80" s="5" t="str">
        <f>CONCATENATE("Year 10: SFY ",'2. Getting Started'!B$6+9)</f>
        <v>Year 10: SFY 2030</v>
      </c>
      <c r="F80" s="4"/>
    </row>
    <row r="81" spans="1:6" ht="15" customHeight="1">
      <c r="A81" s="224" t="str">
        <f>CONCATENATE("Starting MOE Threshold for SFY ",'2. Getting Started'!B$6+9)</f>
        <v>Starting MOE Threshold for SFY 2030</v>
      </c>
      <c r="B81" s="258" t="e">
        <f>IF(F70="Met",F69,F68)</f>
        <v>#N/A</v>
      </c>
      <c r="C81" s="480"/>
      <c r="D81" s="480"/>
      <c r="E81" s="224" t="str">
        <f>CONCATENATE("Starting MOE Threshold for SFY ",'2. Getting Started'!B$6+9)</f>
        <v>Starting MOE Threshold for SFY 2030</v>
      </c>
      <c r="F81" s="258" t="e">
        <f>IF(F78="Met",F77,F76)</f>
        <v>#N/A</v>
      </c>
    </row>
    <row r="82" spans="1:6" ht="15" customHeight="1">
      <c r="A82" s="224" t="str">
        <f>CONCATENATE("SFY ",'2. Getting Started'!B$6+8," + ",'2. Getting Started'!B$6+9," Projected Exceptions")</f>
        <v>SFY 2029 + 2030 Projected Exceptions</v>
      </c>
      <c r="B82" s="258">
        <f>'30. Year 9 Exc &amp; Adj'!B67+'33. Year 10 Exc &amp; Adj'!B67</f>
        <v>0</v>
      </c>
      <c r="C82" s="480"/>
      <c r="D82" s="480"/>
      <c r="E82" s="224" t="str">
        <f>CONCATENATE("SFY ",'2. Getting Started'!B$6+9," Exceptions")</f>
        <v>SFY 2030 Exceptions</v>
      </c>
      <c r="F82" s="258">
        <f>'33. Year 10 Exc &amp; Adj'!I67</f>
        <v>0</v>
      </c>
    </row>
    <row r="83" spans="1:6" ht="15" customHeight="1">
      <c r="A83" s="224" t="str">
        <f>CONCATENATE("SFY ",'2. Getting Started'!B$6+8," + ",'2. Getting Started'!B$6+9," Projected Adjustments")</f>
        <v>SFY 2029 + 2030 Projected Adjustments</v>
      </c>
      <c r="B83" s="258">
        <f>AdjDataYear9Budget[Projected Adjustment]+AdjDataYear10Budget[Projected Adjustment]</f>
        <v>0</v>
      </c>
      <c r="C83" s="480"/>
      <c r="D83" s="480"/>
      <c r="E83" s="224" t="str">
        <f>CONCATENATE("SFY ",'2. Getting Started'!B$6+9," Adjustment")</f>
        <v>SFY 2030 Adjustment</v>
      </c>
      <c r="F83" s="258">
        <f>AdjDataYear10Expenditures[[Adjustment ]]</f>
        <v>0</v>
      </c>
    </row>
    <row r="84" spans="1:6" ht="15" customHeight="1">
      <c r="A84" s="224" t="str">
        <f>CONCATENATE("Adjusted MOE Threshold for SFY ",'2. Getting Started'!B$6+9)</f>
        <v>Adjusted MOE Threshold for SFY 2030</v>
      </c>
      <c r="B84" s="258" t="e">
        <f>IF(B81="","",(B81-B82-B83))</f>
        <v>#N/A</v>
      </c>
      <c r="C84" s="480"/>
      <c r="D84" s="480"/>
      <c r="E84" s="224" t="str">
        <f>CONCATENATE("Adjusted MOE Threshold for SFY ",'2. Getting Started'!B$6+9)</f>
        <v>Adjusted MOE Threshold for SFY 2030</v>
      </c>
      <c r="F84" s="258" t="e">
        <f>IF(F81="","",(F81-F82-F83))</f>
        <v>#N/A</v>
      </c>
    </row>
    <row r="85" spans="1:6" ht="15" customHeight="1">
      <c r="A85" s="224" t="str">
        <f>CONCATENATE("Budgeted Amount for SFY ",'2. Getting Started'!B$6+9)</f>
        <v>Budgeted Amount for SFY 2030</v>
      </c>
      <c r="B85" s="258" t="str">
        <f>'32. Year 10 Amounts'!D30</f>
        <v/>
      </c>
      <c r="C85" s="480"/>
      <c r="D85" s="480"/>
      <c r="E85" s="224" t="str">
        <f>CONCATENATE("Final Expenditures for SFY ",'2. Getting Started'!B$6+9)</f>
        <v>Final Expenditures for SFY 2030</v>
      </c>
      <c r="F85" s="258" t="str">
        <f>'32. Year 10 Amounts'!K30</f>
        <v/>
      </c>
    </row>
    <row r="86" spans="1:6" ht="15" customHeight="1">
      <c r="A86" s="275" t="str">
        <f>CONCATENATE("MOE Result for SFY ",'2. Getting Started'!B$6+9)</f>
        <v>MOE Result for SFY 2030</v>
      </c>
      <c r="B86" s="285" t="str">
        <f>IF(B85="","",IF(B85&gt;=B84,"Met","Did Not Meet"))</f>
        <v/>
      </c>
      <c r="C86" s="480"/>
      <c r="D86" s="480"/>
      <c r="E86" s="275" t="str">
        <f>CONCATENATE("MOE Result for SFY ",'2. Getting Started'!B$6+9)</f>
        <v>MOE Result for SFY 2030</v>
      </c>
      <c r="F86" s="285" t="str">
        <f>IF(F85="","",IF(F85&gt;=F84,"Met","Did Not Meet"))</f>
        <v/>
      </c>
    </row>
    <row r="87" spans="1:6" ht="15" customHeight="1">
      <c r="A87" s="479" t="s">
        <v>174</v>
      </c>
      <c r="B87" s="479"/>
      <c r="C87" s="480"/>
      <c r="D87" s="480"/>
      <c r="E87" s="479" t="s">
        <v>174</v>
      </c>
      <c r="F87" s="479"/>
    </row>
    <row r="88" spans="1:6" ht="15.75" customHeight="1">
      <c r="A88" s="5" t="str">
        <f>CONCATENATE("Year 11: SFY ",'2. Getting Started'!B$6+10)</f>
        <v>Year 11: SFY 2031</v>
      </c>
      <c r="B88" s="4"/>
      <c r="C88" s="480"/>
      <c r="D88" s="480"/>
      <c r="E88" s="5" t="str">
        <f>CONCATENATE("Year 11: SFY ",'2. Getting Started'!B$6+10)</f>
        <v>Year 11: SFY 2031</v>
      </c>
      <c r="F88" s="4"/>
    </row>
    <row r="89" spans="1:6" ht="15" customHeight="1">
      <c r="A89" s="224" t="str">
        <f>CONCATENATE("Starting MOE Threshold for SFY ",'2. Getting Started'!B$6+10)</f>
        <v>Starting MOE Threshold for SFY 2031</v>
      </c>
      <c r="B89" s="258" t="e">
        <f>IF(F78="Met",F77,F76)</f>
        <v>#N/A</v>
      </c>
      <c r="C89" s="480"/>
      <c r="D89" s="480"/>
      <c r="E89" s="481" t="s">
        <v>47</v>
      </c>
      <c r="F89" s="482"/>
    </row>
    <row r="90" spans="1:6" ht="15" customHeight="1">
      <c r="A90" s="224" t="str">
        <f>CONCATENATE("SFY ",'2. Getting Started'!B$6+9," + ",'2. Getting Started'!B$6+10," Projected Exceptions")</f>
        <v>SFY 2030 + 2031 Projected Exceptions</v>
      </c>
      <c r="B90" s="258">
        <f>'33. Year 10 Exc &amp; Adj'!B67+'36. Year 11 Exc &amp; Adj'!B67</f>
        <v>0</v>
      </c>
      <c r="C90" s="480"/>
      <c r="D90" s="480"/>
      <c r="E90" s="483"/>
      <c r="F90" s="484"/>
    </row>
    <row r="91" spans="1:6" ht="15" customHeight="1">
      <c r="A91" s="224" t="str">
        <f>CONCATENATE("SFY ",'2. Getting Started'!B$6+9," + ",'2. Getting Started'!B$6+10," Projected Adjustments")</f>
        <v>SFY 2030 + 2031 Projected Adjustments</v>
      </c>
      <c r="B91" s="258">
        <f>AdjDataYear10Budget[Projected Adjustment]+AdjDataYear11Budget[Projected Adjustment]</f>
        <v>0</v>
      </c>
      <c r="C91" s="480"/>
      <c r="D91" s="480"/>
      <c r="E91" s="483"/>
      <c r="F91" s="484"/>
    </row>
    <row r="92" spans="1:6" ht="15" customHeight="1">
      <c r="A92" s="224" t="str">
        <f>CONCATENATE("Adjusted MOE Threshold for SFY ",'2. Getting Started'!B$6+10)</f>
        <v>Adjusted MOE Threshold for SFY 2031</v>
      </c>
      <c r="B92" s="258" t="e">
        <f>IF(B89="","",(B89-B90-B91))</f>
        <v>#N/A</v>
      </c>
      <c r="C92" s="480"/>
      <c r="D92" s="480"/>
      <c r="E92" s="483"/>
      <c r="F92" s="484"/>
    </row>
    <row r="93" spans="1:6" ht="15" customHeight="1">
      <c r="A93" s="224" t="str">
        <f>CONCATENATE("Budgeted Amount for SFY ",'2. Getting Started'!B$6+10)</f>
        <v>Budgeted Amount for SFY 2031</v>
      </c>
      <c r="B93" s="258" t="str">
        <f>'35. Year 11 Amounts'!D30</f>
        <v/>
      </c>
      <c r="C93" s="480"/>
      <c r="D93" s="480"/>
      <c r="E93" s="483"/>
      <c r="F93" s="484"/>
    </row>
    <row r="94" spans="1:6" ht="15" customHeight="1">
      <c r="A94" s="275" t="str">
        <f>CONCATENATE("MOE Result for SFY ",'2. Getting Started'!B$6+10)</f>
        <v>MOE Result for SFY 2031</v>
      </c>
      <c r="B94" s="285" t="str">
        <f>IF(B93="","",IF(B93&gt;=B92,"Met","Did Not Meet"))</f>
        <v/>
      </c>
      <c r="C94" s="480"/>
      <c r="D94" s="480"/>
      <c r="E94" s="485"/>
      <c r="F94" s="486"/>
    </row>
    <row r="95" spans="1:6" ht="27.75" customHeight="1">
      <c r="A95" s="345" t="s">
        <v>183</v>
      </c>
      <c r="C95" s="355"/>
      <c r="D95" s="355"/>
    </row>
    <row r="96" spans="1:6" ht="15" customHeight="1">
      <c r="A96" s="358" t="s">
        <v>182</v>
      </c>
    </row>
    <row r="97" spans="1:6">
      <c r="A97" s="464" t="s">
        <v>24</v>
      </c>
      <c r="B97" s="464"/>
      <c r="C97" s="464"/>
      <c r="D97" s="464"/>
      <c r="E97" s="464"/>
      <c r="F97" s="464"/>
    </row>
  </sheetData>
  <sheetProtection algorithmName="SHA-512" hashValue="QRaLf7VwwfPJpjXIDNP0oCP8Ez0fbTW1XqfWeEDsYlSFaapTVXgmQcYo1JgAdhadxcjA6YLWQ0fZq8NFV9BeBw==" saltValue="57VZ+f96mcES6ue4XH3DZw==" spinCount="100000" sheet="1" objects="1" scenarios="1" formatColumns="0" formatRows="0"/>
  <mergeCells count="26">
    <mergeCell ref="A47:B47"/>
    <mergeCell ref="E47:F47"/>
    <mergeCell ref="A55:B55"/>
    <mergeCell ref="E55:F55"/>
    <mergeCell ref="A23:B23"/>
    <mergeCell ref="E23:F23"/>
    <mergeCell ref="A31:B31"/>
    <mergeCell ref="E31:F31"/>
    <mergeCell ref="A39:B39"/>
    <mergeCell ref="E39:F39"/>
    <mergeCell ref="A97:F97"/>
    <mergeCell ref="A87:B87"/>
    <mergeCell ref="E87:F87"/>
    <mergeCell ref="C1:D94"/>
    <mergeCell ref="A63:B63"/>
    <mergeCell ref="E63:F63"/>
    <mergeCell ref="A71:B71"/>
    <mergeCell ref="E71:F71"/>
    <mergeCell ref="A79:B79"/>
    <mergeCell ref="E79:F79"/>
    <mergeCell ref="A9:B14"/>
    <mergeCell ref="E89:F94"/>
    <mergeCell ref="A7:B7"/>
    <mergeCell ref="E7:F7"/>
    <mergeCell ref="A15:B15"/>
    <mergeCell ref="E15:F15"/>
  </mergeCells>
  <conditionalFormatting sqref="B22">
    <cfRule type="containsText" dxfId="159" priority="40" operator="containsText" text="Met">
      <formula>NOT(ISERROR(SEARCH("Met",B22)))</formula>
    </cfRule>
    <cfRule type="containsText" dxfId="158" priority="39" operator="containsText" text="Did Not Meet">
      <formula>NOT(ISERROR(SEARCH("Did Not Meet",B22)))</formula>
    </cfRule>
  </conditionalFormatting>
  <conditionalFormatting sqref="B30">
    <cfRule type="containsText" dxfId="157" priority="38" operator="containsText" text="Met">
      <formula>NOT(ISERROR(SEARCH("Met",B30)))</formula>
    </cfRule>
    <cfRule type="containsText" dxfId="156" priority="37" operator="containsText" text="Did Not Meet">
      <formula>NOT(ISERROR(SEARCH("Did Not Meet",B30)))</formula>
    </cfRule>
  </conditionalFormatting>
  <conditionalFormatting sqref="B38">
    <cfRule type="containsText" dxfId="155" priority="36" operator="containsText" text="Met">
      <formula>NOT(ISERROR(SEARCH("Met",B38)))</formula>
    </cfRule>
    <cfRule type="containsText" dxfId="154" priority="35" operator="containsText" text="Did Not Meet">
      <formula>NOT(ISERROR(SEARCH("Did Not Meet",B38)))</formula>
    </cfRule>
  </conditionalFormatting>
  <conditionalFormatting sqref="B46">
    <cfRule type="containsText" dxfId="153" priority="34" operator="containsText" text="Met">
      <formula>NOT(ISERROR(SEARCH("Met",B46)))</formula>
    </cfRule>
    <cfRule type="containsText" dxfId="152" priority="33" operator="containsText" text="Did Not Meet">
      <formula>NOT(ISERROR(SEARCH("Did Not Meet",B46)))</formula>
    </cfRule>
  </conditionalFormatting>
  <conditionalFormatting sqref="B54">
    <cfRule type="containsText" dxfId="151" priority="32" operator="containsText" text="Met">
      <formula>NOT(ISERROR(SEARCH("Met",B54)))</formula>
    </cfRule>
    <cfRule type="containsText" dxfId="150" priority="31" operator="containsText" text="Did Not Meet">
      <formula>NOT(ISERROR(SEARCH("Did Not Meet",B54)))</formula>
    </cfRule>
  </conditionalFormatting>
  <conditionalFormatting sqref="B62">
    <cfRule type="containsText" dxfId="149" priority="30" operator="containsText" text="Met">
      <formula>NOT(ISERROR(SEARCH("Met",B62)))</formula>
    </cfRule>
    <cfRule type="containsText" dxfId="148" priority="29" operator="containsText" text="Did Not Meet">
      <formula>NOT(ISERROR(SEARCH("Did Not Meet",B62)))</formula>
    </cfRule>
  </conditionalFormatting>
  <conditionalFormatting sqref="B70">
    <cfRule type="containsText" dxfId="147" priority="28" operator="containsText" text="Met">
      <formula>NOT(ISERROR(SEARCH("Met",B70)))</formula>
    </cfRule>
    <cfRule type="containsText" dxfId="146" priority="27" operator="containsText" text="Did Not Meet">
      <formula>NOT(ISERROR(SEARCH("Did Not Meet",B70)))</formula>
    </cfRule>
  </conditionalFormatting>
  <conditionalFormatting sqref="B78">
    <cfRule type="containsText" dxfId="145" priority="26" operator="containsText" text="Met">
      <formula>NOT(ISERROR(SEARCH("Met",B78)))</formula>
    </cfRule>
    <cfRule type="containsText" dxfId="144" priority="25" operator="containsText" text="Did Not Meet">
      <formula>NOT(ISERROR(SEARCH("Did Not Meet",B78)))</formula>
    </cfRule>
  </conditionalFormatting>
  <conditionalFormatting sqref="B86">
    <cfRule type="containsText" dxfId="143" priority="24" operator="containsText" text="Met">
      <formula>NOT(ISERROR(SEARCH("Met",B86)))</formula>
    </cfRule>
    <cfRule type="containsText" dxfId="142" priority="23" operator="containsText" text="Did Not Meet">
      <formula>NOT(ISERROR(SEARCH("Did Not Meet",B86)))</formula>
    </cfRule>
  </conditionalFormatting>
  <conditionalFormatting sqref="B94">
    <cfRule type="containsText" dxfId="141" priority="21" operator="containsText" text="Did Not Meet">
      <formula>NOT(ISERROR(SEARCH("Did Not Meet",B94)))</formula>
    </cfRule>
    <cfRule type="containsText" dxfId="140" priority="22" operator="containsText" text="Met">
      <formula>NOT(ISERROR(SEARCH("Met",B94)))</formula>
    </cfRule>
  </conditionalFormatting>
  <conditionalFormatting sqref="F14">
    <cfRule type="containsText" dxfId="139" priority="20" operator="containsText" text="Met">
      <formula>NOT(ISERROR(SEARCH("Met",F14)))</formula>
    </cfRule>
    <cfRule type="containsText" dxfId="138" priority="19" operator="containsText" text="Did Not Meet">
      <formula>NOT(ISERROR(SEARCH("Did Not Meet",F14)))</formula>
    </cfRule>
  </conditionalFormatting>
  <conditionalFormatting sqref="F22">
    <cfRule type="containsText" dxfId="137" priority="18" operator="containsText" text="Met">
      <formula>NOT(ISERROR(SEARCH("Met",F22)))</formula>
    </cfRule>
    <cfRule type="containsText" dxfId="136" priority="17" operator="containsText" text="Did Not Meet">
      <formula>NOT(ISERROR(SEARCH("Did Not Meet",F22)))</formula>
    </cfRule>
  </conditionalFormatting>
  <conditionalFormatting sqref="F30">
    <cfRule type="containsText" dxfId="135" priority="16" operator="containsText" text="Met">
      <formula>NOT(ISERROR(SEARCH("Met",F30)))</formula>
    </cfRule>
    <cfRule type="containsText" dxfId="134" priority="15" operator="containsText" text="Did Not Meet">
      <formula>NOT(ISERROR(SEARCH("Did Not Meet",F30)))</formula>
    </cfRule>
  </conditionalFormatting>
  <conditionalFormatting sqref="F38">
    <cfRule type="containsText" dxfId="133" priority="14" operator="containsText" text="Met">
      <formula>NOT(ISERROR(SEARCH("Met",F38)))</formula>
    </cfRule>
    <cfRule type="containsText" dxfId="132" priority="13" operator="containsText" text="Did Not Meet">
      <formula>NOT(ISERROR(SEARCH("Did Not Meet",F38)))</formula>
    </cfRule>
  </conditionalFormatting>
  <conditionalFormatting sqref="F46">
    <cfRule type="containsText" dxfId="131" priority="12" operator="containsText" text="Met">
      <formula>NOT(ISERROR(SEARCH("Met",F46)))</formula>
    </cfRule>
    <cfRule type="containsText" dxfId="130" priority="11" operator="containsText" text="Did Not Meet">
      <formula>NOT(ISERROR(SEARCH("Did Not Meet",F46)))</formula>
    </cfRule>
  </conditionalFormatting>
  <conditionalFormatting sqref="F54">
    <cfRule type="containsText" dxfId="129" priority="10" operator="containsText" text="Met">
      <formula>NOT(ISERROR(SEARCH("Met",F54)))</formula>
    </cfRule>
    <cfRule type="containsText" dxfId="128" priority="9" operator="containsText" text="Did Not Meet">
      <formula>NOT(ISERROR(SEARCH("Did Not Meet",F54)))</formula>
    </cfRule>
  </conditionalFormatting>
  <conditionalFormatting sqref="F62">
    <cfRule type="containsText" dxfId="127" priority="8" operator="containsText" text="Met">
      <formula>NOT(ISERROR(SEARCH("Met",F62)))</formula>
    </cfRule>
    <cfRule type="containsText" dxfId="126" priority="7" operator="containsText" text="Did Not Meet">
      <formula>NOT(ISERROR(SEARCH("Did Not Meet",F62)))</formula>
    </cfRule>
  </conditionalFormatting>
  <conditionalFormatting sqref="F70">
    <cfRule type="containsText" dxfId="125" priority="6" operator="containsText" text="Met">
      <formula>NOT(ISERROR(SEARCH("Met",F70)))</formula>
    </cfRule>
    <cfRule type="containsText" dxfId="124" priority="5" operator="containsText" text="Did Not Meet">
      <formula>NOT(ISERROR(SEARCH("Did Not Meet",F70)))</formula>
    </cfRule>
  </conditionalFormatting>
  <conditionalFormatting sqref="F78">
    <cfRule type="containsText" dxfId="123" priority="3" operator="containsText" text="Did Not Meet">
      <formula>NOT(ISERROR(SEARCH("Did Not Meet",F78)))</formula>
    </cfRule>
    <cfRule type="containsText" dxfId="122" priority="4" operator="containsText" text="Met">
      <formula>NOT(ISERROR(SEARCH("Met",F78)))</formula>
    </cfRule>
  </conditionalFormatting>
  <conditionalFormatting sqref="F86">
    <cfRule type="containsText" dxfId="121" priority="2" operator="containsText" text="Met">
      <formula>NOT(ISERROR(SEARCH("Met",F86)))</formula>
    </cfRule>
    <cfRule type="containsText" dxfId="120" priority="1" operator="containsText" text="Did Not Meet">
      <formula>NOT(ISERROR(SEARCH("Did Not Meet",F86)))</formula>
    </cfRule>
  </conditionalFormatting>
  <hyperlinks>
    <hyperlink ref="A96" r:id="rId1" xr:uid="{00000000-0004-0000-27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theme="7"/>
  </sheetPr>
  <dimension ref="A1:I97"/>
  <sheetViews>
    <sheetView showGridLines="0" zoomScaleNormal="100" workbookViewId="0">
      <selection activeCell="F2" sqref="F2"/>
    </sheetView>
  </sheetViews>
  <sheetFormatPr defaultColWidth="0" defaultRowHeight="14.5" zeroHeight="1"/>
  <cols>
    <col min="1" max="1" width="40.7265625" customWidth="1"/>
    <col min="2" max="2" width="25.81640625" bestFit="1" customWidth="1"/>
    <col min="3" max="4" width="9.1796875" customWidth="1"/>
    <col min="5" max="5" width="40.7265625" customWidth="1"/>
    <col min="6" max="6" width="26.1796875" bestFit="1" customWidth="1"/>
    <col min="7" max="7" width="0.81640625" customWidth="1"/>
    <col min="8" max="8" width="27" hidden="1" customWidth="1"/>
    <col min="9" max="9" width="9.1796875" hidden="1" customWidth="1"/>
    <col min="10" max="16384" width="9.1796875" hidden="1"/>
  </cols>
  <sheetData>
    <row r="1" spans="1:9" ht="38.25" customHeight="1">
      <c r="A1" s="302" t="s">
        <v>177</v>
      </c>
      <c r="B1" s="304"/>
      <c r="C1" s="480" t="s">
        <v>174</v>
      </c>
      <c r="D1" s="480"/>
      <c r="E1" s="21" t="s">
        <v>14</v>
      </c>
      <c r="F1" s="20" t="str">
        <f>IF('2. Getting Started'!B2="","",'2. Getting Started'!B2)</f>
        <v/>
      </c>
    </row>
    <row r="2" spans="1:9" ht="18.75" customHeight="1">
      <c r="A2" s="18" t="s">
        <v>13</v>
      </c>
      <c r="B2" s="4"/>
      <c r="C2" s="480"/>
      <c r="D2" s="480"/>
      <c r="E2" s="18" t="s">
        <v>6</v>
      </c>
      <c r="F2" s="4"/>
      <c r="H2" s="2" t="s">
        <v>12</v>
      </c>
    </row>
    <row r="3" spans="1:9" ht="39" customHeight="1">
      <c r="A3" s="16" t="str">
        <f>CONCATENATE("Prior to Year 1: SFY ",'2. Getting Started'!B6)</f>
        <v>Prior to Year 1: SFY 2021</v>
      </c>
      <c r="B3" s="16"/>
      <c r="C3" s="480"/>
      <c r="D3" s="480"/>
      <c r="E3" s="16" t="str">
        <f>CONCATENATE("Prior to Year 1: SFY ",'2. Getting Started'!B6)</f>
        <v>Prior to Year 1: SFY 2021</v>
      </c>
      <c r="F3" s="16"/>
      <c r="H3" s="2"/>
    </row>
    <row r="4" spans="1:9" ht="43.5">
      <c r="A4" s="225" t="str">
        <f>CONCATENATE("Last year before SFY ",'2. Getting Started'!B6," that the compliance standard was met for total state and local funds")</f>
        <v>Last year before SFY 2021 that the compliance standard was met for total state and local funds</v>
      </c>
      <c r="B4" s="257">
        <f>IF('2. Getting Started'!B11="","",'2. Getting Started'!B11)</f>
        <v>2020</v>
      </c>
      <c r="C4" s="480"/>
      <c r="D4" s="480"/>
      <c r="E4" s="225" t="str">
        <f>CONCATENATE("Last year before SFY ",'2. Getting Started'!B6," that the compliance standard was met for total state and local funds")</f>
        <v>Last year before SFY 2021 that the compliance standard was met for total state and local funds</v>
      </c>
      <c r="F4" s="257">
        <f>IF('2. Getting Started'!B11="","",'2. Getting Started'!B11)</f>
        <v>2020</v>
      </c>
      <c r="H4" s="1" t="s">
        <v>21</v>
      </c>
      <c r="I4">
        <f>'2. Getting Started'!B6-'2. Getting Started'!B11</f>
        <v>1</v>
      </c>
    </row>
    <row r="5" spans="1:9" ht="15" customHeight="1">
      <c r="A5" s="224" t="s">
        <v>1</v>
      </c>
      <c r="B5" s="258">
        <f>IF('2. Getting Started'!C11="","",'2. Getting Started'!C11)</f>
        <v>0</v>
      </c>
      <c r="C5" s="480"/>
      <c r="D5" s="480"/>
      <c r="E5" s="224" t="s">
        <v>1</v>
      </c>
      <c r="F5" s="258">
        <f>IF('2. Getting Started'!C11="","",'2. Getting Started'!C11)</f>
        <v>0</v>
      </c>
    </row>
    <row r="6" spans="1:9">
      <c r="A6" s="229" t="s">
        <v>5</v>
      </c>
      <c r="B6" s="261">
        <f>IF(B5="","",IF(I4=1,0,IF(I4&gt;1,VLOOKUP(I4,'3a. Intervening Years'!I4:K22,3))))</f>
        <v>0</v>
      </c>
      <c r="C6" s="480"/>
      <c r="D6" s="480"/>
      <c r="E6" s="229" t="s">
        <v>5</v>
      </c>
      <c r="F6" s="261">
        <f>IF(F5="","",IF(I4=1,0,IF(I4&gt;1,VLOOKUP(I4,'3a. Intervening Years'!I4:K22,3))))</f>
        <v>0</v>
      </c>
    </row>
    <row r="7" spans="1:9" ht="15" customHeight="1">
      <c r="A7" s="479" t="s">
        <v>174</v>
      </c>
      <c r="B7" s="479"/>
      <c r="C7" s="480"/>
      <c r="D7" s="480"/>
      <c r="E7" s="479" t="s">
        <v>174</v>
      </c>
      <c r="F7" s="479"/>
    </row>
    <row r="8" spans="1:9" ht="15.75" customHeight="1">
      <c r="A8" s="5" t="str">
        <f>CONCATENATE("Year 1: SFY ",'2. Getting Started'!B$6)</f>
        <v>Year 1: SFY 2021</v>
      </c>
      <c r="B8" s="4"/>
      <c r="C8" s="480"/>
      <c r="D8" s="480"/>
      <c r="E8" s="5" t="str">
        <f>CONCATENATE("Year 1: SFY ",'2. Getting Started'!B$6)</f>
        <v>Year 1: SFY 2021</v>
      </c>
      <c r="F8" s="4"/>
    </row>
    <row r="9" spans="1:9" ht="15" customHeight="1">
      <c r="A9" s="481" t="s">
        <v>180</v>
      </c>
      <c r="B9" s="482"/>
      <c r="C9" s="480"/>
      <c r="D9" s="480"/>
      <c r="E9" s="224" t="str">
        <f>CONCATENATE("Starting MOE Threshold for SFY ",'2. Getting Started'!B$6)</f>
        <v>Starting MOE Threshold for SFY 2021</v>
      </c>
      <c r="F9" s="258">
        <f>IF(F5="","",(F5-F6))</f>
        <v>0</v>
      </c>
    </row>
    <row r="10" spans="1:9" ht="15" customHeight="1">
      <c r="A10" s="483"/>
      <c r="B10" s="484"/>
      <c r="C10" s="480"/>
      <c r="D10" s="480"/>
      <c r="E10" s="224" t="str">
        <f>CONCATENATE("SFY ",'2. Getting Started'!B$6," Exceptions")</f>
        <v>SFY 2021 Exceptions</v>
      </c>
      <c r="F10" s="258">
        <f>'6. Year 1 Exc &amp; Adj'!I68</f>
        <v>0</v>
      </c>
    </row>
    <row r="11" spans="1:9" ht="15" customHeight="1">
      <c r="A11" s="483"/>
      <c r="B11" s="484"/>
      <c r="C11" s="480"/>
      <c r="D11" s="480"/>
      <c r="E11" s="224" t="str">
        <f>CONCATENATE("SFY ",'2. Getting Started'!B$6," Adjustment")</f>
        <v>SFY 2021 Adjustment</v>
      </c>
      <c r="F11" s="258">
        <f>AdjDataYear1Expenditures[[Adjustment ]]</f>
        <v>0</v>
      </c>
    </row>
    <row r="12" spans="1:9" ht="15" customHeight="1">
      <c r="A12" s="483"/>
      <c r="B12" s="484"/>
      <c r="C12" s="480"/>
      <c r="D12" s="480"/>
      <c r="E12" s="224" t="str">
        <f>CONCATENATE("Adjusted MOE Threshold for SFY ",'2. Getting Started'!B$6)</f>
        <v>Adjusted MOE Threshold for SFY 2021</v>
      </c>
      <c r="F12" s="258">
        <f>IF(F9="","",(F9-F10-F11))</f>
        <v>0</v>
      </c>
    </row>
    <row r="13" spans="1:9" ht="15" customHeight="1">
      <c r="A13" s="483"/>
      <c r="B13" s="484"/>
      <c r="C13" s="480"/>
      <c r="D13" s="480"/>
      <c r="E13" s="224" t="str">
        <f>CONCATENATE("Final Expenditures for SFY ",'2. Getting Started'!B$6)</f>
        <v>Final Expenditures for SFY 2021</v>
      </c>
      <c r="F13" s="258">
        <f>IF('5. Year 1 Amounts'!M30="","",'5. Year 1 Amounts'!M30)</f>
        <v>0</v>
      </c>
    </row>
    <row r="14" spans="1:9" ht="15" customHeight="1">
      <c r="A14" s="485"/>
      <c r="B14" s="486"/>
      <c r="C14" s="480"/>
      <c r="D14" s="480"/>
      <c r="E14" s="275" t="str">
        <f>CONCATENATE("MOE Result for SFY ",'2. Getting Started'!B$6)</f>
        <v>MOE Result for SFY 2021</v>
      </c>
      <c r="F14" s="285" t="str">
        <f>IF(F13="","",IF(F13&gt;=F12,"Met","Did Not Meet"))</f>
        <v>Met</v>
      </c>
    </row>
    <row r="15" spans="1:9" ht="15" customHeight="1">
      <c r="A15" s="479" t="s">
        <v>174</v>
      </c>
      <c r="B15" s="479"/>
      <c r="C15" s="480"/>
      <c r="D15" s="480"/>
      <c r="E15" s="479" t="s">
        <v>174</v>
      </c>
      <c r="F15" s="479"/>
    </row>
    <row r="16" spans="1:9" ht="15.75" customHeight="1">
      <c r="A16" s="5" t="str">
        <f>CONCATENATE("Year 2: SFY ",'2. Getting Started'!B$6+1)</f>
        <v>Year 2: SFY 2022</v>
      </c>
      <c r="B16" s="4"/>
      <c r="C16" s="480"/>
      <c r="D16" s="480"/>
      <c r="E16" s="5" t="str">
        <f>CONCATENATE("Year 2: SFY ",'2. Getting Started'!B$6+1)</f>
        <v>Year 2: SFY 2022</v>
      </c>
      <c r="F16" s="4"/>
    </row>
    <row r="17" spans="1:6" ht="15" customHeight="1">
      <c r="A17" s="224" t="str">
        <f>CONCATENATE("Starting MOE Threshold for SFY ",'2. Getting Started'!B$6+1)</f>
        <v>Starting MOE Threshold for SFY 2022</v>
      </c>
      <c r="B17" s="258">
        <f>IF(B5="","",(B5-B6))</f>
        <v>0</v>
      </c>
      <c r="C17" s="480"/>
      <c r="D17" s="480"/>
      <c r="E17" s="224" t="str">
        <f>CONCATENATE("Starting MOE Threshold for SFY ",'2. Getting Started'!B$6+1)</f>
        <v>Starting MOE Threshold for SFY 2022</v>
      </c>
      <c r="F17" s="258">
        <f>IF(F14="Met",F13,F12)</f>
        <v>0</v>
      </c>
    </row>
    <row r="18" spans="1:6" ht="15" customHeight="1">
      <c r="A18" s="224" t="str">
        <f>CONCATENATE("SFY ",'2. Getting Started'!B$6," + ",'2. Getting Started'!B$6+1," Projected Exceptions")</f>
        <v>SFY 2021 + 2022 Projected Exceptions</v>
      </c>
      <c r="B18" s="258" t="e">
        <f>'6. Year 1 Exc &amp; Adj'!B68+'9. Year 2 Exc &amp; Adj'!B68</f>
        <v>#N/A</v>
      </c>
      <c r="C18" s="480"/>
      <c r="D18" s="480"/>
      <c r="E18" s="224" t="str">
        <f>CONCATENATE("SFY ",'2. Getting Started'!B$6+1," Exceptions")</f>
        <v>SFY 2022 Exceptions</v>
      </c>
      <c r="F18" s="258" t="e">
        <f>'9. Year 2 Exc &amp; Adj'!I68</f>
        <v>#N/A</v>
      </c>
    </row>
    <row r="19" spans="1:6" ht="15" customHeight="1">
      <c r="A19" s="224" t="str">
        <f>CONCATENATE("SFY ",'2. Getting Started'!B$6," + ",'2. Getting Started'!B$6+1," Projected Adjustments")</f>
        <v>SFY 2021 + 2022 Projected Adjustments</v>
      </c>
      <c r="B19" s="258">
        <f>AdjDataYear1Budget[Projected Adjustment]+AdjDataYear2Budget[Projected Adjustment]</f>
        <v>0</v>
      </c>
      <c r="C19" s="480"/>
      <c r="D19" s="480"/>
      <c r="E19" s="224" t="str">
        <f>CONCATENATE("SFY ",'2. Getting Started'!B$6+1," Adjustment")</f>
        <v>SFY 2022 Adjustment</v>
      </c>
      <c r="F19" s="258">
        <f>AdjDataYear2Expenditures[[Adjustment ]]</f>
        <v>0</v>
      </c>
    </row>
    <row r="20" spans="1:6" ht="15" customHeight="1">
      <c r="A20" s="224" t="str">
        <f>CONCATENATE("Adjusted MOE Threshold for SFY ",'2. Getting Started'!B$6+1)</f>
        <v>Adjusted MOE Threshold for SFY 2022</v>
      </c>
      <c r="B20" s="258" t="e">
        <f>IF(B17="","",(B17-B18-B19))</f>
        <v>#N/A</v>
      </c>
      <c r="C20" s="480"/>
      <c r="D20" s="480"/>
      <c r="E20" s="224" t="str">
        <f>CONCATENATE("Adjusted MOE Threshold for SFY ",'2. Getting Started'!B$6+1)</f>
        <v>Adjusted MOE Threshold for SFY 2022</v>
      </c>
      <c r="F20" s="258" t="e">
        <f>IF(F17="","",(F17-F18-F19))</f>
        <v>#N/A</v>
      </c>
    </row>
    <row r="21" spans="1:6" ht="15" customHeight="1">
      <c r="A21" s="224" t="str">
        <f>CONCATENATE("Budgeted Amount for SFY ",'2. Getting Started'!B$6+1)</f>
        <v>Budgeted Amount for SFY 2022</v>
      </c>
      <c r="B21" s="258">
        <f>'8. Year 2 Amounts'!F30</f>
        <v>0</v>
      </c>
      <c r="C21" s="480"/>
      <c r="D21" s="480"/>
      <c r="E21" s="224" t="str">
        <f>CONCATENATE("Final Expenditures for SFY ",'2. Getting Started'!B$6+1)</f>
        <v>Final Expenditures for SFY 2022</v>
      </c>
      <c r="F21" s="258">
        <f>'8. Year 2 Amounts'!M30</f>
        <v>0</v>
      </c>
    </row>
    <row r="22" spans="1:6" ht="15" customHeight="1">
      <c r="A22" s="275" t="str">
        <f>CONCATENATE("MOE Result for SFY ",'2. Getting Started'!B$6+1)</f>
        <v>MOE Result for SFY 2022</v>
      </c>
      <c r="B22" s="285" t="e">
        <f>IF(B21="","",IF(B21&gt;=B20,"Met","Did Not Meet"))</f>
        <v>#N/A</v>
      </c>
      <c r="C22" s="480"/>
      <c r="D22" s="480"/>
      <c r="E22" s="275" t="str">
        <f>CONCATENATE("MOE Result for SFY ",'2. Getting Started'!B$6+1)</f>
        <v>MOE Result for SFY 2022</v>
      </c>
      <c r="F22" s="285" t="e">
        <f>IF(F21="","",IF(F21&gt;=F20,"Met","Did Not Meet"))</f>
        <v>#N/A</v>
      </c>
    </row>
    <row r="23" spans="1:6" ht="15" customHeight="1">
      <c r="A23" s="479" t="s">
        <v>174</v>
      </c>
      <c r="B23" s="479"/>
      <c r="C23" s="480"/>
      <c r="D23" s="480"/>
      <c r="E23" s="479" t="s">
        <v>174</v>
      </c>
      <c r="F23" s="479"/>
    </row>
    <row r="24" spans="1:6" ht="15.75" customHeight="1">
      <c r="A24" s="5" t="str">
        <f>CONCATENATE("Year 3: SFY ",'2. Getting Started'!B$6+2)</f>
        <v>Year 3: SFY 2023</v>
      </c>
      <c r="B24" s="4"/>
      <c r="C24" s="480"/>
      <c r="D24" s="480"/>
      <c r="E24" s="5" t="str">
        <f>CONCATENATE("Year 3: SFY ",'2. Getting Started'!B$6+2)</f>
        <v>Year 3: SFY 2023</v>
      </c>
      <c r="F24" s="4"/>
    </row>
    <row r="25" spans="1:6" ht="15" customHeight="1">
      <c r="A25" s="224" t="str">
        <f>CONCATENATE("Starting MOE Threshold for SFY ",'2. Getting Started'!B$6+2)</f>
        <v>Starting MOE Threshold for SFY 2023</v>
      </c>
      <c r="B25" s="258">
        <f>IF(F14="Met",F13,F12)</f>
        <v>0</v>
      </c>
      <c r="C25" s="480"/>
      <c r="D25" s="480"/>
      <c r="E25" s="224" t="str">
        <f>CONCATENATE("Starting MOE Threshold for SFY ",'2. Getting Started'!B$6+2)</f>
        <v>Starting MOE Threshold for SFY 2023</v>
      </c>
      <c r="F25" s="258" t="e">
        <f>IF(F22="Met",F21,F20)</f>
        <v>#N/A</v>
      </c>
    </row>
    <row r="26" spans="1:6" ht="15" customHeight="1">
      <c r="A26" s="224" t="str">
        <f>CONCATENATE("SFY ",'2. Getting Started'!B$6+1," + ",'2. Getting Started'!B$6+2," Projected Exceptions")</f>
        <v>SFY 2022 + 2023 Projected Exceptions</v>
      </c>
      <c r="B26" s="258" t="e">
        <f>'9. Year 2 Exc &amp; Adj'!B68+'12. Year 3 Exc &amp; Adj'!B68</f>
        <v>#N/A</v>
      </c>
      <c r="C26" s="480"/>
      <c r="D26" s="480"/>
      <c r="E26" s="224" t="str">
        <f>CONCATENATE("SFY ",'2. Getting Started'!B$6+2," Exceptions")</f>
        <v>SFY 2023 Exceptions</v>
      </c>
      <c r="F26" s="258" t="e">
        <f>'12. Year 3 Exc &amp; Adj'!I68</f>
        <v>#N/A</v>
      </c>
    </row>
    <row r="27" spans="1:6" ht="15" customHeight="1">
      <c r="A27" s="224" t="str">
        <f>CONCATENATE("SFY ",'2. Getting Started'!B$6+1," + ",'2. Getting Started'!B$6+2," Projected Adjustments")</f>
        <v>SFY 2022 + 2023 Projected Adjustments</v>
      </c>
      <c r="B27" s="258">
        <f>AdjDataYear2Budget[Projected Adjustment]+AdjDataYear3Budget[Projected Adjustment]</f>
        <v>0</v>
      </c>
      <c r="C27" s="480"/>
      <c r="D27" s="480"/>
      <c r="E27" s="224" t="str">
        <f>CONCATENATE("SFY ",'2. Getting Started'!B$6+2," Adjustment")</f>
        <v>SFY 2023 Adjustment</v>
      </c>
      <c r="F27" s="258">
        <f>AdjDataYear3Expenditures[[Adjustment ]]</f>
        <v>0</v>
      </c>
    </row>
    <row r="28" spans="1:6" ht="15" customHeight="1">
      <c r="A28" s="224" t="str">
        <f>CONCATENATE("Adjusted MOE Threshold for SFY ",'2. Getting Started'!B$6+2)</f>
        <v>Adjusted MOE Threshold for SFY 2023</v>
      </c>
      <c r="B28" s="258" t="e">
        <f>IF(B25="","",(B25-B26-B27))</f>
        <v>#N/A</v>
      </c>
      <c r="C28" s="480"/>
      <c r="D28" s="480"/>
      <c r="E28" s="224" t="str">
        <f>CONCATENATE("Adjusted MOE Threshold for SFY ",'2. Getting Started'!B$6+2)</f>
        <v>Adjusted MOE Threshold for SFY 2023</v>
      </c>
      <c r="F28" s="258" t="e">
        <f>IF(F25="","",(F25-F26-F27))</f>
        <v>#N/A</v>
      </c>
    </row>
    <row r="29" spans="1:6" ht="15" customHeight="1">
      <c r="A29" s="224" t="str">
        <f>CONCATENATE("Budgeted Amount for SFY ",'2. Getting Started'!B$6+2)</f>
        <v>Budgeted Amount for SFY 2023</v>
      </c>
      <c r="B29" s="258" t="str">
        <f>'11. Year 3 Amounts'!F30</f>
        <v/>
      </c>
      <c r="C29" s="480"/>
      <c r="D29" s="480"/>
      <c r="E29" s="224" t="str">
        <f>CONCATENATE("Final Expenditures for SFY ",'2. Getting Started'!B$6+2)</f>
        <v>Final Expenditures for SFY 2023</v>
      </c>
      <c r="F29" s="258" t="str">
        <f>'11. Year 3 Amounts'!M30</f>
        <v/>
      </c>
    </row>
    <row r="30" spans="1:6" ht="15" customHeight="1">
      <c r="A30" s="275" t="str">
        <f>CONCATENATE("MOE Result for SFY ",'2. Getting Started'!B$6+2)</f>
        <v>MOE Result for SFY 2023</v>
      </c>
      <c r="B30" s="285" t="str">
        <f>IF(B29="","",IF(B29&gt;=B28,"Met","Did Not Meet"))</f>
        <v/>
      </c>
      <c r="C30" s="480"/>
      <c r="D30" s="480"/>
      <c r="E30" s="275" t="str">
        <f>CONCATENATE("MOE Result for SFY ",'2. Getting Started'!B$6+2)</f>
        <v>MOE Result for SFY 2023</v>
      </c>
      <c r="F30" s="285" t="str">
        <f>IF(F29="","",IF(F29&gt;=F28,"Met","Did Not Meet"))</f>
        <v/>
      </c>
    </row>
    <row r="31" spans="1:6" ht="15" customHeight="1">
      <c r="A31" s="479" t="s">
        <v>174</v>
      </c>
      <c r="B31" s="479"/>
      <c r="C31" s="480"/>
      <c r="D31" s="480"/>
      <c r="E31" s="479" t="s">
        <v>174</v>
      </c>
      <c r="F31" s="479"/>
    </row>
    <row r="32" spans="1:6" ht="15.75" customHeight="1">
      <c r="A32" s="5" t="str">
        <f>CONCATENATE("Year 4: SFY ",'2. Getting Started'!B$6+3)</f>
        <v>Year 4: SFY 2024</v>
      </c>
      <c r="B32" s="4"/>
      <c r="C32" s="480"/>
      <c r="D32" s="480"/>
      <c r="E32" s="5" t="str">
        <f>CONCATENATE("Year 4: SFY ",'2. Getting Started'!B$6+3)</f>
        <v>Year 4: SFY 2024</v>
      </c>
      <c r="F32" s="4"/>
    </row>
    <row r="33" spans="1:6" ht="15" customHeight="1">
      <c r="A33" s="224" t="str">
        <f>CONCATENATE("Starting MOE Threshold for SFY ",'2. Getting Started'!B$6+3)</f>
        <v>Starting MOE Threshold for SFY 2024</v>
      </c>
      <c r="B33" s="258" t="e">
        <f>IF(F22="Met",F21,F20)</f>
        <v>#N/A</v>
      </c>
      <c r="C33" s="480"/>
      <c r="D33" s="480"/>
      <c r="E33" s="224" t="str">
        <f>CONCATENATE("Starting MOE Threshold for SFY ",'2. Getting Started'!B$6+3)</f>
        <v>Starting MOE Threshold for SFY 2024</v>
      </c>
      <c r="F33" s="258" t="e">
        <f>IF(F30="Met",F29,F28)</f>
        <v>#N/A</v>
      </c>
    </row>
    <row r="34" spans="1:6" ht="15" customHeight="1">
      <c r="A34" s="224" t="str">
        <f>CONCATENATE("SFY ",'2. Getting Started'!B$6+2," + ",'2. Getting Started'!B$6+3," Projected Exceptions")</f>
        <v>SFY 2023 + 2024 Projected Exceptions</v>
      </c>
      <c r="B34" s="258" t="e">
        <f>'12. Year 3 Exc &amp; Adj'!B68+'15. Year 4 Exc &amp; Adj'!B68</f>
        <v>#N/A</v>
      </c>
      <c r="C34" s="480"/>
      <c r="D34" s="480"/>
      <c r="E34" s="224" t="str">
        <f>CONCATENATE("SFY ",'2. Getting Started'!B$6+3," Exceptions")</f>
        <v>SFY 2024 Exceptions</v>
      </c>
      <c r="F34" s="258">
        <f>'15. Year 4 Exc &amp; Adj'!I68</f>
        <v>0</v>
      </c>
    </row>
    <row r="35" spans="1:6" ht="15" customHeight="1">
      <c r="A35" s="224" t="str">
        <f>CONCATENATE("SFY ",'2. Getting Started'!B$6+2," + ",'2. Getting Started'!B$6+3," Projected Adjustments")</f>
        <v>SFY 2023 + 2024 Projected Adjustments</v>
      </c>
      <c r="B35" s="258">
        <f>AdjDataYear3Budget[Projected Adjustment]+AdjDataYear4Budget[Projected Adjustment]</f>
        <v>0</v>
      </c>
      <c r="C35" s="480"/>
      <c r="D35" s="480"/>
      <c r="E35" s="224" t="str">
        <f>CONCATENATE("SFY ",'2. Getting Started'!B$6+3," Adjustment")</f>
        <v>SFY 2024 Adjustment</v>
      </c>
      <c r="F35" s="258">
        <f>AdjDataYear4Expenditures[[Adjustment ]]</f>
        <v>0</v>
      </c>
    </row>
    <row r="36" spans="1:6" ht="15" customHeight="1">
      <c r="A36" s="224" t="str">
        <f>CONCATENATE("Adjusted MOE Threshold for SFY ",'2. Getting Started'!B$6+3)</f>
        <v>Adjusted MOE Threshold for SFY 2024</v>
      </c>
      <c r="B36" s="258" t="e">
        <f>IF(B33="","",(B33-B34-B35))</f>
        <v>#N/A</v>
      </c>
      <c r="C36" s="480"/>
      <c r="D36" s="480"/>
      <c r="E36" s="224" t="str">
        <f>CONCATENATE("Adjusted MOE Threshold for SFY ",'2. Getting Started'!B$6+3)</f>
        <v>Adjusted MOE Threshold for SFY 2024</v>
      </c>
      <c r="F36" s="258" t="e">
        <f>IF(F33="","",(F33-F34-F35))</f>
        <v>#N/A</v>
      </c>
    </row>
    <row r="37" spans="1:6" ht="15" customHeight="1">
      <c r="A37" s="224" t="str">
        <f>CONCATENATE("Budgeted Amount for SFY ",'2. Getting Started'!B$6+3)</f>
        <v>Budgeted Amount for SFY 2024</v>
      </c>
      <c r="B37" s="258" t="str">
        <f>'14. Year 4 Amounts'!F30</f>
        <v/>
      </c>
      <c r="C37" s="480"/>
      <c r="D37" s="480"/>
      <c r="E37" s="224" t="str">
        <f>CONCATENATE("Final Expenditures for SFY ",'2. Getting Started'!B$6+3)</f>
        <v>Final Expenditures for SFY 2024</v>
      </c>
      <c r="F37" s="258" t="str">
        <f>'14. Year 4 Amounts'!M30</f>
        <v/>
      </c>
    </row>
    <row r="38" spans="1:6" ht="15" customHeight="1">
      <c r="A38" s="275" t="str">
        <f>CONCATENATE("MOE Result for SFY ",'2. Getting Started'!B$6+3)</f>
        <v>MOE Result for SFY 2024</v>
      </c>
      <c r="B38" s="285" t="str">
        <f>IF(B37="","",IF(B37&gt;=B36,"Met","Did Not Meet"))</f>
        <v/>
      </c>
      <c r="C38" s="480"/>
      <c r="D38" s="480"/>
      <c r="E38" s="275" t="str">
        <f>CONCATENATE("MOE Result for SFY ",'2. Getting Started'!B$6+3)</f>
        <v>MOE Result for SFY 2024</v>
      </c>
      <c r="F38" s="285" t="str">
        <f>IF(F37="","",IF(F37&gt;=F36,"Met","Did Not Meet"))</f>
        <v/>
      </c>
    </row>
    <row r="39" spans="1:6" ht="15" customHeight="1">
      <c r="A39" s="479" t="s">
        <v>174</v>
      </c>
      <c r="B39" s="479"/>
      <c r="C39" s="480"/>
      <c r="D39" s="480"/>
      <c r="E39" s="479" t="s">
        <v>174</v>
      </c>
      <c r="F39" s="479"/>
    </row>
    <row r="40" spans="1:6" ht="15.75" customHeight="1">
      <c r="A40" s="5" t="str">
        <f>CONCATENATE("Year 5: SFY ",'2. Getting Started'!B$6+4)</f>
        <v>Year 5: SFY 2025</v>
      </c>
      <c r="B40" s="4"/>
      <c r="C40" s="480"/>
      <c r="D40" s="480"/>
      <c r="E40" s="5" t="str">
        <f>CONCATENATE("Year 5: SFY ",'2. Getting Started'!B$6+4)</f>
        <v>Year 5: SFY 2025</v>
      </c>
      <c r="F40" s="4"/>
    </row>
    <row r="41" spans="1:6" ht="15" customHeight="1">
      <c r="A41" s="224" t="str">
        <f>CONCATENATE("Starting MOE Threshold for SFY ",'2. Getting Started'!B$6+4)</f>
        <v>Starting MOE Threshold for SFY 2025</v>
      </c>
      <c r="B41" s="258" t="e">
        <f>IF(F30="Met",F29,F28)</f>
        <v>#N/A</v>
      </c>
      <c r="C41" s="480"/>
      <c r="D41" s="480"/>
      <c r="E41" s="224" t="str">
        <f>CONCATENATE("Starting MOE Threshold for SFY ",'2. Getting Started'!B$6+4)</f>
        <v>Starting MOE Threshold for SFY 2025</v>
      </c>
      <c r="F41" s="258" t="e">
        <f>IF(F38="Met",F37,F36)</f>
        <v>#N/A</v>
      </c>
    </row>
    <row r="42" spans="1:6" ht="15" customHeight="1">
      <c r="A42" s="224" t="str">
        <f>CONCATENATE("SFY ",'2. Getting Started'!B$6+3," + ",'2. Getting Started'!B$6+4," Projected Exceptions")</f>
        <v>SFY 2024 + 2025 Projected Exceptions</v>
      </c>
      <c r="B42" s="258">
        <f>'15. Year 4 Exc &amp; Adj'!B68+'18. Year 5 Exc &amp; Adj'!B68</f>
        <v>0</v>
      </c>
      <c r="C42" s="480"/>
      <c r="D42" s="480"/>
      <c r="E42" s="224" t="str">
        <f>CONCATENATE("SFY ",'2. Getting Started'!B$6+4," Exceptions")</f>
        <v>SFY 2025 Exceptions</v>
      </c>
      <c r="F42" s="258">
        <f>'18. Year 5 Exc &amp; Adj'!I68</f>
        <v>0</v>
      </c>
    </row>
    <row r="43" spans="1:6" ht="15" customHeight="1">
      <c r="A43" s="224" t="str">
        <f>CONCATENATE("SFY ",'2. Getting Started'!B$6+3," + ",'2. Getting Started'!B$6+4," Projected Adjustments")</f>
        <v>SFY 2024 + 2025 Projected Adjustments</v>
      </c>
      <c r="B43" s="258">
        <f>AdjDataYear4Budget[Projected Adjustment]+AdjDataYear5Budget[Projected Adjustment]</f>
        <v>0</v>
      </c>
      <c r="C43" s="480"/>
      <c r="D43" s="480"/>
      <c r="E43" s="224" t="str">
        <f>CONCATENATE("SFY ",'2. Getting Started'!B$6+4," Adjustment")</f>
        <v>SFY 2025 Adjustment</v>
      </c>
      <c r="F43" s="258">
        <f>AdjDataYear5Expenditures[[Adjustment ]]</f>
        <v>0</v>
      </c>
    </row>
    <row r="44" spans="1:6" ht="15" customHeight="1">
      <c r="A44" s="224" t="str">
        <f>CONCATENATE("Adjusted MOE Threshold for SFY ",'2. Getting Started'!B$6+4)</f>
        <v>Adjusted MOE Threshold for SFY 2025</v>
      </c>
      <c r="B44" s="258" t="e">
        <f>IF(B41="","",(B41-B42-B43))</f>
        <v>#N/A</v>
      </c>
      <c r="C44" s="480"/>
      <c r="D44" s="480"/>
      <c r="E44" s="224" t="str">
        <f>CONCATENATE("Adjusted MOE Threshold for SFY ",'2. Getting Started'!B$6+4)</f>
        <v>Adjusted MOE Threshold for SFY 2025</v>
      </c>
      <c r="F44" s="258" t="e">
        <f>IF(F41="","",(F41-F42-F43))</f>
        <v>#N/A</v>
      </c>
    </row>
    <row r="45" spans="1:6" ht="15" customHeight="1">
      <c r="A45" s="224" t="str">
        <f>CONCATENATE("Budgeted Amount for SFY ",'2. Getting Started'!B$6+4)</f>
        <v>Budgeted Amount for SFY 2025</v>
      </c>
      <c r="B45" s="258" t="str">
        <f>'17. Year 5 Amounts'!F30</f>
        <v/>
      </c>
      <c r="C45" s="480"/>
      <c r="D45" s="480"/>
      <c r="E45" s="224" t="str">
        <f>CONCATENATE("Final Expenditures for SFY ",'2. Getting Started'!B$6+4)</f>
        <v>Final Expenditures for SFY 2025</v>
      </c>
      <c r="F45" s="258" t="str">
        <f>'17. Year 5 Amounts'!M30</f>
        <v/>
      </c>
    </row>
    <row r="46" spans="1:6" ht="15" customHeight="1">
      <c r="A46" s="275" t="str">
        <f>CONCATENATE("MOE Result for SFY ",'2. Getting Started'!B$6+4)</f>
        <v>MOE Result for SFY 2025</v>
      </c>
      <c r="B46" s="285" t="str">
        <f>IF(B45="","",IF(B45&gt;=B44,"Met","Did Not Meet"))</f>
        <v/>
      </c>
      <c r="C46" s="480"/>
      <c r="D46" s="480"/>
      <c r="E46" s="275" t="str">
        <f>CONCATENATE("MOE Result for SFY ",'2. Getting Started'!B$6+4)</f>
        <v>MOE Result for SFY 2025</v>
      </c>
      <c r="F46" s="285" t="str">
        <f>IF(F45="","",IF(F45&gt;=F44,"Met","Did Not Meet"))</f>
        <v/>
      </c>
    </row>
    <row r="47" spans="1:6" ht="15" customHeight="1">
      <c r="A47" s="479" t="s">
        <v>174</v>
      </c>
      <c r="B47" s="479"/>
      <c r="C47" s="480"/>
      <c r="D47" s="480"/>
      <c r="E47" s="479" t="s">
        <v>174</v>
      </c>
      <c r="F47" s="479"/>
    </row>
    <row r="48" spans="1:6" ht="15.75" customHeight="1">
      <c r="A48" s="5" t="str">
        <f>CONCATENATE("Year 6: SFY ",'2. Getting Started'!B$6+5)</f>
        <v>Year 6: SFY 2026</v>
      </c>
      <c r="B48" s="4"/>
      <c r="C48" s="480"/>
      <c r="D48" s="480"/>
      <c r="E48" s="5" t="str">
        <f>CONCATENATE("Year 6: SFY ",'2. Getting Started'!B$6+5)</f>
        <v>Year 6: SFY 2026</v>
      </c>
      <c r="F48" s="4"/>
    </row>
    <row r="49" spans="1:6" ht="15" customHeight="1">
      <c r="A49" s="224" t="str">
        <f>CONCATENATE("Starting MOE Threshold for SFY ",'2. Getting Started'!B$6+5)</f>
        <v>Starting MOE Threshold for SFY 2026</v>
      </c>
      <c r="B49" s="258" t="e">
        <f>IF(F38="Met",F37,F36)</f>
        <v>#N/A</v>
      </c>
      <c r="C49" s="480"/>
      <c r="D49" s="480"/>
      <c r="E49" s="224" t="str">
        <f>CONCATENATE("Starting MOE Threshold for SFY ",'2. Getting Started'!B$6+5)</f>
        <v>Starting MOE Threshold for SFY 2026</v>
      </c>
      <c r="F49" s="258" t="e">
        <f>IF(F46="Met",F45,F44)</f>
        <v>#N/A</v>
      </c>
    </row>
    <row r="50" spans="1:6" ht="15" customHeight="1">
      <c r="A50" s="224" t="str">
        <f>CONCATENATE("SFY ",'2. Getting Started'!B$6+4," + ",'2. Getting Started'!B$6+5," Projected Exceptions")</f>
        <v>SFY 2025 + 2026 Projected Exceptions</v>
      </c>
      <c r="B50" s="258">
        <f>'18. Year 5 Exc &amp; Adj'!B68+'21. Year 6 Exc &amp; Adj'!B68</f>
        <v>0</v>
      </c>
      <c r="C50" s="480"/>
      <c r="D50" s="480"/>
      <c r="E50" s="224" t="str">
        <f>CONCATENATE("SFY ",'2. Getting Started'!B$6+5," Exceptions")</f>
        <v>SFY 2026 Exceptions</v>
      </c>
      <c r="F50" s="258">
        <f>'21. Year 6 Exc &amp; Adj'!I68</f>
        <v>0</v>
      </c>
    </row>
    <row r="51" spans="1:6" ht="15" customHeight="1">
      <c r="A51" s="224" t="str">
        <f>CONCATENATE("SFY ",'2. Getting Started'!B$6+4," + ",'2. Getting Started'!B$6+5," Projected Adjustments")</f>
        <v>SFY 2025 + 2026 Projected Adjustments</v>
      </c>
      <c r="B51" s="258">
        <f>AdjDataYear5Budget[Projected Adjustment]+AdjDataYear6Budget[Projected Adjustment]</f>
        <v>0</v>
      </c>
      <c r="C51" s="480"/>
      <c r="D51" s="480"/>
      <c r="E51" s="224" t="str">
        <f>CONCATENATE("SFY ",'2. Getting Started'!B$6+5," Adjustment")</f>
        <v>SFY 2026 Adjustment</v>
      </c>
      <c r="F51" s="258">
        <f>AdjDataYear6Expenditures[[Adjustment ]]</f>
        <v>0</v>
      </c>
    </row>
    <row r="52" spans="1:6" ht="15" customHeight="1">
      <c r="A52" s="224" t="str">
        <f>CONCATENATE("Adjusted MOE Threshold for SFY ",'2. Getting Started'!B$6+5)</f>
        <v>Adjusted MOE Threshold for SFY 2026</v>
      </c>
      <c r="B52" s="258" t="e">
        <f>IF(B49="","",(B49-B50-B51))</f>
        <v>#N/A</v>
      </c>
      <c r="C52" s="480"/>
      <c r="D52" s="480"/>
      <c r="E52" s="224" t="str">
        <f>CONCATENATE("Adjusted MOE Threshold for SFY ",'2. Getting Started'!B$6+5)</f>
        <v>Adjusted MOE Threshold for SFY 2026</v>
      </c>
      <c r="F52" s="258" t="e">
        <f>IF(F49="","",(F49-F50-F51))</f>
        <v>#N/A</v>
      </c>
    </row>
    <row r="53" spans="1:6" ht="15" customHeight="1">
      <c r="A53" s="224" t="str">
        <f>CONCATENATE("Budgeted Amount for SFY ",'2. Getting Started'!B$6+5)</f>
        <v>Budgeted Amount for SFY 2026</v>
      </c>
      <c r="B53" s="258" t="str">
        <f>'20. Year 6 Amounts'!F30</f>
        <v/>
      </c>
      <c r="C53" s="480"/>
      <c r="D53" s="480"/>
      <c r="E53" s="224" t="str">
        <f>CONCATENATE("Final Expenditures for SFY ",'2. Getting Started'!B$6+5)</f>
        <v>Final Expenditures for SFY 2026</v>
      </c>
      <c r="F53" s="258" t="str">
        <f>'20. Year 6 Amounts'!M30</f>
        <v/>
      </c>
    </row>
    <row r="54" spans="1:6" ht="15" customHeight="1">
      <c r="A54" s="275" t="str">
        <f>CONCATENATE("MOE Result for SFY ",'2. Getting Started'!B$6+5)</f>
        <v>MOE Result for SFY 2026</v>
      </c>
      <c r="B54" s="285" t="str">
        <f>IF(B53="","",IF(B53&gt;=B52,"Met","Did Not Meet"))</f>
        <v/>
      </c>
      <c r="C54" s="480"/>
      <c r="D54" s="480"/>
      <c r="E54" s="275" t="str">
        <f>CONCATENATE("MOE Result for SFY ",'2. Getting Started'!B$6+5)</f>
        <v>MOE Result for SFY 2026</v>
      </c>
      <c r="F54" s="285" t="str">
        <f>IF(F53="","",IF(F53&gt;=F52,"Met","Did Not Meet"))</f>
        <v/>
      </c>
    </row>
    <row r="55" spans="1:6" ht="15" customHeight="1">
      <c r="A55" s="479" t="s">
        <v>174</v>
      </c>
      <c r="B55" s="479"/>
      <c r="C55" s="480"/>
      <c r="D55" s="480"/>
      <c r="E55" s="479" t="s">
        <v>174</v>
      </c>
      <c r="F55" s="479"/>
    </row>
    <row r="56" spans="1:6" ht="15.75" customHeight="1">
      <c r="A56" s="5" t="str">
        <f>CONCATENATE("Year 7: SFY ",'2. Getting Started'!B$6+6)</f>
        <v>Year 7: SFY 2027</v>
      </c>
      <c r="B56" s="4"/>
      <c r="C56" s="480"/>
      <c r="D56" s="480"/>
      <c r="E56" s="5" t="str">
        <f>CONCATENATE("Year 7: SFY ",'2. Getting Started'!B$6+6)</f>
        <v>Year 7: SFY 2027</v>
      </c>
      <c r="F56" s="4"/>
    </row>
    <row r="57" spans="1:6" ht="15" customHeight="1">
      <c r="A57" s="224" t="str">
        <f>CONCATENATE("Starting MOE Threshold for SFY ",'2. Getting Started'!B$6+6)</f>
        <v>Starting MOE Threshold for SFY 2027</v>
      </c>
      <c r="B57" s="258" t="e">
        <f>IF(F46="Met",F45,F44)</f>
        <v>#N/A</v>
      </c>
      <c r="C57" s="480"/>
      <c r="D57" s="480"/>
      <c r="E57" s="224" t="str">
        <f>CONCATENATE("Starting MOE Threshold for SFY ",'2. Getting Started'!B$6+6)</f>
        <v>Starting MOE Threshold for SFY 2027</v>
      </c>
      <c r="F57" s="258" t="e">
        <f>IF(F54="Met",F53,F52)</f>
        <v>#N/A</v>
      </c>
    </row>
    <row r="58" spans="1:6" ht="15" customHeight="1">
      <c r="A58" s="224" t="str">
        <f>CONCATENATE("SFY ",'2. Getting Started'!B$6+5," + ",'2. Getting Started'!B$6+6," Projected Exceptions")</f>
        <v>SFY 2026 + 2027 Projected Exceptions</v>
      </c>
      <c r="B58" s="258">
        <f>'21. Year 6 Exc &amp; Adj'!B68+'24. Year 7 Exc &amp; Adj'!B68</f>
        <v>0</v>
      </c>
      <c r="C58" s="480"/>
      <c r="D58" s="480"/>
      <c r="E58" s="224" t="str">
        <f>CONCATENATE("SFY ",'2. Getting Started'!B$6+6," Exceptions")</f>
        <v>SFY 2027 Exceptions</v>
      </c>
      <c r="F58" s="258">
        <f>'24. Year 7 Exc &amp; Adj'!I68</f>
        <v>0</v>
      </c>
    </row>
    <row r="59" spans="1:6" ht="15" customHeight="1">
      <c r="A59" s="224" t="str">
        <f>CONCATENATE("SFY ",'2. Getting Started'!B$6+5," + ",'2. Getting Started'!B$6+6," Projected Adjustments")</f>
        <v>SFY 2026 + 2027 Projected Adjustments</v>
      </c>
      <c r="B59" s="258">
        <f>AdjDataYear6Budget[Projected Adjustment]+AdjDataYear7Budget[Projected Adjustment]</f>
        <v>0</v>
      </c>
      <c r="C59" s="480"/>
      <c r="D59" s="480"/>
      <c r="E59" s="224" t="str">
        <f>CONCATENATE("SFY ",'2. Getting Started'!B$6+6," Adjustment")</f>
        <v>SFY 2027 Adjustment</v>
      </c>
      <c r="F59" s="258">
        <f>AdjDataYear7Expenditures[[Adjustment ]]</f>
        <v>0</v>
      </c>
    </row>
    <row r="60" spans="1:6" ht="15" customHeight="1">
      <c r="A60" s="224" t="str">
        <f>CONCATENATE("Adjusted MOE Threshold for SFY ",'2. Getting Started'!B$6+6)</f>
        <v>Adjusted MOE Threshold for SFY 2027</v>
      </c>
      <c r="B60" s="258" t="e">
        <f>IF(B57="","",(B57-B58-B59))</f>
        <v>#N/A</v>
      </c>
      <c r="C60" s="480"/>
      <c r="D60" s="480"/>
      <c r="E60" s="224" t="str">
        <f>CONCATENATE("Adjusted MOE Threshold for SFY ",'2. Getting Started'!B$6+6)</f>
        <v>Adjusted MOE Threshold for SFY 2027</v>
      </c>
      <c r="F60" s="258" t="e">
        <f>IF(F57="","",(F57-F58-F59))</f>
        <v>#N/A</v>
      </c>
    </row>
    <row r="61" spans="1:6" ht="15" customHeight="1">
      <c r="A61" s="224" t="str">
        <f>CONCATENATE("Budgeted Amount for SFY ",'2. Getting Started'!B$6+6)</f>
        <v>Budgeted Amount for SFY 2027</v>
      </c>
      <c r="B61" s="258" t="str">
        <f>'23. Year 7 Amounts'!F30</f>
        <v/>
      </c>
      <c r="C61" s="480"/>
      <c r="D61" s="480"/>
      <c r="E61" s="224" t="str">
        <f>CONCATENATE("Final Expenditures for SFY ",'2. Getting Started'!B$6+6)</f>
        <v>Final Expenditures for SFY 2027</v>
      </c>
      <c r="F61" s="258" t="str">
        <f>'23. Year 7 Amounts'!M30</f>
        <v/>
      </c>
    </row>
    <row r="62" spans="1:6" ht="15" customHeight="1">
      <c r="A62" s="275" t="str">
        <f>CONCATENATE("MOE Result for SFY ",'2. Getting Started'!B$6+6)</f>
        <v>MOE Result for SFY 2027</v>
      </c>
      <c r="B62" s="285" t="str">
        <f>IF(B61="","",IF(B61&gt;=B60,"Met","Did Not Meet"))</f>
        <v/>
      </c>
      <c r="C62" s="480"/>
      <c r="D62" s="480"/>
      <c r="E62" s="275" t="str">
        <f>CONCATENATE("MOE Result for SFY ",'2. Getting Started'!B$6+6)</f>
        <v>MOE Result for SFY 2027</v>
      </c>
      <c r="F62" s="285" t="str">
        <f>IF(F61="","",IF(F61&gt;=F60,"Met","Did Not Meet"))</f>
        <v/>
      </c>
    </row>
    <row r="63" spans="1:6" ht="15" customHeight="1">
      <c r="A63" s="479" t="s">
        <v>174</v>
      </c>
      <c r="B63" s="479"/>
      <c r="C63" s="480"/>
      <c r="D63" s="480"/>
      <c r="E63" s="479" t="s">
        <v>174</v>
      </c>
      <c r="F63" s="479"/>
    </row>
    <row r="64" spans="1:6" ht="15.75" customHeight="1">
      <c r="A64" s="5" t="str">
        <f>CONCATENATE("Year 8: SFY ",'2. Getting Started'!B$6+7)</f>
        <v>Year 8: SFY 2028</v>
      </c>
      <c r="B64" s="4"/>
      <c r="C64" s="480"/>
      <c r="D64" s="480"/>
      <c r="E64" s="5" t="str">
        <f>CONCATENATE("Year 8: SFY ",'2. Getting Started'!B$6+7)</f>
        <v>Year 8: SFY 2028</v>
      </c>
      <c r="F64" s="4"/>
    </row>
    <row r="65" spans="1:6" ht="15" customHeight="1">
      <c r="A65" s="224" t="str">
        <f>CONCATENATE("Starting MOE Threshold for SFY ",'2. Getting Started'!B$6+7)</f>
        <v>Starting MOE Threshold for SFY 2028</v>
      </c>
      <c r="B65" s="258" t="e">
        <f>IF(F54="Met",F53,F52)</f>
        <v>#N/A</v>
      </c>
      <c r="C65" s="480"/>
      <c r="D65" s="480"/>
      <c r="E65" s="224" t="str">
        <f>CONCATENATE("Starting MOE Threshold for SFY ",'2. Getting Started'!B$6+7)</f>
        <v>Starting MOE Threshold for SFY 2028</v>
      </c>
      <c r="F65" s="258" t="e">
        <f>IF(F62="Met",F61,F60)</f>
        <v>#N/A</v>
      </c>
    </row>
    <row r="66" spans="1:6" ht="15" customHeight="1">
      <c r="A66" s="224" t="str">
        <f>CONCATENATE("SFY ",'2. Getting Started'!B$6+6," + ",'2. Getting Started'!B$6+7," Projected Exceptions")</f>
        <v>SFY 2027 + 2028 Projected Exceptions</v>
      </c>
      <c r="B66" s="258">
        <f>'24. Year 7 Exc &amp; Adj'!B68+'27. Year 8 Exc &amp; Adj'!B68</f>
        <v>0</v>
      </c>
      <c r="C66" s="480"/>
      <c r="D66" s="480"/>
      <c r="E66" s="224" t="str">
        <f>CONCATENATE("SFY ",'2. Getting Started'!B$6+7," Exceptions")</f>
        <v>SFY 2028 Exceptions</v>
      </c>
      <c r="F66" s="258">
        <f>'27. Year 8 Exc &amp; Adj'!I68</f>
        <v>0</v>
      </c>
    </row>
    <row r="67" spans="1:6" ht="15" customHeight="1">
      <c r="A67" s="224" t="str">
        <f>CONCATENATE("SFY ",'2. Getting Started'!B$6+6," + ",'2. Getting Started'!B$6+7," Projected Adjustments")</f>
        <v>SFY 2027 + 2028 Projected Adjustments</v>
      </c>
      <c r="B67" s="258">
        <f>AdjDataYear7Budget[Projected Adjustment]+AdjDataYear8Budget[Projected Adjustment]</f>
        <v>0</v>
      </c>
      <c r="C67" s="480"/>
      <c r="D67" s="480"/>
      <c r="E67" s="224" t="str">
        <f>CONCATENATE("SFY ",'2. Getting Started'!B$6+7," Adjustment")</f>
        <v>SFY 2028 Adjustment</v>
      </c>
      <c r="F67" s="258">
        <f>AdjDataYear8Expenditures[[Adjustment ]]</f>
        <v>0</v>
      </c>
    </row>
    <row r="68" spans="1:6" ht="15" customHeight="1">
      <c r="A68" s="224" t="str">
        <f>CONCATENATE("Adjusted MOE Threshold for SFY ",'2. Getting Started'!B$6+7)</f>
        <v>Adjusted MOE Threshold for SFY 2028</v>
      </c>
      <c r="B68" s="258" t="e">
        <f>IF(B65="","",(B65-B66-B67))</f>
        <v>#N/A</v>
      </c>
      <c r="C68" s="480"/>
      <c r="D68" s="480"/>
      <c r="E68" s="224" t="str">
        <f>CONCATENATE("Adjusted MOE Threshold for SFY ",'2. Getting Started'!B$6+7)</f>
        <v>Adjusted MOE Threshold for SFY 2028</v>
      </c>
      <c r="F68" s="258" t="e">
        <f>IF(F65="","",(F65-F66-F67))</f>
        <v>#N/A</v>
      </c>
    </row>
    <row r="69" spans="1:6" ht="15" customHeight="1">
      <c r="A69" s="224" t="str">
        <f>CONCATENATE("Budgeted Amount for SFY ",'2. Getting Started'!B$6+7)</f>
        <v>Budgeted Amount for SFY 2028</v>
      </c>
      <c r="B69" s="258" t="str">
        <f>'26. Year 8 Amounts'!F30</f>
        <v/>
      </c>
      <c r="C69" s="480"/>
      <c r="D69" s="480"/>
      <c r="E69" s="224" t="str">
        <f>CONCATENATE("Final Expenditures for SFY ",'2. Getting Started'!B$6+7)</f>
        <v>Final Expenditures for SFY 2028</v>
      </c>
      <c r="F69" s="258" t="str">
        <f>'26. Year 8 Amounts'!M30</f>
        <v/>
      </c>
    </row>
    <row r="70" spans="1:6" ht="15" customHeight="1">
      <c r="A70" s="275" t="str">
        <f>CONCATENATE("MOE Result for SFY ",'2. Getting Started'!B$6+7)</f>
        <v>MOE Result for SFY 2028</v>
      </c>
      <c r="B70" s="285" t="str">
        <f>IF(B69="","",IF(B69&gt;=B68,"Met","Did Not Meet"))</f>
        <v/>
      </c>
      <c r="C70" s="480"/>
      <c r="D70" s="480"/>
      <c r="E70" s="275" t="str">
        <f>CONCATENATE("MOE Result for SFY ",'2. Getting Started'!B$6+7)</f>
        <v>MOE Result for SFY 2028</v>
      </c>
      <c r="F70" s="285" t="str">
        <f>IF(F69="","",IF(F69&gt;=F68,"Met","Did Not Meet"))</f>
        <v/>
      </c>
    </row>
    <row r="71" spans="1:6" ht="15" customHeight="1">
      <c r="A71" s="479" t="s">
        <v>174</v>
      </c>
      <c r="B71" s="479"/>
      <c r="C71" s="480"/>
      <c r="D71" s="480"/>
      <c r="E71" s="479" t="s">
        <v>174</v>
      </c>
      <c r="F71" s="479"/>
    </row>
    <row r="72" spans="1:6" ht="15.75" customHeight="1">
      <c r="A72" s="5" t="str">
        <f>CONCATENATE("Year 9: SFY ",'2. Getting Started'!B$6+8)</f>
        <v>Year 9: SFY 2029</v>
      </c>
      <c r="B72" s="4"/>
      <c r="C72" s="480"/>
      <c r="D72" s="480"/>
      <c r="E72" s="5" t="str">
        <f>CONCATENATE("Year 9: SFY ",'2. Getting Started'!B$6+8)</f>
        <v>Year 9: SFY 2029</v>
      </c>
      <c r="F72" s="4"/>
    </row>
    <row r="73" spans="1:6" ht="15" customHeight="1">
      <c r="A73" s="224" t="str">
        <f>CONCATENATE("Starting MOE Threshold for SFY ",'2. Getting Started'!B$6+8)</f>
        <v>Starting MOE Threshold for SFY 2029</v>
      </c>
      <c r="B73" s="258" t="e">
        <f>IF(F62="Met",F61,F60)</f>
        <v>#N/A</v>
      </c>
      <c r="C73" s="480"/>
      <c r="D73" s="480"/>
      <c r="E73" s="224" t="str">
        <f>CONCATENATE("Starting MOE Threshold for SFY ",'2. Getting Started'!B$6+8)</f>
        <v>Starting MOE Threshold for SFY 2029</v>
      </c>
      <c r="F73" s="258" t="e">
        <f>IF(F70="Met",F69,F68)</f>
        <v>#N/A</v>
      </c>
    </row>
    <row r="74" spans="1:6" ht="15" customHeight="1">
      <c r="A74" s="224" t="str">
        <f>CONCATENATE("SFY ",'2. Getting Started'!B$6+7," + ",'2. Getting Started'!B$6+8," Projected Exceptions")</f>
        <v>SFY 2028 + 2029 Projected Exceptions</v>
      </c>
      <c r="B74" s="258">
        <f>'27. Year 8 Exc &amp; Adj'!B68+'30. Year 9 Exc &amp; Adj'!B68</f>
        <v>0</v>
      </c>
      <c r="C74" s="480"/>
      <c r="D74" s="480"/>
      <c r="E74" s="224" t="str">
        <f>CONCATENATE("SFY ",'2. Getting Started'!B$6+8," Exceptions")</f>
        <v>SFY 2029 Exceptions</v>
      </c>
      <c r="F74" s="258">
        <f>'30. Year 9 Exc &amp; Adj'!I68</f>
        <v>0</v>
      </c>
    </row>
    <row r="75" spans="1:6" ht="15" customHeight="1">
      <c r="A75" s="224" t="str">
        <f>CONCATENATE("SFY ",'2. Getting Started'!B$6+7," + ",'2. Getting Started'!B$6+8," Projected Adjustments")</f>
        <v>SFY 2028 + 2029 Projected Adjustments</v>
      </c>
      <c r="B75" s="258">
        <f>AdjDataYear8Budget[Projected Adjustment]+AdjDataYear9Budget[Projected Adjustment]</f>
        <v>0</v>
      </c>
      <c r="C75" s="480"/>
      <c r="D75" s="480"/>
      <c r="E75" s="224" t="str">
        <f>CONCATENATE("SFY ",'2. Getting Started'!B$6+8," Adjustment")</f>
        <v>SFY 2029 Adjustment</v>
      </c>
      <c r="F75" s="258">
        <f>AdjDataYear9Expenditures[[Adjustment ]]</f>
        <v>0</v>
      </c>
    </row>
    <row r="76" spans="1:6" ht="15" customHeight="1">
      <c r="A76" s="224" t="str">
        <f>CONCATENATE("Adjusted MOE Threshold for SFY ",'2. Getting Started'!B$6+8)</f>
        <v>Adjusted MOE Threshold for SFY 2029</v>
      </c>
      <c r="B76" s="258" t="e">
        <f>IF(B73="","",(B73-B74-B75))</f>
        <v>#N/A</v>
      </c>
      <c r="C76" s="480"/>
      <c r="D76" s="480"/>
      <c r="E76" s="224" t="str">
        <f>CONCATENATE("Adjusted MOE Threshold for SFY ",'2. Getting Started'!B$6+8)</f>
        <v>Adjusted MOE Threshold for SFY 2029</v>
      </c>
      <c r="F76" s="258" t="e">
        <f>IF(F73="","",(F73-F74-F75))</f>
        <v>#N/A</v>
      </c>
    </row>
    <row r="77" spans="1:6" ht="15" customHeight="1">
      <c r="A77" s="224" t="str">
        <f>CONCATENATE("Budgeted Amount for SFY ",'2. Getting Started'!B$6+8)</f>
        <v>Budgeted Amount for SFY 2029</v>
      </c>
      <c r="B77" s="258" t="str">
        <f>'29. Year 9 Amounts'!F30</f>
        <v/>
      </c>
      <c r="C77" s="480"/>
      <c r="D77" s="480"/>
      <c r="E77" s="224" t="str">
        <f>CONCATENATE("Final Expenditures for SFY ",'2. Getting Started'!B$6+8)</f>
        <v>Final Expenditures for SFY 2029</v>
      </c>
      <c r="F77" s="258" t="str">
        <f>'29. Year 9 Amounts'!M30</f>
        <v/>
      </c>
    </row>
    <row r="78" spans="1:6" ht="15" customHeight="1">
      <c r="A78" s="275" t="str">
        <f>CONCATENATE("MOE Result for SFY ",'2. Getting Started'!B$6+8)</f>
        <v>MOE Result for SFY 2029</v>
      </c>
      <c r="B78" s="285" t="str">
        <f>IF(B77="","",IF(B77&gt;=B76,"Met","Did Not Meet"))</f>
        <v/>
      </c>
      <c r="C78" s="480"/>
      <c r="D78" s="480"/>
      <c r="E78" s="275" t="str">
        <f>CONCATENATE("MOE Result for SFY ",'2. Getting Started'!B$6+8)</f>
        <v>MOE Result for SFY 2029</v>
      </c>
      <c r="F78" s="285" t="str">
        <f>IF(F77="","",IF(F77&gt;=F76,"Met","Did Not Meet"))</f>
        <v/>
      </c>
    </row>
    <row r="79" spans="1:6" ht="15" customHeight="1">
      <c r="A79" s="479" t="s">
        <v>174</v>
      </c>
      <c r="B79" s="479"/>
      <c r="C79" s="480"/>
      <c r="D79" s="480"/>
      <c r="E79" s="479" t="s">
        <v>174</v>
      </c>
      <c r="F79" s="479"/>
    </row>
    <row r="80" spans="1:6" ht="15.75" customHeight="1">
      <c r="A80" s="5" t="str">
        <f>CONCATENATE("Year 10: SFY ",'2. Getting Started'!B$6+9)</f>
        <v>Year 10: SFY 2030</v>
      </c>
      <c r="B80" s="4"/>
      <c r="C80" s="480"/>
      <c r="D80" s="480"/>
      <c r="E80" s="5" t="str">
        <f>CONCATENATE("Year 10: SFY ",'2. Getting Started'!B$6+9)</f>
        <v>Year 10: SFY 2030</v>
      </c>
      <c r="F80" s="4"/>
    </row>
    <row r="81" spans="1:6" ht="15" customHeight="1">
      <c r="A81" s="224" t="str">
        <f>CONCATENATE("Starting MOE Threshold for SFY ",'2. Getting Started'!B$6+9)</f>
        <v>Starting MOE Threshold for SFY 2030</v>
      </c>
      <c r="B81" s="258" t="e">
        <f>IF(F70="Met",F69,F68)</f>
        <v>#N/A</v>
      </c>
      <c r="C81" s="480"/>
      <c r="D81" s="480"/>
      <c r="E81" s="224" t="str">
        <f>CONCATENATE("Starting MOE Threshold for SFY ",'2. Getting Started'!B$6+9)</f>
        <v>Starting MOE Threshold for SFY 2030</v>
      </c>
      <c r="F81" s="258" t="e">
        <f>IF(F78="Met",F77,F76)</f>
        <v>#N/A</v>
      </c>
    </row>
    <row r="82" spans="1:6" ht="15" customHeight="1">
      <c r="A82" s="224" t="str">
        <f>CONCATENATE("SFY ",'2. Getting Started'!B$6+8," + ",'2. Getting Started'!B$6+9," Projected Exceptions")</f>
        <v>SFY 2029 + 2030 Projected Exceptions</v>
      </c>
      <c r="B82" s="258">
        <f>'30. Year 9 Exc &amp; Adj'!B68+'33. Year 10 Exc &amp; Adj'!B68</f>
        <v>0</v>
      </c>
      <c r="C82" s="480"/>
      <c r="D82" s="480"/>
      <c r="E82" s="224" t="str">
        <f>CONCATENATE("SFY ",'2. Getting Started'!B$6+9," Exceptions")</f>
        <v>SFY 2030 Exceptions</v>
      </c>
      <c r="F82" s="258">
        <f>'33. Year 10 Exc &amp; Adj'!I68</f>
        <v>0</v>
      </c>
    </row>
    <row r="83" spans="1:6" ht="15" customHeight="1">
      <c r="A83" s="224" t="str">
        <f>CONCATENATE("SFY ",'2. Getting Started'!B$6+8," + ",'2. Getting Started'!B$6+9," Projected Adjustments")</f>
        <v>SFY 2029 + 2030 Projected Adjustments</v>
      </c>
      <c r="B83" s="258">
        <f>AdjDataYear9Budget[Projected Adjustment]+AdjDataYear10Budget[Projected Adjustment]</f>
        <v>0</v>
      </c>
      <c r="C83" s="480"/>
      <c r="D83" s="480"/>
      <c r="E83" s="224" t="str">
        <f>CONCATENATE("SFY ",'2. Getting Started'!B$6+9," Adjustment")</f>
        <v>SFY 2030 Adjustment</v>
      </c>
      <c r="F83" s="258">
        <f>AdjDataYear10Expenditures[[Adjustment ]]</f>
        <v>0</v>
      </c>
    </row>
    <row r="84" spans="1:6" ht="15" customHeight="1">
      <c r="A84" s="224" t="str">
        <f>CONCATENATE("Adjusted MOE Threshold for SFY ",'2. Getting Started'!B$6+9)</f>
        <v>Adjusted MOE Threshold for SFY 2030</v>
      </c>
      <c r="B84" s="258" t="e">
        <f>IF(B81="","",(B81-B82-B83))</f>
        <v>#N/A</v>
      </c>
      <c r="C84" s="480"/>
      <c r="D84" s="480"/>
      <c r="E84" s="224" t="str">
        <f>CONCATENATE("Adjusted MOE Threshold for SFY ",'2. Getting Started'!B$6+9)</f>
        <v>Adjusted MOE Threshold for SFY 2030</v>
      </c>
      <c r="F84" s="258" t="e">
        <f>IF(F81="","",(F81-F82-F83))</f>
        <v>#N/A</v>
      </c>
    </row>
    <row r="85" spans="1:6" ht="15" customHeight="1">
      <c r="A85" s="224" t="str">
        <f>CONCATENATE("Budgeted Amount for SFY ",'2. Getting Started'!B$6+9)</f>
        <v>Budgeted Amount for SFY 2030</v>
      </c>
      <c r="B85" s="258" t="str">
        <f>'32. Year 10 Amounts'!F30</f>
        <v/>
      </c>
      <c r="C85" s="480"/>
      <c r="D85" s="480"/>
      <c r="E85" s="224" t="str">
        <f>CONCATENATE("Final Expenditures for SFY ",'2. Getting Started'!B$6+9)</f>
        <v>Final Expenditures for SFY 2030</v>
      </c>
      <c r="F85" s="258" t="str">
        <f>'32. Year 10 Amounts'!M30</f>
        <v/>
      </c>
    </row>
    <row r="86" spans="1:6" ht="15" customHeight="1">
      <c r="A86" s="275" t="str">
        <f>CONCATENATE("MOE Result for SFY ",'2. Getting Started'!B$6+9)</f>
        <v>MOE Result for SFY 2030</v>
      </c>
      <c r="B86" s="285" t="str">
        <f>IF(B85="","",IF(B85&gt;=B84,"Met","Did Not Meet"))</f>
        <v/>
      </c>
      <c r="C86" s="480"/>
      <c r="D86" s="480"/>
      <c r="E86" s="275" t="str">
        <f>CONCATENATE("MOE Result for SFY ",'2. Getting Started'!B$6+9)</f>
        <v>MOE Result for SFY 2030</v>
      </c>
      <c r="F86" s="285" t="str">
        <f>IF(F85="","",IF(F85&gt;=F84,"Met","Did Not Meet"))</f>
        <v/>
      </c>
    </row>
    <row r="87" spans="1:6" ht="15" customHeight="1">
      <c r="A87" s="479" t="s">
        <v>174</v>
      </c>
      <c r="B87" s="479"/>
      <c r="C87" s="480"/>
      <c r="D87" s="480"/>
      <c r="E87" s="479" t="s">
        <v>174</v>
      </c>
      <c r="F87" s="479"/>
    </row>
    <row r="88" spans="1:6" ht="15.75" customHeight="1">
      <c r="A88" s="5" t="str">
        <f>CONCATENATE("Year 11: SFY ",'2. Getting Started'!B$6+10)</f>
        <v>Year 11: SFY 2031</v>
      </c>
      <c r="B88" s="4"/>
      <c r="C88" s="480"/>
      <c r="D88" s="480"/>
      <c r="E88" s="5" t="str">
        <f>CONCATENATE("Year 11: SFY ",'2. Getting Started'!B$6+10)</f>
        <v>Year 11: SFY 2031</v>
      </c>
      <c r="F88" s="4"/>
    </row>
    <row r="89" spans="1:6" ht="15" customHeight="1">
      <c r="A89" s="224" t="str">
        <f>CONCATENATE("Starting MOE Threshold for SFY ",'2. Getting Started'!B$6+10)</f>
        <v>Starting MOE Threshold for SFY 2031</v>
      </c>
      <c r="B89" s="258" t="e">
        <f>IF(F78="Met",F77,F76)</f>
        <v>#N/A</v>
      </c>
      <c r="C89" s="480"/>
      <c r="D89" s="480"/>
      <c r="E89" s="481" t="s">
        <v>47</v>
      </c>
      <c r="F89" s="482"/>
    </row>
    <row r="90" spans="1:6" ht="15" customHeight="1">
      <c r="A90" s="224" t="str">
        <f>CONCATENATE("SFY ",'2. Getting Started'!B$6+9," + ",'2. Getting Started'!B$6+10," Projected Exceptions")</f>
        <v>SFY 2030 + 2031 Projected Exceptions</v>
      </c>
      <c r="B90" s="258">
        <f>'33. Year 10 Exc &amp; Adj'!B68+'36. Year 11 Exc &amp; Adj'!B68</f>
        <v>0</v>
      </c>
      <c r="C90" s="480"/>
      <c r="D90" s="480"/>
      <c r="E90" s="483"/>
      <c r="F90" s="484"/>
    </row>
    <row r="91" spans="1:6" ht="15" customHeight="1">
      <c r="A91" s="224" t="str">
        <f>CONCATENATE("SFY ",'2. Getting Started'!B$6+9," + ",'2. Getting Started'!B$6+10," Projected Adjustments")</f>
        <v>SFY 2030 + 2031 Projected Adjustments</v>
      </c>
      <c r="B91" s="258">
        <f>AdjDataYear10Budget[Projected Adjustment]+AdjDataYear11Budget[Projected Adjustment]</f>
        <v>0</v>
      </c>
      <c r="C91" s="480"/>
      <c r="D91" s="480"/>
      <c r="E91" s="483"/>
      <c r="F91" s="484"/>
    </row>
    <row r="92" spans="1:6" ht="15" customHeight="1">
      <c r="A92" s="224" t="str">
        <f>CONCATENATE("Adjusted MOE Threshold for SFY ",'2. Getting Started'!B$6+10)</f>
        <v>Adjusted MOE Threshold for SFY 2031</v>
      </c>
      <c r="B92" s="258" t="e">
        <f>IF(B89="","",(B89-B90-B91))</f>
        <v>#N/A</v>
      </c>
      <c r="C92" s="480"/>
      <c r="D92" s="480"/>
      <c r="E92" s="483"/>
      <c r="F92" s="484"/>
    </row>
    <row r="93" spans="1:6" ht="15" customHeight="1">
      <c r="A93" s="224" t="str">
        <f>CONCATENATE("Budgeted Amount for SFY ",'2. Getting Started'!B$6+10)</f>
        <v>Budgeted Amount for SFY 2031</v>
      </c>
      <c r="B93" s="258" t="str">
        <f>'35. Year 11 Amounts'!F30</f>
        <v/>
      </c>
      <c r="C93" s="480"/>
      <c r="D93" s="480"/>
      <c r="E93" s="483"/>
      <c r="F93" s="484"/>
    </row>
    <row r="94" spans="1:6" ht="15" customHeight="1">
      <c r="A94" s="275" t="str">
        <f>CONCATENATE("MOE Result for SFY ",'2. Getting Started'!B$6+10)</f>
        <v>MOE Result for SFY 2031</v>
      </c>
      <c r="B94" s="285" t="str">
        <f>IF(B93="","",IF(B93&gt;=B92,"Met","Did Not Meet"))</f>
        <v/>
      </c>
      <c r="C94" s="480"/>
      <c r="D94" s="480"/>
      <c r="E94" s="485"/>
      <c r="F94" s="486"/>
    </row>
    <row r="95" spans="1:6" ht="28.5" customHeight="1">
      <c r="A95" s="345" t="s">
        <v>183</v>
      </c>
      <c r="C95" s="355"/>
      <c r="D95" s="355"/>
    </row>
    <row r="96" spans="1:6" ht="15" customHeight="1">
      <c r="A96" s="358" t="s">
        <v>182</v>
      </c>
    </row>
    <row r="97" spans="1:6">
      <c r="A97" s="464" t="s">
        <v>24</v>
      </c>
      <c r="B97" s="464"/>
      <c r="C97" s="464"/>
      <c r="D97" s="464"/>
      <c r="E97" s="464"/>
      <c r="F97" s="464"/>
    </row>
  </sheetData>
  <sheetProtection algorithmName="SHA-512" hashValue="wNRzADkgiar8WAJDTMmYUIwErbsJXQx8+1IwYgQuqHyiNENP9ZZ7Wy1gaRZ1B2yjkYo2k10EfKoMEVhEq4MY2Q==" saltValue="G1r+dEZ5CfE4XS7Y2dnWwA==" spinCount="100000" sheet="1" objects="1" scenarios="1" formatColumns="0" formatRows="0"/>
  <mergeCells count="26">
    <mergeCell ref="A47:B47"/>
    <mergeCell ref="E47:F47"/>
    <mergeCell ref="A55:B55"/>
    <mergeCell ref="E55:F55"/>
    <mergeCell ref="A23:B23"/>
    <mergeCell ref="E23:F23"/>
    <mergeCell ref="A31:B31"/>
    <mergeCell ref="E31:F31"/>
    <mergeCell ref="A39:B39"/>
    <mergeCell ref="E39:F39"/>
    <mergeCell ref="A97:F97"/>
    <mergeCell ref="A87:B87"/>
    <mergeCell ref="E87:F87"/>
    <mergeCell ref="C1:D94"/>
    <mergeCell ref="A63:B63"/>
    <mergeCell ref="E63:F63"/>
    <mergeCell ref="A71:B71"/>
    <mergeCell ref="E71:F71"/>
    <mergeCell ref="A79:B79"/>
    <mergeCell ref="E79:F79"/>
    <mergeCell ref="A9:B14"/>
    <mergeCell ref="E89:F94"/>
    <mergeCell ref="A7:B7"/>
    <mergeCell ref="E7:F7"/>
    <mergeCell ref="A15:B15"/>
    <mergeCell ref="E15:F15"/>
  </mergeCells>
  <conditionalFormatting sqref="B22">
    <cfRule type="containsText" dxfId="119" priority="40" operator="containsText" text="Met">
      <formula>NOT(ISERROR(SEARCH("Met",B22)))</formula>
    </cfRule>
    <cfRule type="containsText" dxfId="118" priority="39" operator="containsText" text="Did Not Meet">
      <formula>NOT(ISERROR(SEARCH("Did Not Meet",B22)))</formula>
    </cfRule>
  </conditionalFormatting>
  <conditionalFormatting sqref="B30">
    <cfRule type="containsText" dxfId="117" priority="38" operator="containsText" text="Met">
      <formula>NOT(ISERROR(SEARCH("Met",B30)))</formula>
    </cfRule>
    <cfRule type="containsText" dxfId="116" priority="37" operator="containsText" text="Did Not Meet">
      <formula>NOT(ISERROR(SEARCH("Did Not Meet",B30)))</formula>
    </cfRule>
  </conditionalFormatting>
  <conditionalFormatting sqref="B38">
    <cfRule type="containsText" dxfId="115" priority="36" operator="containsText" text="Met">
      <formula>NOT(ISERROR(SEARCH("Met",B38)))</formula>
    </cfRule>
    <cfRule type="containsText" dxfId="114" priority="35" operator="containsText" text="Did Not Meet">
      <formula>NOT(ISERROR(SEARCH("Did Not Meet",B38)))</formula>
    </cfRule>
  </conditionalFormatting>
  <conditionalFormatting sqref="B46">
    <cfRule type="containsText" dxfId="113" priority="34" operator="containsText" text="Met">
      <formula>NOT(ISERROR(SEARCH("Met",B46)))</formula>
    </cfRule>
    <cfRule type="containsText" dxfId="112" priority="33" operator="containsText" text="Did Not Meet">
      <formula>NOT(ISERROR(SEARCH("Did Not Meet",B46)))</formula>
    </cfRule>
  </conditionalFormatting>
  <conditionalFormatting sqref="B54">
    <cfRule type="containsText" dxfId="111" priority="32" operator="containsText" text="Met">
      <formula>NOT(ISERROR(SEARCH("Met",B54)))</formula>
    </cfRule>
    <cfRule type="containsText" dxfId="110" priority="31" operator="containsText" text="Did Not Meet">
      <formula>NOT(ISERROR(SEARCH("Did Not Meet",B54)))</formula>
    </cfRule>
  </conditionalFormatting>
  <conditionalFormatting sqref="B62">
    <cfRule type="containsText" dxfId="109" priority="30" operator="containsText" text="Met">
      <formula>NOT(ISERROR(SEARCH("Met",B62)))</formula>
    </cfRule>
    <cfRule type="containsText" dxfId="108" priority="29" operator="containsText" text="Did Not Meet">
      <formula>NOT(ISERROR(SEARCH("Did Not Meet",B62)))</formula>
    </cfRule>
  </conditionalFormatting>
  <conditionalFormatting sqref="B70">
    <cfRule type="containsText" dxfId="107" priority="28" operator="containsText" text="Met">
      <formula>NOT(ISERROR(SEARCH("Met",B70)))</formula>
    </cfRule>
    <cfRule type="containsText" dxfId="106" priority="27" operator="containsText" text="Did Not Meet">
      <formula>NOT(ISERROR(SEARCH("Did Not Meet",B70)))</formula>
    </cfRule>
  </conditionalFormatting>
  <conditionalFormatting sqref="B78">
    <cfRule type="containsText" dxfId="105" priority="26" operator="containsText" text="Met">
      <formula>NOT(ISERROR(SEARCH("Met",B78)))</formula>
    </cfRule>
    <cfRule type="containsText" dxfId="104" priority="25" operator="containsText" text="Did Not Meet">
      <formula>NOT(ISERROR(SEARCH("Did Not Meet",B78)))</formula>
    </cfRule>
  </conditionalFormatting>
  <conditionalFormatting sqref="B86">
    <cfRule type="containsText" dxfId="103" priority="24" operator="containsText" text="Met">
      <formula>NOT(ISERROR(SEARCH("Met",B86)))</formula>
    </cfRule>
    <cfRule type="containsText" dxfId="102" priority="23" operator="containsText" text="Did Not Meet">
      <formula>NOT(ISERROR(SEARCH("Did Not Meet",B86)))</formula>
    </cfRule>
  </conditionalFormatting>
  <conditionalFormatting sqref="B94">
    <cfRule type="containsText" dxfId="101" priority="21" operator="containsText" text="Did Not Meet">
      <formula>NOT(ISERROR(SEARCH("Did Not Meet",B94)))</formula>
    </cfRule>
    <cfRule type="containsText" dxfId="100" priority="22" operator="containsText" text="Met">
      <formula>NOT(ISERROR(SEARCH("Met",B94)))</formula>
    </cfRule>
  </conditionalFormatting>
  <conditionalFormatting sqref="F14">
    <cfRule type="containsText" dxfId="99" priority="20" operator="containsText" text="Met">
      <formula>NOT(ISERROR(SEARCH("Met",F14)))</formula>
    </cfRule>
    <cfRule type="containsText" dxfId="98" priority="19" operator="containsText" text="Did Not Meet">
      <formula>NOT(ISERROR(SEARCH("Did Not Meet",F14)))</formula>
    </cfRule>
  </conditionalFormatting>
  <conditionalFormatting sqref="F22">
    <cfRule type="containsText" dxfId="97" priority="18" operator="containsText" text="Met">
      <formula>NOT(ISERROR(SEARCH("Met",F22)))</formula>
    </cfRule>
    <cfRule type="containsText" dxfId="96" priority="17" operator="containsText" text="Did Not Meet">
      <formula>NOT(ISERROR(SEARCH("Did Not Meet",F22)))</formula>
    </cfRule>
  </conditionalFormatting>
  <conditionalFormatting sqref="F30">
    <cfRule type="containsText" dxfId="95" priority="16" operator="containsText" text="Met">
      <formula>NOT(ISERROR(SEARCH("Met",F30)))</formula>
    </cfRule>
    <cfRule type="containsText" dxfId="94" priority="15" operator="containsText" text="Did Not Meet">
      <formula>NOT(ISERROR(SEARCH("Did Not Meet",F30)))</formula>
    </cfRule>
  </conditionalFormatting>
  <conditionalFormatting sqref="F38">
    <cfRule type="containsText" dxfId="93" priority="14" operator="containsText" text="Met">
      <formula>NOT(ISERROR(SEARCH("Met",F38)))</formula>
    </cfRule>
    <cfRule type="containsText" dxfId="92" priority="13" operator="containsText" text="Did Not Meet">
      <formula>NOT(ISERROR(SEARCH("Did Not Meet",F38)))</formula>
    </cfRule>
  </conditionalFormatting>
  <conditionalFormatting sqref="F46">
    <cfRule type="containsText" dxfId="91" priority="12" operator="containsText" text="Met">
      <formula>NOT(ISERROR(SEARCH("Met",F46)))</formula>
    </cfRule>
    <cfRule type="containsText" dxfId="90" priority="11" operator="containsText" text="Did Not Meet">
      <formula>NOT(ISERROR(SEARCH("Did Not Meet",F46)))</formula>
    </cfRule>
  </conditionalFormatting>
  <conditionalFormatting sqref="F54">
    <cfRule type="containsText" dxfId="89" priority="10" operator="containsText" text="Met">
      <formula>NOT(ISERROR(SEARCH("Met",F54)))</formula>
    </cfRule>
    <cfRule type="containsText" dxfId="88" priority="9" operator="containsText" text="Did Not Meet">
      <formula>NOT(ISERROR(SEARCH("Did Not Meet",F54)))</formula>
    </cfRule>
  </conditionalFormatting>
  <conditionalFormatting sqref="F62">
    <cfRule type="containsText" dxfId="87" priority="8" operator="containsText" text="Met">
      <formula>NOT(ISERROR(SEARCH("Met",F62)))</formula>
    </cfRule>
    <cfRule type="containsText" dxfId="86" priority="7" operator="containsText" text="Did Not Meet">
      <formula>NOT(ISERROR(SEARCH("Did Not Meet",F62)))</formula>
    </cfRule>
  </conditionalFormatting>
  <conditionalFormatting sqref="F70">
    <cfRule type="containsText" dxfId="85" priority="6" operator="containsText" text="Met">
      <formula>NOT(ISERROR(SEARCH("Met",F70)))</formula>
    </cfRule>
    <cfRule type="containsText" dxfId="84" priority="5" operator="containsText" text="Did Not Meet">
      <formula>NOT(ISERROR(SEARCH("Did Not Meet",F70)))</formula>
    </cfRule>
  </conditionalFormatting>
  <conditionalFormatting sqref="F78">
    <cfRule type="containsText" dxfId="83" priority="3" operator="containsText" text="Did Not Meet">
      <formula>NOT(ISERROR(SEARCH("Did Not Meet",F78)))</formula>
    </cfRule>
    <cfRule type="containsText" dxfId="82" priority="4" operator="containsText" text="Met">
      <formula>NOT(ISERROR(SEARCH("Met",F78)))</formula>
    </cfRule>
  </conditionalFormatting>
  <conditionalFormatting sqref="F86">
    <cfRule type="containsText" dxfId="81" priority="2" operator="containsText" text="Met">
      <formula>NOT(ISERROR(SEARCH("Met",F86)))</formula>
    </cfRule>
    <cfRule type="containsText" dxfId="80" priority="1" operator="containsText" text="Did Not Meet">
      <formula>NOT(ISERROR(SEARCH("Did Not Meet",F86)))</formula>
    </cfRule>
  </conditionalFormatting>
  <hyperlinks>
    <hyperlink ref="A96" r:id="rId1" xr:uid="{00000000-0004-0000-28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theme="7"/>
  </sheetPr>
  <dimension ref="A1:I98"/>
  <sheetViews>
    <sheetView showGridLines="0" zoomScaleNormal="100" workbookViewId="0">
      <selection activeCell="F1" sqref="F1"/>
    </sheetView>
  </sheetViews>
  <sheetFormatPr defaultColWidth="0" defaultRowHeight="14.5" zeroHeight="1"/>
  <cols>
    <col min="1" max="1" width="45.1796875" customWidth="1"/>
    <col min="2" max="2" width="25.81640625" bestFit="1" customWidth="1"/>
    <col min="3" max="4" width="9.1796875" customWidth="1"/>
    <col min="5" max="5" width="46.26953125" customWidth="1"/>
    <col min="6" max="6" width="26.1796875" bestFit="1" customWidth="1"/>
    <col min="7" max="7" width="0.81640625" customWidth="1"/>
    <col min="8" max="8" width="27" hidden="1" customWidth="1"/>
    <col min="9" max="9" width="9.1796875" hidden="1" customWidth="1"/>
    <col min="10" max="16384" width="9.1796875" hidden="1"/>
  </cols>
  <sheetData>
    <row r="1" spans="1:9" ht="45" customHeight="1">
      <c r="A1" s="302" t="s">
        <v>178</v>
      </c>
      <c r="B1" s="304"/>
      <c r="C1" s="487" t="s">
        <v>174</v>
      </c>
      <c r="D1" s="487"/>
      <c r="E1" s="21" t="s">
        <v>14</v>
      </c>
      <c r="F1" s="20" t="str">
        <f>IF('2. Getting Started'!B2="","",'2. Getting Started'!B2)</f>
        <v/>
      </c>
    </row>
    <row r="2" spans="1:9" ht="18.75" customHeight="1">
      <c r="A2" s="18" t="s">
        <v>13</v>
      </c>
      <c r="B2" s="4"/>
      <c r="C2" s="487"/>
      <c r="D2" s="487"/>
      <c r="E2" s="18" t="s">
        <v>6</v>
      </c>
      <c r="F2" s="4"/>
      <c r="H2" s="2" t="s">
        <v>12</v>
      </c>
    </row>
    <row r="3" spans="1:9" ht="39" customHeight="1">
      <c r="A3" s="16" t="str">
        <f>CONCATENATE("Prior to Year 1: SFY ",'2. Getting Started'!B6)</f>
        <v>Prior to Year 1: SFY 2021</v>
      </c>
      <c r="B3" s="16"/>
      <c r="C3" s="487"/>
      <c r="D3" s="487"/>
      <c r="E3" s="16" t="str">
        <f>CONCATENATE("Prior to Year 1: SFY ",'2. Getting Started'!B6)</f>
        <v>Prior to Year 1: SFY 2021</v>
      </c>
      <c r="F3" s="16"/>
      <c r="H3" s="2"/>
    </row>
    <row r="4" spans="1:9" ht="29">
      <c r="A4" s="225" t="str">
        <f>CONCATENATE("Last year before SFY ",'2. Getting Started'!B6," that the compliance standard was met for local funds per capita")</f>
        <v>Last year before SFY 2021 that the compliance standard was met for local funds per capita</v>
      </c>
      <c r="B4" s="257">
        <f>IF('2. Getting Started'!B12="","",'2. Getting Started'!B12)</f>
        <v>2020</v>
      </c>
      <c r="C4" s="487"/>
      <c r="D4" s="487"/>
      <c r="E4" s="225" t="str">
        <f>CONCATENATE("Last year before SFY ",'2. Getting Started'!B6," that the compliance standard was met for local funds per capita")</f>
        <v>Last year before SFY 2021 that the compliance standard was met for local funds per capita</v>
      </c>
      <c r="F4" s="257">
        <f>IF('2. Getting Started'!B12="","",'2. Getting Started'!B12)</f>
        <v>2020</v>
      </c>
      <c r="H4" s="1" t="s">
        <v>21</v>
      </c>
      <c r="I4">
        <f>'2. Getting Started'!B6-'2. Getting Started'!B12</f>
        <v>1</v>
      </c>
    </row>
    <row r="5" spans="1:9" ht="15" customHeight="1">
      <c r="A5" s="224" t="s">
        <v>1</v>
      </c>
      <c r="B5" s="258" t="e">
        <f>IF('2. Getting Started'!C12="","",'2. Getting Started'!C12)</f>
        <v>#DIV/0!</v>
      </c>
      <c r="C5" s="487"/>
      <c r="D5" s="487"/>
      <c r="E5" s="224" t="s">
        <v>1</v>
      </c>
      <c r="F5" s="258" t="e">
        <f>IF('2. Getting Started'!C12="","",'2. Getting Started'!C12)</f>
        <v>#DIV/0!</v>
      </c>
    </row>
    <row r="6" spans="1:9" ht="15" customHeight="1">
      <c r="A6" s="224" t="s">
        <v>116</v>
      </c>
      <c r="B6" s="286">
        <f>IF('2. Getting Started'!D12="","",'2. Getting Started'!D12)</f>
        <v>0</v>
      </c>
      <c r="C6" s="487"/>
      <c r="D6" s="487"/>
      <c r="E6" s="224" t="s">
        <v>116</v>
      </c>
      <c r="F6" s="286">
        <f>IF('2. Getting Started'!D12="","",'2. Getting Started'!D12)</f>
        <v>0</v>
      </c>
    </row>
    <row r="7" spans="1:9" ht="15" customHeight="1">
      <c r="A7" s="229" t="s">
        <v>5</v>
      </c>
      <c r="B7" s="261">
        <f>IF(B6="","",IF(I4=1,0,IF(I4&gt;1,(VLOOKUP(I4,'3a. Intervening Years'!I4:K22,2)/B6))))</f>
        <v>0</v>
      </c>
      <c r="C7" s="487"/>
      <c r="D7" s="487"/>
      <c r="E7" s="229" t="s">
        <v>5</v>
      </c>
      <c r="F7" s="261">
        <f>IF(F6="","",IF(I4=1,0,IF(I4&gt;1,(VLOOKUP(I4,'3a. Intervening Years'!I4:K22,2)/F6))))</f>
        <v>0</v>
      </c>
    </row>
    <row r="8" spans="1:9" ht="15" customHeight="1">
      <c r="A8" s="479" t="s">
        <v>174</v>
      </c>
      <c r="B8" s="479"/>
      <c r="C8" s="487"/>
      <c r="D8" s="487"/>
      <c r="E8" s="479" t="s">
        <v>174</v>
      </c>
      <c r="F8" s="479"/>
    </row>
    <row r="9" spans="1:9" ht="15.75" customHeight="1">
      <c r="A9" s="5" t="str">
        <f>CONCATENATE("Year 1: SFY ",'2. Getting Started'!B$6)</f>
        <v>Year 1: SFY 2021</v>
      </c>
      <c r="B9" s="4"/>
      <c r="C9" s="487"/>
      <c r="D9" s="487"/>
      <c r="E9" s="5" t="str">
        <f>CONCATENATE("Year 1: SFY ",'2. Getting Started'!B$6)</f>
        <v>Year 1: SFY 2021</v>
      </c>
      <c r="F9" s="4"/>
    </row>
    <row r="10" spans="1:9" ht="15" customHeight="1">
      <c r="A10" s="481" t="s">
        <v>180</v>
      </c>
      <c r="B10" s="482"/>
      <c r="C10" s="487"/>
      <c r="D10" s="487"/>
      <c r="E10" s="224" t="str">
        <f>CONCATENATE("Starting MOE Threshold for SFY ",'2. Getting Started'!B$6)</f>
        <v>Starting MOE Threshold for SFY 2021</v>
      </c>
      <c r="F10" s="258" t="e">
        <f>IF(F5="","",(F5-F7))</f>
        <v>#DIV/0!</v>
      </c>
    </row>
    <row r="11" spans="1:9" ht="15" customHeight="1">
      <c r="A11" s="483"/>
      <c r="B11" s="484"/>
      <c r="C11" s="487"/>
      <c r="D11" s="487"/>
      <c r="E11" s="224" t="str">
        <f>CONCATENATE("SFY ",'2. Getting Started'!B$6," Exceptions")</f>
        <v>SFY 2021 Exceptions</v>
      </c>
      <c r="F11" s="258" t="e">
        <f>IF(F6="","",('6. Year 1 Exc &amp; Adj'!I67/F6))</f>
        <v>#DIV/0!</v>
      </c>
    </row>
    <row r="12" spans="1:9" ht="15" customHeight="1">
      <c r="A12" s="483"/>
      <c r="B12" s="484"/>
      <c r="C12" s="487"/>
      <c r="D12" s="487"/>
      <c r="E12" s="224" t="str">
        <f>CONCATENATE("SFY ",'2. Getting Started'!B$6," Adjustment")</f>
        <v>SFY 2021 Adjustment</v>
      </c>
      <c r="F12" s="258" t="e">
        <f>IF(F6="","",(AdjDataYear1Expenditures[[Adjustment ]]/F6))</f>
        <v>#DIV/0!</v>
      </c>
    </row>
    <row r="13" spans="1:9" ht="15" customHeight="1">
      <c r="A13" s="483"/>
      <c r="B13" s="484"/>
      <c r="C13" s="487"/>
      <c r="D13" s="487"/>
      <c r="E13" s="224" t="str">
        <f>CONCATENATE("Adjusted MOE Threshold for SFY ",'2. Getting Started'!B$6)</f>
        <v>Adjusted MOE Threshold for SFY 2021</v>
      </c>
      <c r="F13" s="258" t="e">
        <f>IF(F10="","",(F10-F11-F12))</f>
        <v>#DIV/0!</v>
      </c>
    </row>
    <row r="14" spans="1:9" ht="15" customHeight="1">
      <c r="A14" s="483"/>
      <c r="B14" s="484"/>
      <c r="C14" s="487"/>
      <c r="D14" s="487"/>
      <c r="E14" s="224" t="str">
        <f>CONCATENATE("Final Expenditures for SFY ",'2. Getting Started'!B$6)</f>
        <v>Final Expenditures for SFY 2021</v>
      </c>
      <c r="F14" s="258" t="e">
        <f>IF('5. Year 1 Amounts'!K30="","",'5. Year 1 Amounts'!K31)</f>
        <v>#DIV/0!</v>
      </c>
    </row>
    <row r="15" spans="1:9" ht="15" customHeight="1">
      <c r="A15" s="485"/>
      <c r="B15" s="486"/>
      <c r="C15" s="487"/>
      <c r="D15" s="487"/>
      <c r="E15" s="275" t="str">
        <f>CONCATENATE("MOE Result for SFY ",'2. Getting Started'!B$6)</f>
        <v>MOE Result for SFY 2021</v>
      </c>
      <c r="F15" s="285" t="e">
        <f>IF(F14="","",IF(F14&gt;=F13,"Met","Did Not Meet"))</f>
        <v>#DIV/0!</v>
      </c>
    </row>
    <row r="16" spans="1:9" ht="15" customHeight="1">
      <c r="A16" s="479" t="s">
        <v>174</v>
      </c>
      <c r="B16" s="479"/>
      <c r="C16" s="487"/>
      <c r="D16" s="487"/>
      <c r="E16" s="479" t="s">
        <v>174</v>
      </c>
      <c r="F16" s="479"/>
    </row>
    <row r="17" spans="1:9" ht="15.75" customHeight="1">
      <c r="A17" s="5" t="str">
        <f>CONCATENATE("Year 2: SFY ",'2. Getting Started'!B$6+1)</f>
        <v>Year 2: SFY 2022</v>
      </c>
      <c r="B17" s="4"/>
      <c r="C17" s="487"/>
      <c r="D17" s="487"/>
      <c r="E17" s="5" t="str">
        <f>CONCATENATE("Year 2: SFY ",'2. Getting Started'!B$6+1)</f>
        <v>Year 2: SFY 2022</v>
      </c>
      <c r="F17" s="4"/>
    </row>
    <row r="18" spans="1:9" ht="15" customHeight="1">
      <c r="A18" s="224" t="str">
        <f>CONCATENATE("Starting MOE Threshold for SFY ",'2. Getting Started'!B$6+1)</f>
        <v>Starting MOE Threshold for SFY 2022</v>
      </c>
      <c r="B18" s="258" t="e">
        <f>IF(B5="","",(B5-B7))</f>
        <v>#DIV/0!</v>
      </c>
      <c r="C18" s="487"/>
      <c r="D18" s="487"/>
      <c r="E18" s="224" t="str">
        <f>CONCATENATE("Starting MOE Threshold for SFY ",'2. Getting Started'!B$6+1)</f>
        <v>Starting MOE Threshold for SFY 2022</v>
      </c>
      <c r="F18" s="258" t="e">
        <f>IF(F15="Met",F14,F13)</f>
        <v>#DIV/0!</v>
      </c>
    </row>
    <row r="19" spans="1:9" ht="15" customHeight="1">
      <c r="A19" s="224" t="str">
        <f>CONCATENATE("SFY ",'2. Getting Started'!B$6," + ",'2. Getting Started'!B$6+1," Projected Exceptions")</f>
        <v>SFY 2021 + 2022 Projected Exceptions</v>
      </c>
      <c r="B19" s="258" t="e">
        <f>IF(B6="","",(('6. Year 1 Exc &amp; Adj'!B67+'9. Year 2 Exc &amp; Adj'!B67)/B6))</f>
        <v>#N/A</v>
      </c>
      <c r="C19" s="487"/>
      <c r="D19" s="487"/>
      <c r="E19" s="224" t="str">
        <f>CONCATENATE("SFY ",'2. Getting Started'!B$6+1," Exceptions")</f>
        <v>SFY 2022 Exceptions</v>
      </c>
      <c r="F19" s="258" t="e">
        <f>IF(F6="","",('9. Year 2 Exc &amp; Adj'!I67/I19))</f>
        <v>#N/A</v>
      </c>
      <c r="H19" t="s">
        <v>118</v>
      </c>
      <c r="I19" t="e">
        <f>IF(F15="Met",'5. Year 1 Amounts'!I1,F6)</f>
        <v>#DIV/0!</v>
      </c>
    </row>
    <row r="20" spans="1:9" ht="15" customHeight="1">
      <c r="A20" s="224" t="str">
        <f>CONCATENATE("SFY ",'2. Getting Started'!B$6," + ",'2. Getting Started'!B$6+1," Projected Adjustments")</f>
        <v>SFY 2021 + 2022 Projected Adjustments</v>
      </c>
      <c r="B20" s="258" t="e">
        <f>IF(B6="","",((AdjDataYear1Budget[Projected Adjustment]+AdjDataYear2Budget[Projected Adjustment])/B6))</f>
        <v>#DIV/0!</v>
      </c>
      <c r="C20" s="487"/>
      <c r="D20" s="487"/>
      <c r="E20" s="224" t="str">
        <f>CONCATENATE("SFY ",'2. Getting Started'!B$6+1," Adjustment")</f>
        <v>SFY 2022 Adjustment</v>
      </c>
      <c r="F20" s="258" t="e">
        <f>IF(F6="","",(AdjDataYear2Expenditures[[Adjustment ]]/I19))</f>
        <v>#DIV/0!</v>
      </c>
    </row>
    <row r="21" spans="1:9" ht="15" customHeight="1">
      <c r="A21" s="224" t="str">
        <f>CONCATENATE("Adjusted MOE Threshold for SFY ",'2. Getting Started'!B$6+1)</f>
        <v>Adjusted MOE Threshold for SFY 2022</v>
      </c>
      <c r="B21" s="258" t="e">
        <f>IF(B18="","",(B18-B19-B20))</f>
        <v>#DIV/0!</v>
      </c>
      <c r="C21" s="487"/>
      <c r="D21" s="487"/>
      <c r="E21" s="224" t="str">
        <f>CONCATENATE("Adjusted MOE Threshold for SFY ",'2. Getting Started'!B$6+1)</f>
        <v>Adjusted MOE Threshold for SFY 2022</v>
      </c>
      <c r="F21" s="258" t="e">
        <f>IF(F18="","",(F18-F19-F20))</f>
        <v>#DIV/0!</v>
      </c>
    </row>
    <row r="22" spans="1:9" ht="15" customHeight="1">
      <c r="A22" s="224" t="str">
        <f>CONCATENATE("Budgeted Amount for SFY ",'2. Getting Started'!B$6+1)</f>
        <v>Budgeted Amount for SFY 2022</v>
      </c>
      <c r="B22" s="258" t="e">
        <f>'8. Year 2 Amounts'!D31</f>
        <v>#N/A</v>
      </c>
      <c r="C22" s="487"/>
      <c r="D22" s="487"/>
      <c r="E22" s="224" t="str">
        <f>CONCATENATE("Final Expenditures for SFY ",'2. Getting Started'!B$6+1)</f>
        <v>Final Expenditures for SFY 2022</v>
      </c>
      <c r="F22" s="258" t="e">
        <f>'8. Year 2 Amounts'!K31</f>
        <v>#N/A</v>
      </c>
    </row>
    <row r="23" spans="1:9" ht="15" customHeight="1">
      <c r="A23" s="275" t="str">
        <f>CONCATENATE("MOE Result for SFY ",'2. Getting Started'!B$6+1)</f>
        <v>MOE Result for SFY 2022</v>
      </c>
      <c r="B23" s="285" t="e">
        <f>IF(B22="","",IF(B22&gt;=B21,"Met","Did Not Meet"))</f>
        <v>#N/A</v>
      </c>
      <c r="C23" s="487"/>
      <c r="D23" s="487"/>
      <c r="E23" s="275" t="str">
        <f>CONCATENATE("MOE Result for SFY ",'2. Getting Started'!B$6+1)</f>
        <v>MOE Result for SFY 2022</v>
      </c>
      <c r="F23" s="285" t="e">
        <f>IF(F22="","",IF(F22&gt;=F21,"Met","Did Not Meet"))</f>
        <v>#N/A</v>
      </c>
    </row>
    <row r="24" spans="1:9" ht="15" customHeight="1">
      <c r="A24" s="479" t="s">
        <v>174</v>
      </c>
      <c r="B24" s="479"/>
      <c r="C24" s="487"/>
      <c r="D24" s="487"/>
      <c r="E24" s="479" t="s">
        <v>174</v>
      </c>
      <c r="F24" s="479"/>
    </row>
    <row r="25" spans="1:9" ht="15.75" customHeight="1">
      <c r="A25" s="5" t="str">
        <f>CONCATENATE("Year 3: SFY ",'2. Getting Started'!B$6+2)</f>
        <v>Year 3: SFY 2023</v>
      </c>
      <c r="B25" s="4"/>
      <c r="C25" s="487"/>
      <c r="D25" s="487"/>
      <c r="E25" s="5" t="str">
        <f>CONCATENATE("Year 3: SFY ",'2. Getting Started'!B$6+2)</f>
        <v>Year 3: SFY 2023</v>
      </c>
      <c r="F25" s="4"/>
    </row>
    <row r="26" spans="1:9" ht="15" customHeight="1">
      <c r="A26" s="224" t="str">
        <f>CONCATENATE("Starting MOE Threshold for SFY ",'2. Getting Started'!B$6+2)</f>
        <v>Starting MOE Threshold for SFY 2023</v>
      </c>
      <c r="B26" s="258" t="e">
        <f>IF(F15="Met",F14,F13)</f>
        <v>#DIV/0!</v>
      </c>
      <c r="C26" s="487"/>
      <c r="D26" s="487"/>
      <c r="E26" s="224" t="str">
        <f>CONCATENATE("Starting MOE Threshold for SFY ",'2. Getting Started'!B$6+2)</f>
        <v>Starting MOE Threshold for SFY 2023</v>
      </c>
      <c r="F26" s="258" t="e">
        <f>IF(F23="Met",F22,F21)</f>
        <v>#N/A</v>
      </c>
    </row>
    <row r="27" spans="1:9" ht="15" customHeight="1">
      <c r="A27" s="224" t="str">
        <f>CONCATENATE("SFY ",'2. Getting Started'!B$6+1," + ",'2. Getting Started'!B$6+2," Projected Exceptions")</f>
        <v>SFY 2022 + 2023 Projected Exceptions</v>
      </c>
      <c r="B27" s="258" t="e">
        <f>IF(B6="","",(('9. Year 2 Exc &amp; Adj'!B67+'12. Year 3 Exc &amp; Adj'!B67)/I19))</f>
        <v>#N/A</v>
      </c>
      <c r="C27" s="487"/>
      <c r="D27" s="487"/>
      <c r="E27" s="224" t="str">
        <f>CONCATENATE("SFY ",'2. Getting Started'!B$6+2," Exceptions")</f>
        <v>SFY 2023 Exceptions</v>
      </c>
      <c r="F27" s="258" t="e">
        <f>IF(F6="","",('12. Year 3 Exc &amp; Adj'!I67/I27))</f>
        <v>#N/A</v>
      </c>
      <c r="H27" t="s">
        <v>118</v>
      </c>
      <c r="I27" t="e">
        <f>IF(F23="Met",'8. Year 2 Amounts'!I1,IF(F15="Met",'5. Year 1 Amounts'!I1,F6))</f>
        <v>#N/A</v>
      </c>
    </row>
    <row r="28" spans="1:9" ht="15" customHeight="1">
      <c r="A28" s="224" t="str">
        <f>CONCATENATE("SFY ",'2. Getting Started'!B$6+1," + ",'2. Getting Started'!B$6+2," Projected Adjustments")</f>
        <v>SFY 2022 + 2023 Projected Adjustments</v>
      </c>
      <c r="B28" s="258" t="e">
        <f>IF(B6="","",((AdjDataYear2Budget[Projected Adjustment]+AdjDataYear3Budget[Projected Adjustment])/I19))</f>
        <v>#DIV/0!</v>
      </c>
      <c r="C28" s="487"/>
      <c r="D28" s="487"/>
      <c r="E28" s="224" t="str">
        <f>CONCATENATE("SFY ",'2. Getting Started'!B$6+2," Adjustment")</f>
        <v>SFY 2023 Adjustment</v>
      </c>
      <c r="F28" s="258" t="e">
        <f>IF(F6="","",(AdjDataYear3Expenditures[[Adjustment ]]/I19))</f>
        <v>#DIV/0!</v>
      </c>
    </row>
    <row r="29" spans="1:9" ht="15" customHeight="1">
      <c r="A29" s="224" t="str">
        <f>CONCATENATE("Adjusted MOE Threshold for SFY ",'2. Getting Started'!B$6+2)</f>
        <v>Adjusted MOE Threshold for SFY 2023</v>
      </c>
      <c r="B29" s="258" t="e">
        <f>IF(B26="","",(B26-B27-B28))</f>
        <v>#DIV/0!</v>
      </c>
      <c r="C29" s="487"/>
      <c r="D29" s="487"/>
      <c r="E29" s="224" t="str">
        <f>CONCATENATE("Adjusted MOE Threshold for SFY ",'2. Getting Started'!B$6+2)</f>
        <v>Adjusted MOE Threshold for SFY 2023</v>
      </c>
      <c r="F29" s="258" t="e">
        <f>IF(F26="","",(F26-F27-F28))</f>
        <v>#N/A</v>
      </c>
    </row>
    <row r="30" spans="1:9" ht="15" customHeight="1">
      <c r="A30" s="224" t="str">
        <f>CONCATENATE("Budgeted Amount for SFY ",'2. Getting Started'!B$6+2)</f>
        <v>Budgeted Amount for SFY 2023</v>
      </c>
      <c r="B30" s="258" t="str">
        <f>'11. Year 3 Amounts'!D31</f>
        <v/>
      </c>
      <c r="C30" s="487"/>
      <c r="D30" s="487"/>
      <c r="E30" s="224" t="str">
        <f>CONCATENATE("Final Expenditures for SFY ",'2. Getting Started'!B$6+2)</f>
        <v>Final Expenditures for SFY 2023</v>
      </c>
      <c r="F30" s="258" t="str">
        <f>'11. Year 3 Amounts'!K31</f>
        <v/>
      </c>
    </row>
    <row r="31" spans="1:9" ht="15" customHeight="1">
      <c r="A31" s="275" t="str">
        <f>CONCATENATE("MOE Result for SFY ",'2. Getting Started'!B$6+2)</f>
        <v>MOE Result for SFY 2023</v>
      </c>
      <c r="B31" s="285" t="str">
        <f>IF(B30="","",IF(B30&gt;=B29,"Met","Did Not Meet"))</f>
        <v/>
      </c>
      <c r="C31" s="487"/>
      <c r="D31" s="487"/>
      <c r="E31" s="275" t="str">
        <f>CONCATENATE("MOE Result for SFY ",'2. Getting Started'!B$6+2)</f>
        <v>MOE Result for SFY 2023</v>
      </c>
      <c r="F31" s="285" t="str">
        <f>IF(F30="","",IF(F30&gt;=F29,"Met","Did Not Meet"))</f>
        <v/>
      </c>
    </row>
    <row r="32" spans="1:9" ht="15" customHeight="1">
      <c r="A32" s="479" t="s">
        <v>174</v>
      </c>
      <c r="B32" s="479"/>
      <c r="C32" s="487"/>
      <c r="D32" s="487"/>
      <c r="E32" s="479" t="s">
        <v>174</v>
      </c>
      <c r="F32" s="479"/>
    </row>
    <row r="33" spans="1:9" ht="15.75" customHeight="1">
      <c r="A33" s="5" t="str">
        <f>CONCATENATE("Year 4: SFY ",'2. Getting Started'!B$6+3)</f>
        <v>Year 4: SFY 2024</v>
      </c>
      <c r="B33" s="4"/>
      <c r="C33" s="487"/>
      <c r="D33" s="487"/>
      <c r="E33" s="5" t="str">
        <f>CONCATENATE("Year 4: SFY ",'2. Getting Started'!B$6+3)</f>
        <v>Year 4: SFY 2024</v>
      </c>
      <c r="F33" s="4"/>
    </row>
    <row r="34" spans="1:9" ht="15" customHeight="1">
      <c r="A34" s="224" t="str">
        <f>CONCATENATE("Starting MOE Threshold for SFY ",'2. Getting Started'!B$6+3)</f>
        <v>Starting MOE Threshold for SFY 2024</v>
      </c>
      <c r="B34" s="258" t="e">
        <f>IF(F23="Met",F22,F21)</f>
        <v>#N/A</v>
      </c>
      <c r="C34" s="487"/>
      <c r="D34" s="487"/>
      <c r="E34" s="224" t="str">
        <f>CONCATENATE("Starting MOE Threshold for SFY ",'2. Getting Started'!B$6+3)</f>
        <v>Starting MOE Threshold for SFY 2024</v>
      </c>
      <c r="F34" s="258" t="e">
        <f>IF(F31="Met",F30,F29)</f>
        <v>#N/A</v>
      </c>
    </row>
    <row r="35" spans="1:9" ht="15" customHeight="1">
      <c r="A35" s="224" t="str">
        <f>CONCATENATE("SFY ",'2. Getting Started'!B$6+2," + ",'2. Getting Started'!B$6+3," Projected Exceptions")</f>
        <v>SFY 2023 + 2024 Projected Exceptions</v>
      </c>
      <c r="B35" s="258" t="e">
        <f>IF(B6="","",(('12. Year 3 Exc &amp; Adj'!B67+'15. Year 4 Exc &amp; Adj'!B67)/I27))</f>
        <v>#N/A</v>
      </c>
      <c r="C35" s="487"/>
      <c r="D35" s="487"/>
      <c r="E35" s="224" t="str">
        <f>CONCATENATE("SFY ",'2. Getting Started'!B$6+3," Exceptions")</f>
        <v>SFY 2024 Exceptions</v>
      </c>
      <c r="F35" s="258" t="e">
        <f>IF(F6="","",('15. Year 4 Exc &amp; Adj'!I67/I35))</f>
        <v>#N/A</v>
      </c>
      <c r="H35" t="s">
        <v>118</v>
      </c>
      <c r="I35" t="e">
        <f>IF(F31="Met",'11. Year 3 Amounts'!I1,IF(F23="Met",'8. Year 2 Amounts'!I1,IF(F15="Met",'5. Year 1 Amounts'!I1,F6)))</f>
        <v>#N/A</v>
      </c>
    </row>
    <row r="36" spans="1:9" ht="15" customHeight="1">
      <c r="A36" s="224" t="str">
        <f>CONCATENATE("SFY ",'2. Getting Started'!B$6+2," + ",'2. Getting Started'!B$6+3," Projected Adjustments")</f>
        <v>SFY 2023 + 2024 Projected Adjustments</v>
      </c>
      <c r="B36" s="258" t="e">
        <f>IF(B6="","",((AdjDataYear3Budget[Projected Adjustment]+AdjDataYear4Budget[Projected Adjustment])/I27))</f>
        <v>#N/A</v>
      </c>
      <c r="C36" s="487"/>
      <c r="D36" s="487"/>
      <c r="E36" s="224" t="str">
        <f>CONCATENATE("SFY ",'2. Getting Started'!B$6+3," Adjustment")</f>
        <v>SFY 2024 Adjustment</v>
      </c>
      <c r="F36" s="258" t="e">
        <f>IF(F6="","",(AdjDataYear4Expenditures[[Adjustment ]]/I35))</f>
        <v>#N/A</v>
      </c>
    </row>
    <row r="37" spans="1:9" ht="15" customHeight="1">
      <c r="A37" s="224" t="str">
        <f>CONCATENATE("Adjusted MOE Threshold for SFY ",'2. Getting Started'!B$6+3)</f>
        <v>Adjusted MOE Threshold for SFY 2024</v>
      </c>
      <c r="B37" s="258" t="e">
        <f>IF(B34="","",(B34-B35-B36))</f>
        <v>#N/A</v>
      </c>
      <c r="C37" s="487"/>
      <c r="D37" s="487"/>
      <c r="E37" s="224" t="str">
        <f>CONCATENATE("Adjusted MOE Threshold for SFY ",'2. Getting Started'!B$6+3)</f>
        <v>Adjusted MOE Threshold for SFY 2024</v>
      </c>
      <c r="F37" s="258" t="e">
        <f>IF(F34="","",(F34-F35-F36))</f>
        <v>#N/A</v>
      </c>
    </row>
    <row r="38" spans="1:9" ht="15" customHeight="1">
      <c r="A38" s="224" t="str">
        <f>CONCATENATE("Budgeted Amount for SFY ",'2. Getting Started'!B$6+3)</f>
        <v>Budgeted Amount for SFY 2024</v>
      </c>
      <c r="B38" s="258" t="str">
        <f>'14. Year 4 Amounts'!D31</f>
        <v/>
      </c>
      <c r="C38" s="487"/>
      <c r="D38" s="487"/>
      <c r="E38" s="224" t="str">
        <f>CONCATENATE("Final Expenditures for SFY ",'2. Getting Started'!B$6+3)</f>
        <v>Final Expenditures for SFY 2024</v>
      </c>
      <c r="F38" s="258" t="str">
        <f>'14. Year 4 Amounts'!K31</f>
        <v/>
      </c>
    </row>
    <row r="39" spans="1:9" ht="15" customHeight="1">
      <c r="A39" s="275" t="str">
        <f>CONCATENATE("MOE Result for SFY ",'2. Getting Started'!B$6+3)</f>
        <v>MOE Result for SFY 2024</v>
      </c>
      <c r="B39" s="285" t="str">
        <f>IF(B38="","",IF(B38&gt;=B37,"Met","Did Not Meet"))</f>
        <v/>
      </c>
      <c r="C39" s="487"/>
      <c r="D39" s="487"/>
      <c r="E39" s="275" t="str">
        <f>CONCATENATE("MOE Result for SFY ",'2. Getting Started'!B$6+3)</f>
        <v>MOE Result for SFY 2024</v>
      </c>
      <c r="F39" s="285" t="str">
        <f>IF(F38="","",IF(F38&gt;=F37,"Met","Did Not Meet"))</f>
        <v/>
      </c>
    </row>
    <row r="40" spans="1:9" ht="15" customHeight="1">
      <c r="A40" s="479" t="s">
        <v>174</v>
      </c>
      <c r="B40" s="479"/>
      <c r="C40" s="487"/>
      <c r="D40" s="487"/>
      <c r="E40" s="479" t="s">
        <v>174</v>
      </c>
      <c r="F40" s="479"/>
    </row>
    <row r="41" spans="1:9" ht="15.75" customHeight="1">
      <c r="A41" s="5" t="str">
        <f>CONCATENATE("Year 5: SFY ",'2. Getting Started'!B$6+4)</f>
        <v>Year 5: SFY 2025</v>
      </c>
      <c r="B41" s="4"/>
      <c r="C41" s="487"/>
      <c r="D41" s="487"/>
      <c r="E41" s="5" t="str">
        <f>CONCATENATE("Year 5: SFY ",'2. Getting Started'!B$6+4)</f>
        <v>Year 5: SFY 2025</v>
      </c>
      <c r="F41" s="4"/>
    </row>
    <row r="42" spans="1:9" ht="15" customHeight="1">
      <c r="A42" s="224" t="str">
        <f>CONCATENATE("Starting MOE Threshold for SFY ",'2. Getting Started'!B$6+4)</f>
        <v>Starting MOE Threshold for SFY 2025</v>
      </c>
      <c r="B42" s="258" t="e">
        <f>IF(F31="Met",F30,F29)</f>
        <v>#N/A</v>
      </c>
      <c r="C42" s="487"/>
      <c r="D42" s="487"/>
      <c r="E42" s="224" t="str">
        <f>CONCATENATE("Starting MOE Threshold for SFY ",'2. Getting Started'!B$6+4)</f>
        <v>Starting MOE Threshold for SFY 2025</v>
      </c>
      <c r="F42" s="258" t="e">
        <f>IF(F39="Met",F38,F37)</f>
        <v>#N/A</v>
      </c>
    </row>
    <row r="43" spans="1:9" ht="15" customHeight="1">
      <c r="A43" s="224" t="str">
        <f>CONCATENATE("SFY ",'2. Getting Started'!B$6+3," + ",'2. Getting Started'!B$6+4," Projected Exceptions")</f>
        <v>SFY 2024 + 2025 Projected Exceptions</v>
      </c>
      <c r="B43" s="258" t="e">
        <f>IF(B6="","",(('15. Year 4 Exc &amp; Adj'!B67+'18. Year 5 Exc &amp; Adj'!B67)/I35))</f>
        <v>#N/A</v>
      </c>
      <c r="C43" s="487"/>
      <c r="D43" s="487"/>
      <c r="E43" s="224" t="str">
        <f>CONCATENATE("SFY ",'2. Getting Started'!B$6+4," Exceptions")</f>
        <v>SFY 2025 Exceptions</v>
      </c>
      <c r="F43" s="258" t="e">
        <f>IF(F6="","",('18. Year 5 Exc &amp; Adj'!I67/I43))</f>
        <v>#N/A</v>
      </c>
      <c r="H43" t="s">
        <v>118</v>
      </c>
      <c r="I43" t="e">
        <f>IF(F39="Met",'14. Year 4 Amounts'!I1,IF(F31="Met",'11. Year 3 Amounts'!I1,IF(F23="Met",'8. Year 2 Amounts'!I1,IF(F15="Met",'5. Year 1 Amounts'!I1,F6))))</f>
        <v>#N/A</v>
      </c>
    </row>
    <row r="44" spans="1:9" ht="15" customHeight="1">
      <c r="A44" s="224" t="str">
        <f>CONCATENATE("SFY ",'2. Getting Started'!B$6+3," + ",'2. Getting Started'!B$6+4," Projected Adjustments")</f>
        <v>SFY 2024 + 2025 Projected Adjustments</v>
      </c>
      <c r="B44" s="258" t="e">
        <f>IF(B6="","",((AdjDataYear4Budget[Projected Adjustment]+AdjDataYear5Budget[Projected Adjustment])/I35))</f>
        <v>#N/A</v>
      </c>
      <c r="C44" s="487"/>
      <c r="D44" s="487"/>
      <c r="E44" s="224" t="str">
        <f>CONCATENATE("SFY ",'2. Getting Started'!B$6+4," Adjustment")</f>
        <v>SFY 2025 Adjustment</v>
      </c>
      <c r="F44" s="258" t="e">
        <f>IF(F6="","",(AdjDataYear5Expenditures[[Adjustment ]]/I43))</f>
        <v>#N/A</v>
      </c>
    </row>
    <row r="45" spans="1:9" ht="15" customHeight="1">
      <c r="A45" s="224" t="str">
        <f>CONCATENATE("Adjusted MOE Threshold for SFY ",'2. Getting Started'!B$6+4)</f>
        <v>Adjusted MOE Threshold for SFY 2025</v>
      </c>
      <c r="B45" s="258" t="e">
        <f>IF(B42="","",(B42-B43-B44))</f>
        <v>#N/A</v>
      </c>
      <c r="C45" s="487"/>
      <c r="D45" s="487"/>
      <c r="E45" s="224" t="str">
        <f>CONCATENATE("Adjusted MOE Threshold for SFY ",'2. Getting Started'!B$6+4)</f>
        <v>Adjusted MOE Threshold for SFY 2025</v>
      </c>
      <c r="F45" s="258" t="e">
        <f>IF(F42="","",(F42-F43-F44))</f>
        <v>#N/A</v>
      </c>
    </row>
    <row r="46" spans="1:9" ht="15" customHeight="1">
      <c r="A46" s="224" t="str">
        <f>CONCATENATE("Budgeted Amount for SFY ",'2. Getting Started'!B$6+4)</f>
        <v>Budgeted Amount for SFY 2025</v>
      </c>
      <c r="B46" s="258" t="str">
        <f>'17. Year 5 Amounts'!D31</f>
        <v/>
      </c>
      <c r="C46" s="487"/>
      <c r="D46" s="487"/>
      <c r="E46" s="224" t="str">
        <f>CONCATENATE("Final Expenditures for SFY ",'2. Getting Started'!B$6+4)</f>
        <v>Final Expenditures for SFY 2025</v>
      </c>
      <c r="F46" s="258" t="str">
        <f>'17. Year 5 Amounts'!K31</f>
        <v/>
      </c>
    </row>
    <row r="47" spans="1:9" ht="15" customHeight="1">
      <c r="A47" s="275" t="str">
        <f>CONCATENATE("MOE Result for SFY ",'2. Getting Started'!B$6+4)</f>
        <v>MOE Result for SFY 2025</v>
      </c>
      <c r="B47" s="285" t="str">
        <f>IF(B46="","",IF(B46&gt;=B45,"Met","Did Not Meet"))</f>
        <v/>
      </c>
      <c r="C47" s="487"/>
      <c r="D47" s="487"/>
      <c r="E47" s="275" t="str">
        <f>CONCATENATE("MOE Result for SFY ",'2. Getting Started'!B$6+4)</f>
        <v>MOE Result for SFY 2025</v>
      </c>
      <c r="F47" s="285" t="str">
        <f>IF(F46="","",IF(F46&gt;=F45,"Met","Did Not Meet"))</f>
        <v/>
      </c>
    </row>
    <row r="48" spans="1:9" ht="15" customHeight="1">
      <c r="A48" s="479" t="s">
        <v>174</v>
      </c>
      <c r="B48" s="479"/>
      <c r="C48" s="487"/>
      <c r="D48" s="487"/>
      <c r="E48" s="479" t="s">
        <v>174</v>
      </c>
      <c r="F48" s="479"/>
    </row>
    <row r="49" spans="1:9" ht="15.75" customHeight="1">
      <c r="A49" s="5" t="str">
        <f>CONCATENATE("Year 6: SFY ",'2. Getting Started'!B$6+5)</f>
        <v>Year 6: SFY 2026</v>
      </c>
      <c r="B49" s="4"/>
      <c r="C49" s="487"/>
      <c r="D49" s="487"/>
      <c r="E49" s="5" t="str">
        <f>CONCATENATE("Year 6: SFY ",'2. Getting Started'!B$6+5)</f>
        <v>Year 6: SFY 2026</v>
      </c>
      <c r="F49" s="4"/>
    </row>
    <row r="50" spans="1:9" ht="15" customHeight="1">
      <c r="A50" s="224" t="str">
        <f>CONCATENATE("Starting MOE Threshold for SFY ",'2. Getting Started'!B$6+5)</f>
        <v>Starting MOE Threshold for SFY 2026</v>
      </c>
      <c r="B50" s="258" t="e">
        <f>IF(F39="Met",F38,F37)</f>
        <v>#N/A</v>
      </c>
      <c r="C50" s="487"/>
      <c r="D50" s="487"/>
      <c r="E50" s="224" t="str">
        <f>CONCATENATE("Starting MOE Threshold for SFY ",'2. Getting Started'!B$6+5)</f>
        <v>Starting MOE Threshold for SFY 2026</v>
      </c>
      <c r="F50" s="258" t="e">
        <f>IF(F47="Met",F46,F45)</f>
        <v>#N/A</v>
      </c>
    </row>
    <row r="51" spans="1:9" ht="15" customHeight="1">
      <c r="A51" s="224" t="str">
        <f>CONCATENATE("SFY ",'2. Getting Started'!B$6+4," + ",'2. Getting Started'!B$6+5," Projected Exceptions")</f>
        <v>SFY 2025 + 2026 Projected Exceptions</v>
      </c>
      <c r="B51" s="258" t="e">
        <f>IF(B6="","",(('18. Year 5 Exc &amp; Adj'!B67+'21. Year 6 Exc &amp; Adj'!B67)/I43))</f>
        <v>#N/A</v>
      </c>
      <c r="C51" s="487"/>
      <c r="D51" s="487"/>
      <c r="E51" s="224" t="str">
        <f>CONCATENATE("SFY ",'2. Getting Started'!B$6+5," Exceptions")</f>
        <v>SFY 2026 Exceptions</v>
      </c>
      <c r="F51" s="258" t="e">
        <f>IF(F6="","",('21. Year 6 Exc &amp; Adj'!I67/I51))</f>
        <v>#N/A</v>
      </c>
      <c r="H51" t="s">
        <v>118</v>
      </c>
      <c r="I51" t="e">
        <f>IF(F47="Met",'17. Year 5 Amounts'!I1,IF(F39="Met",'14. Year 4 Amounts'!I1,IF(F31="Met",'11. Year 3 Amounts'!I1,IF(F23="Met",'8. Year 2 Amounts'!I1,IF(F15="Met",'5. Year 1 Amounts'!I1,F6)))))</f>
        <v>#N/A</v>
      </c>
    </row>
    <row r="52" spans="1:9" ht="15" customHeight="1">
      <c r="A52" s="224" t="str">
        <f>CONCATENATE("SFY ",'2. Getting Started'!B$6+4," + ",'2. Getting Started'!B$6+5," Projected Adjustments")</f>
        <v>SFY 2025 + 2026 Projected Adjustments</v>
      </c>
      <c r="B52" s="258" t="e">
        <f>IF(B6="","",((AdjDataYear5Budget[Projected Adjustment]+AdjDataYear6Budget[Projected Adjustment])/I43))</f>
        <v>#N/A</v>
      </c>
      <c r="C52" s="487"/>
      <c r="D52" s="487"/>
      <c r="E52" s="224" t="str">
        <f>CONCATENATE("SFY ",'2. Getting Started'!B$6+5," Adjustment")</f>
        <v>SFY 2026 Adjustment</v>
      </c>
      <c r="F52" s="258" t="e">
        <f>IF(F6="","",(AdjDataYear6Expenditures[[Adjustment ]]/I51))</f>
        <v>#N/A</v>
      </c>
    </row>
    <row r="53" spans="1:9" ht="15" customHeight="1">
      <c r="A53" s="224" t="str">
        <f>CONCATENATE("Adjusted MOE Threshold for SFY ",'2. Getting Started'!B$6+5)</f>
        <v>Adjusted MOE Threshold for SFY 2026</v>
      </c>
      <c r="B53" s="258" t="e">
        <f>IF(B50="","",(B50-B51-B52))</f>
        <v>#N/A</v>
      </c>
      <c r="C53" s="487"/>
      <c r="D53" s="487"/>
      <c r="E53" s="224" t="str">
        <f>CONCATENATE("Adjusted MOE Threshold for SFY ",'2. Getting Started'!B$6+5)</f>
        <v>Adjusted MOE Threshold for SFY 2026</v>
      </c>
      <c r="F53" s="258" t="e">
        <f>IF(F50="","",(F50-F51-F52))</f>
        <v>#N/A</v>
      </c>
    </row>
    <row r="54" spans="1:9" ht="15" customHeight="1">
      <c r="A54" s="224" t="str">
        <f>CONCATENATE("Budgeted Amount for SFY ",'2. Getting Started'!B$6+5)</f>
        <v>Budgeted Amount for SFY 2026</v>
      </c>
      <c r="B54" s="258" t="str">
        <f>'20. Year 6 Amounts'!D31</f>
        <v/>
      </c>
      <c r="C54" s="487"/>
      <c r="D54" s="487"/>
      <c r="E54" s="224" t="str">
        <f>CONCATENATE("Final Expenditures for SFY ",'2. Getting Started'!B$6+5)</f>
        <v>Final Expenditures for SFY 2026</v>
      </c>
      <c r="F54" s="258" t="str">
        <f>'20. Year 6 Amounts'!K31</f>
        <v/>
      </c>
    </row>
    <row r="55" spans="1:9" ht="15" customHeight="1">
      <c r="A55" s="275" t="str">
        <f>CONCATENATE("MOE Result for SFY ",'2. Getting Started'!B$6+5)</f>
        <v>MOE Result for SFY 2026</v>
      </c>
      <c r="B55" s="285" t="str">
        <f>IF(B54="","",IF(B54&gt;=B53,"Met","Did Not Meet"))</f>
        <v/>
      </c>
      <c r="C55" s="487"/>
      <c r="D55" s="487"/>
      <c r="E55" s="275" t="str">
        <f>CONCATENATE("MOE Result for SFY ",'2. Getting Started'!B$6+5)</f>
        <v>MOE Result for SFY 2026</v>
      </c>
      <c r="F55" s="285" t="str">
        <f>IF(F54="","",IF(F54&gt;=F53,"Met","Did Not Meet"))</f>
        <v/>
      </c>
    </row>
    <row r="56" spans="1:9" ht="15" customHeight="1">
      <c r="A56" s="479" t="s">
        <v>174</v>
      </c>
      <c r="B56" s="479"/>
      <c r="C56" s="487"/>
      <c r="D56" s="487"/>
      <c r="E56" s="479" t="s">
        <v>174</v>
      </c>
      <c r="F56" s="479"/>
    </row>
    <row r="57" spans="1:9" ht="15.75" customHeight="1">
      <c r="A57" s="5" t="str">
        <f>CONCATENATE("Year 7: SFY ",'2. Getting Started'!B$6+6)</f>
        <v>Year 7: SFY 2027</v>
      </c>
      <c r="B57" s="4"/>
      <c r="C57" s="487"/>
      <c r="D57" s="487"/>
      <c r="E57" s="5" t="str">
        <f>CONCATENATE("Year 7: SFY ",'2. Getting Started'!B$6+6)</f>
        <v>Year 7: SFY 2027</v>
      </c>
      <c r="F57" s="4"/>
    </row>
    <row r="58" spans="1:9" ht="15" customHeight="1">
      <c r="A58" s="224" t="str">
        <f>CONCATENATE("Starting MOE Threshold for SFY ",'2. Getting Started'!B$6+6)</f>
        <v>Starting MOE Threshold for SFY 2027</v>
      </c>
      <c r="B58" s="258" t="e">
        <f>IF(F47="Met",F46,F45)</f>
        <v>#N/A</v>
      </c>
      <c r="C58" s="487"/>
      <c r="D58" s="487"/>
      <c r="E58" s="224" t="str">
        <f>CONCATENATE("Starting MOE Threshold for SFY ",'2. Getting Started'!B$6+6)</f>
        <v>Starting MOE Threshold for SFY 2027</v>
      </c>
      <c r="F58" s="258" t="e">
        <f>IF(F55="Met",F54,F53)</f>
        <v>#N/A</v>
      </c>
    </row>
    <row r="59" spans="1:9" ht="15" customHeight="1">
      <c r="A59" s="224" t="str">
        <f>CONCATENATE("SFY ",'2. Getting Started'!B$6+5," + ",'2. Getting Started'!B$6+6," Projected Exceptions")</f>
        <v>SFY 2026 + 2027 Projected Exceptions</v>
      </c>
      <c r="B59" s="258" t="e">
        <f>IF(B6="","",(('21. Year 6 Exc &amp; Adj'!B67+'24. Year 7 Exc &amp; Adj'!B67)/I51))</f>
        <v>#N/A</v>
      </c>
      <c r="C59" s="487"/>
      <c r="D59" s="487"/>
      <c r="E59" s="224" t="str">
        <f>CONCATENATE("SFY ",'2. Getting Started'!B$6+6," Exceptions")</f>
        <v>SFY 2027 Exceptions</v>
      </c>
      <c r="F59" s="258" t="e">
        <f>IF(F6="","",('24. Year 7 Exc &amp; Adj'!I67/I59))</f>
        <v>#N/A</v>
      </c>
      <c r="H59" t="s">
        <v>118</v>
      </c>
      <c r="I59" t="e">
        <f>IF(F55="Met",'20. Year 6 Amounts'!I1,IF(F47="Met",'17. Year 5 Amounts'!I1,IF(F39="Met",'14. Year 4 Amounts'!I1,IF(F31="Met",'11. Year 3 Amounts'!I1,IF(F23="Met",'8. Year 2 Amounts'!I1,IF(F15="Met",'5. Year 1 Amounts'!I1,F6))))))</f>
        <v>#N/A</v>
      </c>
    </row>
    <row r="60" spans="1:9" ht="15" customHeight="1">
      <c r="A60" s="224" t="str">
        <f>CONCATENATE("SFY ",'2. Getting Started'!B$6+5," + ",'2. Getting Started'!B$6+6," Projected Adjustments")</f>
        <v>SFY 2026 + 2027 Projected Adjustments</v>
      </c>
      <c r="B60" s="258" t="e">
        <f>IF(B6="","",((AdjDataYear6Budget[Projected Adjustment]+AdjDataYear7Budget[Projected Adjustment])/I51))</f>
        <v>#N/A</v>
      </c>
      <c r="C60" s="487"/>
      <c r="D60" s="487"/>
      <c r="E60" s="224" t="str">
        <f>CONCATENATE("SFY ",'2. Getting Started'!B$6+6," Adjustment")</f>
        <v>SFY 2027 Adjustment</v>
      </c>
      <c r="F60" s="258" t="e">
        <f>IF(F6="","",(AdjDataYear7Expenditures[[Adjustment ]]/I59))</f>
        <v>#N/A</v>
      </c>
    </row>
    <row r="61" spans="1:9" ht="15" customHeight="1">
      <c r="A61" s="224" t="str">
        <f>CONCATENATE("Adjusted MOE Threshold for SFY ",'2. Getting Started'!B$6+6)</f>
        <v>Adjusted MOE Threshold for SFY 2027</v>
      </c>
      <c r="B61" s="258" t="e">
        <f>IF(B58="","",(B58-B59-B60))</f>
        <v>#N/A</v>
      </c>
      <c r="C61" s="487"/>
      <c r="D61" s="487"/>
      <c r="E61" s="224" t="str">
        <f>CONCATENATE("Adjusted MOE Threshold for SFY ",'2. Getting Started'!B$6+6)</f>
        <v>Adjusted MOE Threshold for SFY 2027</v>
      </c>
      <c r="F61" s="258" t="e">
        <f>IF(F58="","",(F58-F59-F60))</f>
        <v>#N/A</v>
      </c>
    </row>
    <row r="62" spans="1:9" ht="15" customHeight="1">
      <c r="A62" s="224" t="str">
        <f>CONCATENATE("Budgeted Amount for SFY ",'2. Getting Started'!B$6+6)</f>
        <v>Budgeted Amount for SFY 2027</v>
      </c>
      <c r="B62" s="258" t="str">
        <f>'23. Year 7 Amounts'!D31</f>
        <v/>
      </c>
      <c r="C62" s="487"/>
      <c r="D62" s="487"/>
      <c r="E62" s="224" t="str">
        <f>CONCATENATE("Final Expenditures for SFY ",'2. Getting Started'!B$6+6)</f>
        <v>Final Expenditures for SFY 2027</v>
      </c>
      <c r="F62" s="258" t="str">
        <f>'23. Year 7 Amounts'!K31</f>
        <v/>
      </c>
    </row>
    <row r="63" spans="1:9" ht="15" customHeight="1">
      <c r="A63" s="275" t="str">
        <f>CONCATENATE("MOE Result for SFY ",'2. Getting Started'!B$6+6)</f>
        <v>MOE Result for SFY 2027</v>
      </c>
      <c r="B63" s="285" t="str">
        <f>IF(B62="","",IF(B62&gt;=B61,"Met","Did Not Meet"))</f>
        <v/>
      </c>
      <c r="C63" s="487"/>
      <c r="D63" s="487"/>
      <c r="E63" s="275" t="str">
        <f>CONCATENATE("MOE Result for SFY ",'2. Getting Started'!B$6+6)</f>
        <v>MOE Result for SFY 2027</v>
      </c>
      <c r="F63" s="285" t="str">
        <f>IF(F62="","",IF(F62&gt;=F61,"Met","Did Not Meet"))</f>
        <v/>
      </c>
    </row>
    <row r="64" spans="1:9" ht="15" customHeight="1">
      <c r="A64" s="479" t="s">
        <v>174</v>
      </c>
      <c r="B64" s="479"/>
      <c r="C64" s="487"/>
      <c r="D64" s="487"/>
      <c r="E64" s="479" t="s">
        <v>174</v>
      </c>
      <c r="F64" s="479"/>
    </row>
    <row r="65" spans="1:9" ht="15.75" customHeight="1">
      <c r="A65" s="5" t="str">
        <f>CONCATENATE("Year 8: SFY ",'2. Getting Started'!B$6+7)</f>
        <v>Year 8: SFY 2028</v>
      </c>
      <c r="B65" s="4"/>
      <c r="C65" s="487"/>
      <c r="D65" s="487"/>
      <c r="E65" s="5" t="str">
        <f>CONCATENATE("Year 8: SFY ",'2. Getting Started'!B$6+7)</f>
        <v>Year 8: SFY 2028</v>
      </c>
      <c r="F65" s="4"/>
    </row>
    <row r="66" spans="1:9" ht="15" customHeight="1">
      <c r="A66" s="224" t="str">
        <f>CONCATENATE("Starting MOE Threshold for SFY ",'2. Getting Started'!B$6+7)</f>
        <v>Starting MOE Threshold for SFY 2028</v>
      </c>
      <c r="B66" s="258" t="e">
        <f>IF(F55="Met",F54,F53)</f>
        <v>#N/A</v>
      </c>
      <c r="C66" s="487"/>
      <c r="D66" s="487"/>
      <c r="E66" s="224" t="str">
        <f>CONCATENATE("Starting MOE Threshold for SFY ",'2. Getting Started'!B$6+7)</f>
        <v>Starting MOE Threshold for SFY 2028</v>
      </c>
      <c r="F66" s="258" t="e">
        <f>IF(F63="Met",F62,F61)</f>
        <v>#N/A</v>
      </c>
    </row>
    <row r="67" spans="1:9" ht="15" customHeight="1">
      <c r="A67" s="224" t="str">
        <f>CONCATENATE("SFY ",'2. Getting Started'!B$6+6," + ",'2. Getting Started'!B$6+7," Projected Exceptions")</f>
        <v>SFY 2027 + 2028 Projected Exceptions</v>
      </c>
      <c r="B67" s="258" t="e">
        <f>IF(B6="","",(('24. Year 7 Exc &amp; Adj'!B67+'27. Year 8 Exc &amp; Adj'!B67)/I59))</f>
        <v>#N/A</v>
      </c>
      <c r="C67" s="487"/>
      <c r="D67" s="487"/>
      <c r="E67" s="224" t="str">
        <f>CONCATENATE("SFY ",'2. Getting Started'!B$6+7," Exceptions")</f>
        <v>SFY 2028 Exceptions</v>
      </c>
      <c r="F67" s="258" t="e">
        <f>IF(F6="","",('27. Year 8 Exc &amp; Adj'!I67/I67))</f>
        <v>#N/A</v>
      </c>
      <c r="H67" t="s">
        <v>118</v>
      </c>
      <c r="I67" t="e">
        <f>IF(F63="Met",'23. Year 7 Amounts'!I1,IF(F55="Met",'20. Year 6 Amounts'!I1,IF(F47="Met",'17. Year 5 Amounts'!I1,IF(F39="Met",'14. Year 4 Amounts'!I1,IF(F31="Met",'11. Year 3 Amounts'!I1,IF(F23="Met",'8. Year 2 Amounts'!I1,IF(F15="Met",'5. Year 1 Amounts'!I1,F6)))))))</f>
        <v>#N/A</v>
      </c>
    </row>
    <row r="68" spans="1:9" ht="15" customHeight="1">
      <c r="A68" s="224" t="str">
        <f>CONCATENATE("SFY ",'2. Getting Started'!B$6+6," + ",'2. Getting Started'!B$6+7," Projected Adjustments")</f>
        <v>SFY 2027 + 2028 Projected Adjustments</v>
      </c>
      <c r="B68" s="258" t="e">
        <f>IF(B6="","",((AdjDataYear7Budget[Projected Adjustment]+AdjDataYear8Budget[Projected Adjustment])/I59))</f>
        <v>#N/A</v>
      </c>
      <c r="C68" s="487"/>
      <c r="D68" s="487"/>
      <c r="E68" s="224" t="str">
        <f>CONCATENATE("SFY ",'2. Getting Started'!B$6+7," Adjustment")</f>
        <v>SFY 2028 Adjustment</v>
      </c>
      <c r="F68" s="258" t="e">
        <f>IF(F6="","",(AdjDataYear8Expenditures[[Adjustment ]]/I67))</f>
        <v>#N/A</v>
      </c>
    </row>
    <row r="69" spans="1:9" ht="15" customHeight="1">
      <c r="A69" s="224" t="str">
        <f>CONCATENATE("Adjusted MOE Threshold for SFY ",'2. Getting Started'!B$6+7)</f>
        <v>Adjusted MOE Threshold for SFY 2028</v>
      </c>
      <c r="B69" s="258" t="e">
        <f>IF(B66="","",(B66-B67-B68))</f>
        <v>#N/A</v>
      </c>
      <c r="C69" s="487"/>
      <c r="D69" s="487"/>
      <c r="E69" s="224" t="str">
        <f>CONCATENATE("Adjusted MOE Threshold for SFY ",'2. Getting Started'!B$6+7)</f>
        <v>Adjusted MOE Threshold for SFY 2028</v>
      </c>
      <c r="F69" s="258" t="e">
        <f>IF(F66="","",(F66-F67-F68))</f>
        <v>#N/A</v>
      </c>
    </row>
    <row r="70" spans="1:9" ht="15" customHeight="1">
      <c r="A70" s="224" t="str">
        <f>CONCATENATE("Budgeted Amount for SFY ",'2. Getting Started'!B$6+7)</f>
        <v>Budgeted Amount for SFY 2028</v>
      </c>
      <c r="B70" s="258" t="str">
        <f>'26. Year 8 Amounts'!D31</f>
        <v/>
      </c>
      <c r="C70" s="487"/>
      <c r="D70" s="487"/>
      <c r="E70" s="224" t="str">
        <f>CONCATENATE("Final Expenditures for SFY ",'2. Getting Started'!B$6+7)</f>
        <v>Final Expenditures for SFY 2028</v>
      </c>
      <c r="F70" s="258" t="str">
        <f>'26. Year 8 Amounts'!K31</f>
        <v/>
      </c>
    </row>
    <row r="71" spans="1:9" ht="15" customHeight="1">
      <c r="A71" s="275" t="str">
        <f>CONCATENATE("MOE Result for SFY ",'2. Getting Started'!B$6+7)</f>
        <v>MOE Result for SFY 2028</v>
      </c>
      <c r="B71" s="285" t="str">
        <f>IF(B70="","",IF(B70&gt;=B69,"Met","Did Not Meet"))</f>
        <v/>
      </c>
      <c r="C71" s="487"/>
      <c r="D71" s="487"/>
      <c r="E71" s="275" t="str">
        <f>CONCATENATE("MOE Result for SFY ",'2. Getting Started'!B$6+7)</f>
        <v>MOE Result for SFY 2028</v>
      </c>
      <c r="F71" s="285" t="str">
        <f>IF(F70="","",IF(F70&gt;=F69,"Met","Did Not Meet"))</f>
        <v/>
      </c>
    </row>
    <row r="72" spans="1:9" ht="15" customHeight="1">
      <c r="A72" s="479" t="s">
        <v>174</v>
      </c>
      <c r="B72" s="479"/>
      <c r="C72" s="487"/>
      <c r="D72" s="487"/>
      <c r="E72" s="479" t="s">
        <v>174</v>
      </c>
      <c r="F72" s="479"/>
    </row>
    <row r="73" spans="1:9" ht="15.75" customHeight="1">
      <c r="A73" s="5" t="str">
        <f>CONCATENATE("Year 9: SFY ",'2. Getting Started'!B$6+8)</f>
        <v>Year 9: SFY 2029</v>
      </c>
      <c r="B73" s="4"/>
      <c r="C73" s="487"/>
      <c r="D73" s="487"/>
      <c r="E73" s="5" t="str">
        <f>CONCATENATE("Year 9: SFY ",'2. Getting Started'!B$6+8)</f>
        <v>Year 9: SFY 2029</v>
      </c>
      <c r="F73" s="4"/>
    </row>
    <row r="74" spans="1:9" ht="15" customHeight="1">
      <c r="A74" s="224" t="str">
        <f>CONCATENATE("Starting MOE Threshold for SFY ",'2. Getting Started'!B$6+8)</f>
        <v>Starting MOE Threshold for SFY 2029</v>
      </c>
      <c r="B74" s="258" t="e">
        <f>IF(F63="Met",F62,F61)</f>
        <v>#N/A</v>
      </c>
      <c r="C74" s="487"/>
      <c r="D74" s="487"/>
      <c r="E74" s="224" t="str">
        <f>CONCATENATE("Starting MOE Threshold for SFY ",'2. Getting Started'!B$6+8)</f>
        <v>Starting MOE Threshold for SFY 2029</v>
      </c>
      <c r="F74" s="258" t="e">
        <f>IF(F71="Met",F70,F69)</f>
        <v>#N/A</v>
      </c>
    </row>
    <row r="75" spans="1:9" ht="15" customHeight="1">
      <c r="A75" s="224" t="str">
        <f>CONCATENATE("SFY ",'2. Getting Started'!B$6+7," + ",'2. Getting Started'!B$6+8," Projected Exceptions")</f>
        <v>SFY 2028 + 2029 Projected Exceptions</v>
      </c>
      <c r="B75" s="258" t="e">
        <f>IF(B6="","",(('27. Year 8 Exc &amp; Adj'!B67+'30. Year 9 Exc &amp; Adj'!B67)/I67))</f>
        <v>#N/A</v>
      </c>
      <c r="C75" s="487"/>
      <c r="D75" s="487"/>
      <c r="E75" s="224" t="str">
        <f>CONCATENATE("SFY ",'2. Getting Started'!B$6+8," Exceptions")</f>
        <v>SFY 2029 Exceptions</v>
      </c>
      <c r="F75" s="258" t="e">
        <f>IF(F6="","",('30. Year 9 Exc &amp; Adj'!I67/I75))</f>
        <v>#N/A</v>
      </c>
      <c r="H75" t="s">
        <v>118</v>
      </c>
      <c r="I75" t="e">
        <f>IF(F71="Met",'26. Year 8 Amounts'!I1,IF(F63="Met",'23. Year 7 Amounts'!I1,IF(F55="Met",'20. Year 6 Amounts'!I1,IF(F47="Met",'17. Year 5 Amounts'!I1,IF(F39="Met",'14. Year 4 Amounts'!I1,IF(F31="Met",'11. Year 3 Amounts'!I1,IF(F23="Met",'8. Year 2 Amounts'!I1,IF(F15="Met",'5. Year 1 Amounts'!I1,F6))))))))</f>
        <v>#N/A</v>
      </c>
    </row>
    <row r="76" spans="1:9" ht="15" customHeight="1">
      <c r="A76" s="224" t="str">
        <f>CONCATENATE("SFY ",'2. Getting Started'!B$6+7," + ",'2. Getting Started'!B$6+8," Projected Adjustments")</f>
        <v>SFY 2028 + 2029 Projected Adjustments</v>
      </c>
      <c r="B76" s="258" t="e">
        <f>IF(B6="","",((AdjDataYear8Budget[Projected Adjustment]+AdjDataYear9Budget[Projected Adjustment])/I67))</f>
        <v>#N/A</v>
      </c>
      <c r="C76" s="487"/>
      <c r="D76" s="487"/>
      <c r="E76" s="224" t="str">
        <f>CONCATENATE("SFY ",'2. Getting Started'!B$6+8," Adjustment")</f>
        <v>SFY 2029 Adjustment</v>
      </c>
      <c r="F76" s="258" t="e">
        <f>IF(F6="","",(AdjDataYear9Expenditures[[Adjustment ]]/I75))</f>
        <v>#N/A</v>
      </c>
    </row>
    <row r="77" spans="1:9" ht="15" customHeight="1">
      <c r="A77" s="224" t="str">
        <f>CONCATENATE("Adjusted MOE Threshold for SFY ",'2. Getting Started'!B$6+8)</f>
        <v>Adjusted MOE Threshold for SFY 2029</v>
      </c>
      <c r="B77" s="258" t="e">
        <f>IF(B74="","",(B74-B75-B76))</f>
        <v>#N/A</v>
      </c>
      <c r="C77" s="487"/>
      <c r="D77" s="487"/>
      <c r="E77" s="224" t="str">
        <f>CONCATENATE("Adjusted MOE Threshold for SFY ",'2. Getting Started'!B$6+8)</f>
        <v>Adjusted MOE Threshold for SFY 2029</v>
      </c>
      <c r="F77" s="258" t="e">
        <f>IF(F74="","",(F74-F75-F76))</f>
        <v>#N/A</v>
      </c>
    </row>
    <row r="78" spans="1:9" ht="15" customHeight="1">
      <c r="A78" s="224" t="str">
        <f>CONCATENATE("Budgeted Amount for SFY ",'2. Getting Started'!B$6+8)</f>
        <v>Budgeted Amount for SFY 2029</v>
      </c>
      <c r="B78" s="258" t="str">
        <f>'29. Year 9 Amounts'!D31</f>
        <v/>
      </c>
      <c r="C78" s="487"/>
      <c r="D78" s="487"/>
      <c r="E78" s="224" t="str">
        <f>CONCATENATE("Final Expenditures for SFY ",'2. Getting Started'!B$6+8)</f>
        <v>Final Expenditures for SFY 2029</v>
      </c>
      <c r="F78" s="258" t="str">
        <f>'29. Year 9 Amounts'!K31</f>
        <v/>
      </c>
    </row>
    <row r="79" spans="1:9" ht="15" customHeight="1">
      <c r="A79" s="275" t="str">
        <f>CONCATENATE("MOE Result for SFY ",'2. Getting Started'!B$6+8)</f>
        <v>MOE Result for SFY 2029</v>
      </c>
      <c r="B79" s="285" t="str">
        <f>IF(B78="","",IF(B78&gt;=B77,"Met","Did Not Meet"))</f>
        <v/>
      </c>
      <c r="C79" s="487"/>
      <c r="D79" s="487"/>
      <c r="E79" s="275" t="str">
        <f>CONCATENATE("MOE Result for SFY ",'2. Getting Started'!B$6+8)</f>
        <v>MOE Result for SFY 2029</v>
      </c>
      <c r="F79" s="285" t="str">
        <f>IF(F78="","",IF(F78&gt;=F77,"Met","Did Not Meet"))</f>
        <v/>
      </c>
    </row>
    <row r="80" spans="1:9" ht="15" customHeight="1">
      <c r="A80" s="479" t="s">
        <v>174</v>
      </c>
      <c r="B80" s="479"/>
      <c r="C80" s="487"/>
      <c r="D80" s="487"/>
      <c r="E80" s="479" t="s">
        <v>174</v>
      </c>
      <c r="F80" s="479"/>
    </row>
    <row r="81" spans="1:9" ht="15.75" customHeight="1">
      <c r="A81" s="5" t="str">
        <f>CONCATENATE("Year 10: SFY ",'2. Getting Started'!B$6+9)</f>
        <v>Year 10: SFY 2030</v>
      </c>
      <c r="B81" s="4"/>
      <c r="C81" s="487"/>
      <c r="D81" s="487"/>
      <c r="E81" s="5" t="str">
        <f>CONCATENATE("Year 10: SFY ",'2. Getting Started'!B$6+9)</f>
        <v>Year 10: SFY 2030</v>
      </c>
      <c r="F81" s="4"/>
    </row>
    <row r="82" spans="1:9" ht="15" customHeight="1">
      <c r="A82" s="224" t="str">
        <f>CONCATENATE("Starting MOE Threshold for SFY ",'2. Getting Started'!B$6+9)</f>
        <v>Starting MOE Threshold for SFY 2030</v>
      </c>
      <c r="B82" s="258" t="e">
        <f>IF(F71="Met",F70,F69)</f>
        <v>#N/A</v>
      </c>
      <c r="C82" s="487"/>
      <c r="D82" s="487"/>
      <c r="E82" s="224" t="str">
        <f>CONCATENATE("Starting MOE Threshold for SFY ",'2. Getting Started'!B$6+9)</f>
        <v>Starting MOE Threshold for SFY 2030</v>
      </c>
      <c r="F82" s="258" t="e">
        <f>IF(F79="Met",F78,F77)</f>
        <v>#N/A</v>
      </c>
    </row>
    <row r="83" spans="1:9" ht="15" customHeight="1">
      <c r="A83" s="224" t="str">
        <f>CONCATENATE("SFY ",'2. Getting Started'!B$6+8," + ",'2. Getting Started'!B$6+9," Projected Exceptions")</f>
        <v>SFY 2029 + 2030 Projected Exceptions</v>
      </c>
      <c r="B83" s="258" t="e">
        <f>IF(B6="","",(('30. Year 9 Exc &amp; Adj'!B67+'33. Year 10 Exc &amp; Adj'!B67)/I75))</f>
        <v>#N/A</v>
      </c>
      <c r="C83" s="487"/>
      <c r="D83" s="487"/>
      <c r="E83" s="224" t="str">
        <f>CONCATENATE("SFY ",'2. Getting Started'!B$6+9," Exceptions")</f>
        <v>SFY 2030 Exceptions</v>
      </c>
      <c r="F83" s="258" t="e">
        <f>IF(F6="","",('33. Year 10 Exc &amp; Adj'!I67/I83))</f>
        <v>#N/A</v>
      </c>
      <c r="H83" t="s">
        <v>118</v>
      </c>
      <c r="I83" t="e">
        <f>IF(F79="Met",'29. Year 9 Amounts'!I1,IF(F71="Met",'26. Year 8 Amounts'!I1,IF(F63="Met",'23. Year 7 Amounts'!I1,IF(F55="Met",'20. Year 6 Amounts'!I1,IF(F47="Met",'17. Year 5 Amounts'!I1,IF(F39="Met",'14. Year 4 Amounts'!I1,IF(F31="Met",'11. Year 3 Amounts'!I1,IF(F23="Met",'8. Year 2 Amounts'!I1,IF(F15="Met",'5. Year 1 Amounts'!I1,F6)))))))))</f>
        <v>#N/A</v>
      </c>
    </row>
    <row r="84" spans="1:9" ht="15" customHeight="1">
      <c r="A84" s="224" t="str">
        <f>CONCATENATE("SFY ",'2. Getting Started'!B$6+8," + ",'2. Getting Started'!B$6+9," Projected Adjustments")</f>
        <v>SFY 2029 + 2030 Projected Adjustments</v>
      </c>
      <c r="B84" s="258" t="e">
        <f>IF(B6="","",((AdjDataYear9Budget[Projected Adjustment]+AdjDataYear10Budget[Projected Adjustment])/I75))</f>
        <v>#N/A</v>
      </c>
      <c r="C84" s="487"/>
      <c r="D84" s="487"/>
      <c r="E84" s="224" t="str">
        <f>CONCATENATE("SFY ",'2. Getting Started'!B$6+9," Adjustment")</f>
        <v>SFY 2030 Adjustment</v>
      </c>
      <c r="F84" s="258" t="e">
        <f>IF(F6="","",(AdjDataYear10Expenditures[[Adjustment ]]/I83))</f>
        <v>#N/A</v>
      </c>
    </row>
    <row r="85" spans="1:9" ht="15" customHeight="1">
      <c r="A85" s="224" t="str">
        <f>CONCATENATE("Adjusted MOE Threshold for SFY ",'2. Getting Started'!B$6+9)</f>
        <v>Adjusted MOE Threshold for SFY 2030</v>
      </c>
      <c r="B85" s="258" t="e">
        <f>IF(B82="","",(B82-B83-B84))</f>
        <v>#N/A</v>
      </c>
      <c r="C85" s="487"/>
      <c r="D85" s="487"/>
      <c r="E85" s="224" t="str">
        <f>CONCATENATE("Adjusted MOE Threshold for SFY ",'2. Getting Started'!B$6+9)</f>
        <v>Adjusted MOE Threshold for SFY 2030</v>
      </c>
      <c r="F85" s="258" t="e">
        <f>IF(F82="","",(F82-F83-F84))</f>
        <v>#N/A</v>
      </c>
    </row>
    <row r="86" spans="1:9" ht="15" customHeight="1">
      <c r="A86" s="224" t="str">
        <f>CONCATENATE("Budgeted Amount for SFY ",'2. Getting Started'!B$6+9)</f>
        <v>Budgeted Amount for SFY 2030</v>
      </c>
      <c r="B86" s="258" t="str">
        <f>'32. Year 10 Amounts'!D30</f>
        <v/>
      </c>
      <c r="C86" s="487"/>
      <c r="D86" s="487"/>
      <c r="E86" s="224" t="str">
        <f>CONCATENATE("Final Expenditures for SFY ",'2. Getting Started'!B$6+9)</f>
        <v>Final Expenditures for SFY 2030</v>
      </c>
      <c r="F86" s="258" t="str">
        <f>'32. Year 10 Amounts'!K31</f>
        <v/>
      </c>
    </row>
    <row r="87" spans="1:9" ht="15" customHeight="1">
      <c r="A87" s="275" t="str">
        <f>CONCATENATE("MOE Result for SFY ",'2. Getting Started'!B$6+9)</f>
        <v>MOE Result for SFY 2030</v>
      </c>
      <c r="B87" s="285" t="str">
        <f>IF(B86="","",IF(B86&gt;=B85,"Met","Did Not Meet"))</f>
        <v/>
      </c>
      <c r="C87" s="487"/>
      <c r="D87" s="487"/>
      <c r="E87" s="275" t="str">
        <f>CONCATENATE("MOE Result for SFY ",'2. Getting Started'!B$6+9)</f>
        <v>MOE Result for SFY 2030</v>
      </c>
      <c r="F87" s="285" t="str">
        <f>IF(F86="","",IF(F86&gt;=F85,"Met","Did Not Meet"))</f>
        <v/>
      </c>
    </row>
    <row r="88" spans="1:9" ht="15" customHeight="1">
      <c r="A88" s="479" t="s">
        <v>174</v>
      </c>
      <c r="B88" s="479"/>
      <c r="C88" s="487"/>
      <c r="D88" s="487"/>
      <c r="E88" s="479" t="s">
        <v>174</v>
      </c>
      <c r="F88" s="479"/>
    </row>
    <row r="89" spans="1:9" ht="15.75" customHeight="1">
      <c r="A89" s="5" t="str">
        <f>CONCATENATE("Year 11: SFY ",'2. Getting Started'!B$6+10)</f>
        <v>Year 11: SFY 2031</v>
      </c>
      <c r="B89" s="4"/>
      <c r="C89" s="487"/>
      <c r="D89" s="487"/>
      <c r="E89" s="5" t="str">
        <f>CONCATENATE("Year 11: SFY ",'2. Getting Started'!B$6+10)</f>
        <v>Year 11: SFY 2031</v>
      </c>
      <c r="F89" s="4"/>
    </row>
    <row r="90" spans="1:9" ht="15" customHeight="1">
      <c r="A90" s="224" t="str">
        <f>CONCATENATE("Starting MOE Threshold for SFY ",'2. Getting Started'!B$6+10)</f>
        <v>Starting MOE Threshold for SFY 2031</v>
      </c>
      <c r="B90" s="258" t="e">
        <f>IF(F79="Met",F78,F77)</f>
        <v>#N/A</v>
      </c>
      <c r="C90" s="487"/>
      <c r="D90" s="487"/>
      <c r="E90" s="481" t="s">
        <v>47</v>
      </c>
      <c r="F90" s="482"/>
    </row>
    <row r="91" spans="1:9" ht="15" customHeight="1">
      <c r="A91" s="224" t="str">
        <f>CONCATENATE("SFY ",'2. Getting Started'!B$6+9," + ",'2. Getting Started'!B$6+10," Projected Exceptions")</f>
        <v>SFY 2030 + 2031 Projected Exceptions</v>
      </c>
      <c r="B91" s="258" t="e">
        <f>IF(B6="","",(('33. Year 10 Exc &amp; Adj'!B67+'36. Year 11 Exc &amp; Adj'!B67)/I83))</f>
        <v>#N/A</v>
      </c>
      <c r="C91" s="487"/>
      <c r="D91" s="487"/>
      <c r="E91" s="483"/>
      <c r="F91" s="484"/>
    </row>
    <row r="92" spans="1:9" ht="15" customHeight="1">
      <c r="A92" s="224" t="str">
        <f>CONCATENATE("SFY ",'2. Getting Started'!B$6+9," + ",'2. Getting Started'!B$6+10," Projected Adjustments")</f>
        <v>SFY 2030 + 2031 Projected Adjustments</v>
      </c>
      <c r="B92" s="258" t="e">
        <f>IF(B6="","",((AdjDataYear10Budget[Projected Adjustment]+AdjDataYear11Budget[Projected Adjustment])/I83))</f>
        <v>#N/A</v>
      </c>
      <c r="C92" s="487"/>
      <c r="D92" s="487"/>
      <c r="E92" s="483"/>
      <c r="F92" s="484"/>
    </row>
    <row r="93" spans="1:9" ht="15" customHeight="1">
      <c r="A93" s="224" t="str">
        <f>CONCATENATE("Adjusted MOE Threshold for SFY ",'2. Getting Started'!B$6+10)</f>
        <v>Adjusted MOE Threshold for SFY 2031</v>
      </c>
      <c r="B93" s="258" t="e">
        <f>IF(B90="","",(B90-B91-B92))</f>
        <v>#N/A</v>
      </c>
      <c r="C93" s="487"/>
      <c r="D93" s="487"/>
      <c r="E93" s="483"/>
      <c r="F93" s="484"/>
    </row>
    <row r="94" spans="1:9" ht="15" customHeight="1">
      <c r="A94" s="224" t="str">
        <f>CONCATENATE("Budgeted Amount for SFY ",'2. Getting Started'!B$6+10)</f>
        <v>Budgeted Amount for SFY 2031</v>
      </c>
      <c r="B94" s="258" t="str">
        <f>'35. Year 11 Amounts'!D31</f>
        <v/>
      </c>
      <c r="C94" s="487"/>
      <c r="D94" s="487"/>
      <c r="E94" s="483"/>
      <c r="F94" s="484"/>
    </row>
    <row r="95" spans="1:9" ht="15" customHeight="1">
      <c r="A95" s="275" t="str">
        <f>CONCATENATE("MOE Result for SFY ",'2. Getting Started'!B$6+10)</f>
        <v>MOE Result for SFY 2031</v>
      </c>
      <c r="B95" s="285" t="str">
        <f>IF(B94="","",IF(B94&gt;=B93,"Met","Did Not Meet"))</f>
        <v/>
      </c>
      <c r="C95" s="487"/>
      <c r="D95" s="487"/>
      <c r="E95" s="485"/>
      <c r="F95" s="486"/>
    </row>
    <row r="96" spans="1:9" ht="24.75" customHeight="1">
      <c r="A96" s="345" t="s">
        <v>183</v>
      </c>
      <c r="C96" s="355"/>
      <c r="D96" s="355"/>
    </row>
    <row r="97" spans="1:6" ht="15.5">
      <c r="A97" s="358" t="s">
        <v>182</v>
      </c>
    </row>
    <row r="98" spans="1:6">
      <c r="A98" s="464" t="s">
        <v>24</v>
      </c>
      <c r="B98" s="464"/>
      <c r="C98" s="464"/>
      <c r="D98" s="464"/>
      <c r="E98" s="464"/>
      <c r="F98" s="464"/>
    </row>
  </sheetData>
  <sheetProtection algorithmName="SHA-512" hashValue="DoGtFAAZUggJ9Jz0Vib4Z+NyV8IYI+tluTbcFPPcH+1covZYjeUEvMUaVx9ezFcXFKRkWg4Op6sgvhvNygcOpA==" saltValue="mcQpnn5ihKtAJOt12HV+Dg==" spinCount="100000" sheet="1" objects="1" scenarios="1" formatColumns="0" formatRows="0"/>
  <mergeCells count="26">
    <mergeCell ref="A48:B48"/>
    <mergeCell ref="E48:F48"/>
    <mergeCell ref="A56:B56"/>
    <mergeCell ref="E56:F56"/>
    <mergeCell ref="A24:B24"/>
    <mergeCell ref="E24:F24"/>
    <mergeCell ref="A32:B32"/>
    <mergeCell ref="E32:F32"/>
    <mergeCell ref="A40:B40"/>
    <mergeCell ref="E40:F40"/>
    <mergeCell ref="A88:B88"/>
    <mergeCell ref="E88:F88"/>
    <mergeCell ref="C1:D95"/>
    <mergeCell ref="A98:F98"/>
    <mergeCell ref="A64:B64"/>
    <mergeCell ref="E64:F64"/>
    <mergeCell ref="A72:B72"/>
    <mergeCell ref="E72:F72"/>
    <mergeCell ref="A80:B80"/>
    <mergeCell ref="E80:F80"/>
    <mergeCell ref="A10:B15"/>
    <mergeCell ref="E90:F95"/>
    <mergeCell ref="A8:B8"/>
    <mergeCell ref="E8:F8"/>
    <mergeCell ref="A16:B16"/>
    <mergeCell ref="E16:F16"/>
  </mergeCells>
  <conditionalFormatting sqref="B23">
    <cfRule type="containsText" dxfId="79" priority="36" operator="containsText" text="Met">
      <formula>NOT(ISERROR(SEARCH("Met",B23)))</formula>
    </cfRule>
    <cfRule type="containsText" dxfId="78" priority="35" operator="containsText" text="Did Not Meet">
      <formula>NOT(ISERROR(SEARCH("Did Not Meet",B23)))</formula>
    </cfRule>
  </conditionalFormatting>
  <conditionalFormatting sqref="B31">
    <cfRule type="containsText" dxfId="77" priority="34" operator="containsText" text="Met">
      <formula>NOT(ISERROR(SEARCH("Met",B31)))</formula>
    </cfRule>
    <cfRule type="containsText" dxfId="76" priority="33" operator="containsText" text="Did Not Meet">
      <formula>NOT(ISERROR(SEARCH("Did Not Meet",B31)))</formula>
    </cfRule>
  </conditionalFormatting>
  <conditionalFormatting sqref="B39">
    <cfRule type="containsText" dxfId="75" priority="30" operator="containsText" text="Met">
      <formula>NOT(ISERROR(SEARCH("Met",B39)))</formula>
    </cfRule>
    <cfRule type="containsText" dxfId="74" priority="29" operator="containsText" text="Did Not Meet">
      <formula>NOT(ISERROR(SEARCH("Did Not Meet",B39)))</formula>
    </cfRule>
  </conditionalFormatting>
  <conditionalFormatting sqref="B47">
    <cfRule type="containsText" dxfId="73" priority="25" operator="containsText" text="Did Not Meet">
      <formula>NOT(ISERROR(SEARCH("Did Not Meet",B47)))</formula>
    </cfRule>
    <cfRule type="containsText" dxfId="72" priority="26" operator="containsText" text="Met">
      <formula>NOT(ISERROR(SEARCH("Met",B47)))</formula>
    </cfRule>
  </conditionalFormatting>
  <conditionalFormatting sqref="B55">
    <cfRule type="containsText" dxfId="71" priority="21" operator="containsText" text="Did Not Meet">
      <formula>NOT(ISERROR(SEARCH("Did Not Meet",B55)))</formula>
    </cfRule>
    <cfRule type="containsText" dxfId="70" priority="22" operator="containsText" text="Met">
      <formula>NOT(ISERROR(SEARCH("Met",B55)))</formula>
    </cfRule>
  </conditionalFormatting>
  <conditionalFormatting sqref="B63">
    <cfRule type="containsText" dxfId="69" priority="15" operator="containsText" text="Did Not Meet">
      <formula>NOT(ISERROR(SEARCH("Did Not Meet",B63)))</formula>
    </cfRule>
    <cfRule type="containsText" dxfId="68" priority="16" operator="containsText" text="Met">
      <formula>NOT(ISERROR(SEARCH("Met",B63)))</formula>
    </cfRule>
  </conditionalFormatting>
  <conditionalFormatting sqref="B71">
    <cfRule type="containsText" dxfId="67" priority="13" operator="containsText" text="Did Not Meet">
      <formula>NOT(ISERROR(SEARCH("Did Not Meet",B71)))</formula>
    </cfRule>
    <cfRule type="containsText" dxfId="66" priority="14" operator="containsText" text="Met">
      <formula>NOT(ISERROR(SEARCH("Met",B71)))</formula>
    </cfRule>
  </conditionalFormatting>
  <conditionalFormatting sqref="B79">
    <cfRule type="containsText" dxfId="65" priority="7" operator="containsText" text="Did Not Meet">
      <formula>NOT(ISERROR(SEARCH("Did Not Meet",B79)))</formula>
    </cfRule>
    <cfRule type="containsText" dxfId="64" priority="8" operator="containsText" text="Met">
      <formula>NOT(ISERROR(SEARCH("Met",B79)))</formula>
    </cfRule>
  </conditionalFormatting>
  <conditionalFormatting sqref="B87">
    <cfRule type="containsText" dxfId="63" priority="5" operator="containsText" text="Did Not Meet">
      <formula>NOT(ISERROR(SEARCH("Did Not Meet",B87)))</formula>
    </cfRule>
    <cfRule type="containsText" dxfId="62" priority="6" operator="containsText" text="Met">
      <formula>NOT(ISERROR(SEARCH("Met",B87)))</formula>
    </cfRule>
  </conditionalFormatting>
  <conditionalFormatting sqref="B95">
    <cfRule type="containsText" dxfId="61" priority="2" operator="containsText" text="Met">
      <formula>NOT(ISERROR(SEARCH("Met",B95)))</formula>
    </cfRule>
    <cfRule type="containsText" dxfId="60" priority="1" operator="containsText" text="Did Not Meet">
      <formula>NOT(ISERROR(SEARCH("Did Not Meet",B95)))</formula>
    </cfRule>
  </conditionalFormatting>
  <conditionalFormatting sqref="F15">
    <cfRule type="containsText" dxfId="59" priority="39" operator="containsText" text="Did Not Meet">
      <formula>NOT(ISERROR(SEARCH("Did Not Meet",F15)))</formula>
    </cfRule>
    <cfRule type="containsText" dxfId="58" priority="40" operator="containsText" text="Met">
      <formula>NOT(ISERROR(SEARCH("Met",F15)))</formula>
    </cfRule>
  </conditionalFormatting>
  <conditionalFormatting sqref="F23">
    <cfRule type="containsText" dxfId="57" priority="37" operator="containsText" text="Did Not Meet">
      <formula>NOT(ISERROR(SEARCH("Did Not Meet",F23)))</formula>
    </cfRule>
    <cfRule type="containsText" dxfId="56" priority="38" operator="containsText" text="Met">
      <formula>NOT(ISERROR(SEARCH("Met",F23)))</formula>
    </cfRule>
  </conditionalFormatting>
  <conditionalFormatting sqref="F31">
    <cfRule type="containsText" dxfId="55" priority="31" operator="containsText" text="Did Not Meet">
      <formula>NOT(ISERROR(SEARCH("Did Not Meet",F31)))</formula>
    </cfRule>
    <cfRule type="containsText" dxfId="54" priority="32" operator="containsText" text="Met">
      <formula>NOT(ISERROR(SEARCH("Met",F31)))</formula>
    </cfRule>
  </conditionalFormatting>
  <conditionalFormatting sqref="F39">
    <cfRule type="containsText" dxfId="53" priority="27" operator="containsText" text="Did Not Meet">
      <formula>NOT(ISERROR(SEARCH("Did Not Meet",F39)))</formula>
    </cfRule>
    <cfRule type="containsText" dxfId="52" priority="28" operator="containsText" text="Met">
      <formula>NOT(ISERROR(SEARCH("Met",F39)))</formula>
    </cfRule>
  </conditionalFormatting>
  <conditionalFormatting sqref="F47">
    <cfRule type="containsText" dxfId="51" priority="23" operator="containsText" text="Did Not Meet">
      <formula>NOT(ISERROR(SEARCH("Did Not Meet",F47)))</formula>
    </cfRule>
    <cfRule type="containsText" dxfId="50" priority="24" operator="containsText" text="Met">
      <formula>NOT(ISERROR(SEARCH("Met",F47)))</formula>
    </cfRule>
  </conditionalFormatting>
  <conditionalFormatting sqref="F55">
    <cfRule type="containsText" dxfId="49" priority="20" operator="containsText" text="Met">
      <formula>NOT(ISERROR(SEARCH("Met",F55)))</formula>
    </cfRule>
    <cfRule type="containsText" dxfId="48" priority="19" operator="containsText" text="Did Not Meet">
      <formula>NOT(ISERROR(SEARCH("Did Not Meet",F55)))</formula>
    </cfRule>
  </conditionalFormatting>
  <conditionalFormatting sqref="F63">
    <cfRule type="containsText" dxfId="47" priority="18" operator="containsText" text="Met">
      <formula>NOT(ISERROR(SEARCH("Met",F63)))</formula>
    </cfRule>
    <cfRule type="containsText" dxfId="46" priority="17" operator="containsText" text="Did Not Meet">
      <formula>NOT(ISERROR(SEARCH("Did Not Meet",F63)))</formula>
    </cfRule>
  </conditionalFormatting>
  <conditionalFormatting sqref="F71">
    <cfRule type="containsText" dxfId="45" priority="12" operator="containsText" text="Met">
      <formula>NOT(ISERROR(SEARCH("Met",F71)))</formula>
    </cfRule>
    <cfRule type="containsText" dxfId="44" priority="11" operator="containsText" text="Did Not Meet">
      <formula>NOT(ISERROR(SEARCH("Did Not Meet",F71)))</formula>
    </cfRule>
  </conditionalFormatting>
  <conditionalFormatting sqref="F79">
    <cfRule type="containsText" dxfId="43" priority="10" operator="containsText" text="Met">
      <formula>NOT(ISERROR(SEARCH("Met",F79)))</formula>
    </cfRule>
    <cfRule type="containsText" dxfId="42" priority="9" operator="containsText" text="Did Not Meet">
      <formula>NOT(ISERROR(SEARCH("Did Not Meet",F79)))</formula>
    </cfRule>
  </conditionalFormatting>
  <conditionalFormatting sqref="F87">
    <cfRule type="containsText" dxfId="41" priority="3" operator="containsText" text="Did Not Meet">
      <formula>NOT(ISERROR(SEARCH("Did Not Meet",F87)))</formula>
    </cfRule>
    <cfRule type="containsText" dxfId="40" priority="4" operator="containsText" text="Met">
      <formula>NOT(ISERROR(SEARCH("Met",F87)))</formula>
    </cfRule>
  </conditionalFormatting>
  <hyperlinks>
    <hyperlink ref="A97" r:id="rId1" xr:uid="{00000000-0004-0000-29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theme="7"/>
  </sheetPr>
  <dimension ref="A1:I98"/>
  <sheetViews>
    <sheetView showGridLines="0" zoomScaleNormal="100" workbookViewId="0">
      <selection activeCell="F1" sqref="F1"/>
    </sheetView>
  </sheetViews>
  <sheetFormatPr defaultColWidth="0" defaultRowHeight="14.5" zeroHeight="1"/>
  <cols>
    <col min="1" max="1" width="40.7265625" customWidth="1"/>
    <col min="2" max="2" width="25.81640625" bestFit="1" customWidth="1"/>
    <col min="3" max="4" width="9.1796875" customWidth="1"/>
    <col min="5" max="5" width="40.7265625" customWidth="1"/>
    <col min="6" max="6" width="26.1796875" bestFit="1" customWidth="1"/>
    <col min="7" max="7" width="0.81640625" customWidth="1"/>
    <col min="8" max="8" width="27" hidden="1" customWidth="1"/>
    <col min="9" max="9" width="9.1796875" hidden="1" customWidth="1"/>
    <col min="10" max="16384" width="9.1796875" hidden="1"/>
  </cols>
  <sheetData>
    <row r="1" spans="1:9" ht="37.5" customHeight="1">
      <c r="A1" s="302" t="s">
        <v>179</v>
      </c>
      <c r="B1" s="303"/>
      <c r="C1" s="487" t="s">
        <v>174</v>
      </c>
      <c r="D1" s="487"/>
      <c r="E1" s="21" t="s">
        <v>14</v>
      </c>
      <c r="F1" s="20" t="str">
        <f>IF('2. Getting Started'!B2="","",'2. Getting Started'!B2)</f>
        <v/>
      </c>
    </row>
    <row r="2" spans="1:9" ht="18.75" customHeight="1">
      <c r="A2" s="18" t="s">
        <v>13</v>
      </c>
      <c r="B2" s="4"/>
      <c r="C2" s="487"/>
      <c r="D2" s="487"/>
      <c r="E2" s="18" t="s">
        <v>6</v>
      </c>
      <c r="F2" s="4"/>
      <c r="H2" s="2" t="s">
        <v>12</v>
      </c>
    </row>
    <row r="3" spans="1:9" ht="39" customHeight="1">
      <c r="A3" s="16" t="str">
        <f>CONCATENATE("Prior to Year 1: SFY ",'2. Getting Started'!B6)</f>
        <v>Prior to Year 1: SFY 2021</v>
      </c>
      <c r="B3" s="16"/>
      <c r="C3" s="487"/>
      <c r="D3" s="487"/>
      <c r="E3" s="16" t="str">
        <f>CONCATENATE("Prior to Year 1: SFY ",'2. Getting Started'!B6)</f>
        <v>Prior to Year 1: SFY 2021</v>
      </c>
      <c r="F3" s="16"/>
      <c r="H3" s="2"/>
    </row>
    <row r="4" spans="1:9" ht="43.5">
      <c r="A4" s="225" t="str">
        <f>CONCATENATE("Last year before SFY ",'2. Getting Started'!B6," that the compliance standard was met for state and local funds per capita")</f>
        <v>Last year before SFY 2021 that the compliance standard was met for state and local funds per capita</v>
      </c>
      <c r="B4" s="257">
        <f>IF('2. Getting Started'!B13="","",'2. Getting Started'!B13)</f>
        <v>2020</v>
      </c>
      <c r="C4" s="487"/>
      <c r="D4" s="487"/>
      <c r="E4" s="225" t="str">
        <f>CONCATENATE("Last year before SFY ",'2. Getting Started'!B6," that the compliance standard was met for state and local funds per capita")</f>
        <v>Last year before SFY 2021 that the compliance standard was met for state and local funds per capita</v>
      </c>
      <c r="F4" s="257">
        <f>IF('2. Getting Started'!B13="","",'2. Getting Started'!B13)</f>
        <v>2020</v>
      </c>
      <c r="H4" s="1" t="s">
        <v>21</v>
      </c>
      <c r="I4">
        <f>'2. Getting Started'!B6-'2. Getting Started'!B13</f>
        <v>1</v>
      </c>
    </row>
    <row r="5" spans="1:9" ht="15" customHeight="1">
      <c r="A5" s="224" t="s">
        <v>1</v>
      </c>
      <c r="B5" s="258" t="e">
        <f>IF('2. Getting Started'!C13="","",'2. Getting Started'!C13)</f>
        <v>#DIV/0!</v>
      </c>
      <c r="C5" s="487"/>
      <c r="D5" s="487"/>
      <c r="E5" s="224" t="s">
        <v>1</v>
      </c>
      <c r="F5" s="258" t="e">
        <f>IF('2. Getting Started'!C13="","",'2. Getting Started'!C13)</f>
        <v>#DIV/0!</v>
      </c>
    </row>
    <row r="6" spans="1:9" ht="15" customHeight="1">
      <c r="A6" s="224" t="s">
        <v>116</v>
      </c>
      <c r="B6" s="286">
        <f>IF('2. Getting Started'!D13="","",'2. Getting Started'!D13)</f>
        <v>0</v>
      </c>
      <c r="C6" s="487"/>
      <c r="D6" s="487"/>
      <c r="E6" s="224" t="s">
        <v>116</v>
      </c>
      <c r="F6" s="286">
        <f>IF('2. Getting Started'!D13="","",'2. Getting Started'!D13)</f>
        <v>0</v>
      </c>
    </row>
    <row r="7" spans="1:9">
      <c r="A7" s="229" t="s">
        <v>5</v>
      </c>
      <c r="B7" s="261">
        <f>IF(B6="","",IF(I4=1,0,IF(I4&gt;1,(VLOOKUP(I4,'3a. Intervening Years'!I4:K22,3)/B6))))</f>
        <v>0</v>
      </c>
      <c r="C7" s="487"/>
      <c r="D7" s="487"/>
      <c r="E7" s="229" t="s">
        <v>5</v>
      </c>
      <c r="F7" s="261">
        <f>IF(F6="","",IF(I4=1,0,IF(I4&gt;1,(VLOOKUP(I4,'3a. Intervening Years'!I4:K22,3)/F6))))</f>
        <v>0</v>
      </c>
    </row>
    <row r="8" spans="1:9" ht="15" customHeight="1">
      <c r="A8" s="479" t="s">
        <v>174</v>
      </c>
      <c r="B8" s="479"/>
      <c r="C8" s="487"/>
      <c r="D8" s="487"/>
      <c r="E8" s="479" t="s">
        <v>174</v>
      </c>
      <c r="F8" s="479"/>
    </row>
    <row r="9" spans="1:9" ht="15.75" customHeight="1">
      <c r="A9" s="5" t="str">
        <f>CONCATENATE("Year 1: SFY ",'2. Getting Started'!B$6)</f>
        <v>Year 1: SFY 2021</v>
      </c>
      <c r="B9" s="4"/>
      <c r="C9" s="487"/>
      <c r="D9" s="487"/>
      <c r="E9" s="5" t="str">
        <f>CONCATENATE("Year 1: SFY ",'2. Getting Started'!B$6)</f>
        <v>Year 1: SFY 2021</v>
      </c>
      <c r="F9" s="4"/>
    </row>
    <row r="10" spans="1:9" ht="15" customHeight="1">
      <c r="A10" s="481" t="s">
        <v>180</v>
      </c>
      <c r="B10" s="482"/>
      <c r="C10" s="487"/>
      <c r="D10" s="487"/>
      <c r="E10" s="224" t="str">
        <f>CONCATENATE("Starting MOE Threshold for SFY ",'2. Getting Started'!B$6)</f>
        <v>Starting MOE Threshold for SFY 2021</v>
      </c>
      <c r="F10" s="258" t="e">
        <f>IF(F5="","",(F5-F7))</f>
        <v>#DIV/0!</v>
      </c>
    </row>
    <row r="11" spans="1:9" ht="15" customHeight="1">
      <c r="A11" s="483"/>
      <c r="B11" s="484"/>
      <c r="C11" s="487"/>
      <c r="D11" s="487"/>
      <c r="E11" s="224" t="str">
        <f>CONCATENATE("SFY ",'2. Getting Started'!B$6," Exceptions")</f>
        <v>SFY 2021 Exceptions</v>
      </c>
      <c r="F11" s="258" t="e">
        <f>IF(F6="","",('6. Year 1 Exc &amp; Adj'!I68/F6))</f>
        <v>#DIV/0!</v>
      </c>
    </row>
    <row r="12" spans="1:9" ht="15" customHeight="1">
      <c r="A12" s="483"/>
      <c r="B12" s="484"/>
      <c r="C12" s="487"/>
      <c r="D12" s="487"/>
      <c r="E12" s="224" t="str">
        <f>CONCATENATE("SFY ",'2. Getting Started'!B$6," Adjustment")</f>
        <v>SFY 2021 Adjustment</v>
      </c>
      <c r="F12" s="258" t="e">
        <f>IF(F6="","",(AdjDataYear1Expenditures[[Adjustment ]]/F6))</f>
        <v>#DIV/0!</v>
      </c>
    </row>
    <row r="13" spans="1:9" ht="15" customHeight="1">
      <c r="A13" s="483"/>
      <c r="B13" s="484"/>
      <c r="C13" s="487"/>
      <c r="D13" s="487"/>
      <c r="E13" s="224" t="str">
        <f>CONCATENATE("Adjusted MOE Threshold for SFY ",'2. Getting Started'!B$6)</f>
        <v>Adjusted MOE Threshold for SFY 2021</v>
      </c>
      <c r="F13" s="258" t="e">
        <f>IF(F10="","",(F10-F11-F12))</f>
        <v>#DIV/0!</v>
      </c>
    </row>
    <row r="14" spans="1:9" ht="15" customHeight="1">
      <c r="A14" s="483"/>
      <c r="B14" s="484"/>
      <c r="C14" s="487"/>
      <c r="D14" s="487"/>
      <c r="E14" s="224" t="str">
        <f>CONCATENATE("Final Expenditures for SFY ",'2. Getting Started'!B$6)</f>
        <v>Final Expenditures for SFY 2021</v>
      </c>
      <c r="F14" s="258" t="e">
        <f>IF('5. Year 1 Amounts'!M30="","",'5. Year 1 Amounts'!M31)</f>
        <v>#DIV/0!</v>
      </c>
    </row>
    <row r="15" spans="1:9" ht="15" customHeight="1">
      <c r="A15" s="485"/>
      <c r="B15" s="486"/>
      <c r="C15" s="487"/>
      <c r="D15" s="487"/>
      <c r="E15" s="275" t="str">
        <f>CONCATENATE("MOE Result for SFY ",'2. Getting Started'!B$6)</f>
        <v>MOE Result for SFY 2021</v>
      </c>
      <c r="F15" s="285" t="e">
        <f>IF(F14="","",IF(F14&gt;=F13,"Met","Did Not Meet"))</f>
        <v>#DIV/0!</v>
      </c>
    </row>
    <row r="16" spans="1:9" ht="15" customHeight="1">
      <c r="A16" s="479" t="s">
        <v>174</v>
      </c>
      <c r="B16" s="479"/>
      <c r="C16" s="487"/>
      <c r="D16" s="487"/>
      <c r="E16" s="479" t="s">
        <v>174</v>
      </c>
      <c r="F16" s="479"/>
    </row>
    <row r="17" spans="1:9" ht="15.75" customHeight="1">
      <c r="A17" s="5" t="str">
        <f>CONCATENATE("Year 2: SFY ",'2. Getting Started'!B$6+1)</f>
        <v>Year 2: SFY 2022</v>
      </c>
      <c r="B17" s="4"/>
      <c r="C17" s="487"/>
      <c r="D17" s="487"/>
      <c r="E17" s="5" t="str">
        <f>CONCATENATE("Year 2: SFY ",'2. Getting Started'!B$6+1)</f>
        <v>Year 2: SFY 2022</v>
      </c>
      <c r="F17" s="4"/>
    </row>
    <row r="18" spans="1:9" ht="15" customHeight="1">
      <c r="A18" s="224" t="str">
        <f>CONCATENATE("Starting MOE Threshold for SFY ",'2. Getting Started'!B$6+1)</f>
        <v>Starting MOE Threshold for SFY 2022</v>
      </c>
      <c r="B18" s="258" t="e">
        <f>IF(B5="","",(B5-B7))</f>
        <v>#DIV/0!</v>
      </c>
      <c r="C18" s="487"/>
      <c r="D18" s="487"/>
      <c r="E18" s="224" t="str">
        <f>CONCATENATE("Starting MOE Threshold for SFY ",'2. Getting Started'!B$6+1)</f>
        <v>Starting MOE Threshold for SFY 2022</v>
      </c>
      <c r="F18" s="258" t="e">
        <f>IF(F15="Met",F14,F13)</f>
        <v>#DIV/0!</v>
      </c>
    </row>
    <row r="19" spans="1:9" ht="15" customHeight="1">
      <c r="A19" s="224" t="str">
        <f>CONCATENATE("SFY ",'2. Getting Started'!B$6," + ",'2. Getting Started'!B$6+1," Projected Exceptions")</f>
        <v>SFY 2021 + 2022 Projected Exceptions</v>
      </c>
      <c r="B19" s="258" t="e">
        <f>IF(B6="","",(('6. Year 1 Exc &amp; Adj'!B68+'9. Year 2 Exc &amp; Adj'!B68)/B6))</f>
        <v>#N/A</v>
      </c>
      <c r="C19" s="487"/>
      <c r="D19" s="487"/>
      <c r="E19" s="224" t="str">
        <f>CONCATENATE("SFY ",'2. Getting Started'!B$6+1," Exceptions")</f>
        <v>SFY 2022 Exceptions</v>
      </c>
      <c r="F19" s="258" t="e">
        <f>IF(F6="","",('9. Year 2 Exc &amp; Adj'!I68/I19))</f>
        <v>#N/A</v>
      </c>
      <c r="H19" t="s">
        <v>118</v>
      </c>
      <c r="I19" t="e">
        <f>IF(F15="Met",'5. Year 1 Amounts'!I1,F6)</f>
        <v>#DIV/0!</v>
      </c>
    </row>
    <row r="20" spans="1:9" ht="15" customHeight="1">
      <c r="A20" s="224" t="str">
        <f>CONCATENATE("SFY ",'2. Getting Started'!B$6," + ",'2. Getting Started'!B$6+1," Projected Adjustments")</f>
        <v>SFY 2021 + 2022 Projected Adjustments</v>
      </c>
      <c r="B20" s="258" t="e">
        <f>IF(B6="","",((AdjDataYear1Budget[Projected Adjustment]+AdjDataYear2Budget[Projected Adjustment])/B6))</f>
        <v>#DIV/0!</v>
      </c>
      <c r="C20" s="487"/>
      <c r="D20" s="487"/>
      <c r="E20" s="224" t="str">
        <f>CONCATENATE("SFY ",'2. Getting Started'!B$6+1," Adjustment")</f>
        <v>SFY 2022 Adjustment</v>
      </c>
      <c r="F20" s="258" t="e">
        <f>IF(F6="","",(AdjDataYear2Expenditures[[Adjustment ]]/I19))</f>
        <v>#DIV/0!</v>
      </c>
    </row>
    <row r="21" spans="1:9" ht="15" customHeight="1">
      <c r="A21" s="224" t="str">
        <f>CONCATENATE("Adjusted MOE Threshold for SFY ",'2. Getting Started'!B$6+1)</f>
        <v>Adjusted MOE Threshold for SFY 2022</v>
      </c>
      <c r="B21" s="258" t="e">
        <f>IF(B18="","",(B18-B19-B20))</f>
        <v>#DIV/0!</v>
      </c>
      <c r="C21" s="487"/>
      <c r="D21" s="487"/>
      <c r="E21" s="224" t="str">
        <f>CONCATENATE("Adjusted MOE Threshold for SFY ",'2. Getting Started'!B$6+1)</f>
        <v>Adjusted MOE Threshold for SFY 2022</v>
      </c>
      <c r="F21" s="258" t="e">
        <f>IF(F18="","",(F18-F19-F20))</f>
        <v>#DIV/0!</v>
      </c>
    </row>
    <row r="22" spans="1:9" ht="15" customHeight="1">
      <c r="A22" s="224" t="str">
        <f>CONCATENATE("Budgeted Amount for SFY ",'2. Getting Started'!B$6+1)</f>
        <v>Budgeted Amount for SFY 2022</v>
      </c>
      <c r="B22" s="258" t="e">
        <f>'8. Year 2 Amounts'!F31</f>
        <v>#N/A</v>
      </c>
      <c r="C22" s="487"/>
      <c r="D22" s="487"/>
      <c r="E22" s="224" t="str">
        <f>CONCATENATE("Final Expenditures for SFY ",'2. Getting Started'!B$6+1)</f>
        <v>Final Expenditures for SFY 2022</v>
      </c>
      <c r="F22" s="258" t="e">
        <f>'8. Year 2 Amounts'!M31</f>
        <v>#N/A</v>
      </c>
    </row>
    <row r="23" spans="1:9" ht="15" customHeight="1">
      <c r="A23" s="275" t="str">
        <f>CONCATENATE("MOE Result for SFY ",'2. Getting Started'!B$6+1)</f>
        <v>MOE Result for SFY 2022</v>
      </c>
      <c r="B23" s="285" t="e">
        <f>IF(B22="","",IF(B22&gt;=B21,"Met","Did Not Meet"))</f>
        <v>#N/A</v>
      </c>
      <c r="C23" s="487"/>
      <c r="D23" s="487"/>
      <c r="E23" s="275" t="str">
        <f>CONCATENATE("MOE Result for SFY ",'2. Getting Started'!B$6+1)</f>
        <v>MOE Result for SFY 2022</v>
      </c>
      <c r="F23" s="285" t="e">
        <f>IF(F22="","",IF(F22&gt;=F21,"Met","Did Not Meet"))</f>
        <v>#N/A</v>
      </c>
    </row>
    <row r="24" spans="1:9" ht="15" customHeight="1">
      <c r="A24" s="479" t="s">
        <v>174</v>
      </c>
      <c r="B24" s="479"/>
      <c r="C24" s="487"/>
      <c r="D24" s="487"/>
      <c r="E24" s="479" t="s">
        <v>174</v>
      </c>
      <c r="F24" s="479"/>
    </row>
    <row r="25" spans="1:9" ht="15.75" customHeight="1">
      <c r="A25" s="5" t="str">
        <f>CONCATENATE("Year 3: SFY ",'2. Getting Started'!B$6+2)</f>
        <v>Year 3: SFY 2023</v>
      </c>
      <c r="B25" s="4"/>
      <c r="C25" s="487"/>
      <c r="D25" s="487"/>
      <c r="E25" s="5" t="str">
        <f>CONCATENATE("Year 3: SFY ",'2. Getting Started'!B$6+2)</f>
        <v>Year 3: SFY 2023</v>
      </c>
      <c r="F25" s="4"/>
    </row>
    <row r="26" spans="1:9" ht="15" customHeight="1">
      <c r="A26" s="224" t="str">
        <f>CONCATENATE("Starting MOE Threshold for SFY ",'2. Getting Started'!B$6+2)</f>
        <v>Starting MOE Threshold for SFY 2023</v>
      </c>
      <c r="B26" s="258" t="e">
        <f>IF(F15="Met",F14,F13)</f>
        <v>#DIV/0!</v>
      </c>
      <c r="C26" s="487"/>
      <c r="D26" s="487"/>
      <c r="E26" s="224" t="str">
        <f>CONCATENATE("Starting MOE Threshold for SFY ",'2. Getting Started'!B$6+2)</f>
        <v>Starting MOE Threshold for SFY 2023</v>
      </c>
      <c r="F26" s="258" t="e">
        <f>IF(F23="Met",F22,F21)</f>
        <v>#N/A</v>
      </c>
    </row>
    <row r="27" spans="1:9" ht="15" customHeight="1">
      <c r="A27" s="224" t="str">
        <f>CONCATENATE("SFY ",'2. Getting Started'!B$6+1," + ",'2. Getting Started'!B$6+2," Projected Exceptions")</f>
        <v>SFY 2022 + 2023 Projected Exceptions</v>
      </c>
      <c r="B27" s="258" t="e">
        <f>IF(B6="","",(('9. Year 2 Exc &amp; Adj'!B68+'12. Year 3 Exc &amp; Adj'!B68)/I19))</f>
        <v>#N/A</v>
      </c>
      <c r="C27" s="487"/>
      <c r="D27" s="487"/>
      <c r="E27" s="224" t="str">
        <f>CONCATENATE("SFY ",'2. Getting Started'!B$6+2," Exceptions")</f>
        <v>SFY 2023 Exceptions</v>
      </c>
      <c r="F27" s="258" t="e">
        <f>IF(F6="","",('12. Year 3 Exc &amp; Adj'!I68/I27))</f>
        <v>#N/A</v>
      </c>
      <c r="H27" t="s">
        <v>118</v>
      </c>
      <c r="I27" t="e">
        <f>IF(F23="Met",'8. Year 2 Amounts'!I1,IF(F15="Met",'5. Year 1 Amounts'!I1,F6))</f>
        <v>#N/A</v>
      </c>
    </row>
    <row r="28" spans="1:9" ht="15" customHeight="1">
      <c r="A28" s="224" t="str">
        <f>CONCATENATE("SFY ",'2. Getting Started'!B$6+1," + ",'2. Getting Started'!B$6+2," Projected Adjustments")</f>
        <v>SFY 2022 + 2023 Projected Adjustments</v>
      </c>
      <c r="B28" s="258" t="e">
        <f>IF(B6="","",((AdjDataYear2Budget[Projected Adjustment]+AdjDataYear3Budget[Projected Adjustment])/I19))</f>
        <v>#DIV/0!</v>
      </c>
      <c r="C28" s="487"/>
      <c r="D28" s="487"/>
      <c r="E28" s="224" t="str">
        <f>CONCATENATE("SFY ",'2. Getting Started'!B$6+2," Adjustment")</f>
        <v>SFY 2023 Adjustment</v>
      </c>
      <c r="F28" s="258" t="e">
        <f>IF(F6="","",(AdjDataYear3Expenditures[[Adjustment ]]/I27))</f>
        <v>#N/A</v>
      </c>
    </row>
    <row r="29" spans="1:9" ht="15" customHeight="1">
      <c r="A29" s="224" t="str">
        <f>CONCATENATE("Adjusted MOE Threshold for SFY ",'2. Getting Started'!B$6+2)</f>
        <v>Adjusted MOE Threshold for SFY 2023</v>
      </c>
      <c r="B29" s="258" t="e">
        <f>IF(B26="","",(B26-B27-B28))</f>
        <v>#DIV/0!</v>
      </c>
      <c r="C29" s="487"/>
      <c r="D29" s="487"/>
      <c r="E29" s="224" t="str">
        <f>CONCATENATE("Adjusted MOE Threshold for SFY ",'2. Getting Started'!B$6+2)</f>
        <v>Adjusted MOE Threshold for SFY 2023</v>
      </c>
      <c r="F29" s="258" t="e">
        <f>IF(F26="","",(F26-F27-F28))</f>
        <v>#N/A</v>
      </c>
    </row>
    <row r="30" spans="1:9" ht="15" customHeight="1">
      <c r="A30" s="224" t="str">
        <f>CONCATENATE("Budgeted Amount for SFY ",'2. Getting Started'!B$6+2)</f>
        <v>Budgeted Amount for SFY 2023</v>
      </c>
      <c r="B30" s="258" t="str">
        <f>'11. Year 3 Amounts'!F31</f>
        <v/>
      </c>
      <c r="C30" s="487"/>
      <c r="D30" s="487"/>
      <c r="E30" s="224" t="str">
        <f>CONCATENATE("Final Expenditures for SFY ",'2. Getting Started'!B$6+2)</f>
        <v>Final Expenditures for SFY 2023</v>
      </c>
      <c r="F30" s="258" t="str">
        <f>'11. Year 3 Amounts'!M31</f>
        <v/>
      </c>
    </row>
    <row r="31" spans="1:9" ht="15" customHeight="1">
      <c r="A31" s="275" t="str">
        <f>CONCATENATE("MOE Result for SFY ",'2. Getting Started'!B$6+2)</f>
        <v>MOE Result for SFY 2023</v>
      </c>
      <c r="B31" s="285" t="str">
        <f>IF(B30="","",IF(B30&gt;=B29,"Met","Did Not Meet"))</f>
        <v/>
      </c>
      <c r="C31" s="487"/>
      <c r="D31" s="487"/>
      <c r="E31" s="275" t="str">
        <f>CONCATENATE("MOE Result for SFY ",'2. Getting Started'!B$6+2)</f>
        <v>MOE Result for SFY 2023</v>
      </c>
      <c r="F31" s="285" t="str">
        <f>IF(F30="","",IF(F30&gt;=F29,"Met","Did Not Meet"))</f>
        <v/>
      </c>
    </row>
    <row r="32" spans="1:9" ht="15" customHeight="1">
      <c r="A32" s="479" t="s">
        <v>174</v>
      </c>
      <c r="B32" s="479"/>
      <c r="C32" s="487"/>
      <c r="D32" s="487"/>
      <c r="E32" s="479" t="s">
        <v>174</v>
      </c>
      <c r="F32" s="479"/>
    </row>
    <row r="33" spans="1:9" ht="15.75" customHeight="1">
      <c r="A33" s="5" t="str">
        <f>CONCATENATE("Year 4: SFY ",'2. Getting Started'!B$6+3)</f>
        <v>Year 4: SFY 2024</v>
      </c>
      <c r="B33" s="4"/>
      <c r="C33" s="487"/>
      <c r="D33" s="487"/>
      <c r="E33" s="5" t="str">
        <f>CONCATENATE("Year 4: SFY ",'2. Getting Started'!B$6+3)</f>
        <v>Year 4: SFY 2024</v>
      </c>
      <c r="F33" s="4"/>
    </row>
    <row r="34" spans="1:9" ht="15" customHeight="1">
      <c r="A34" s="224" t="str">
        <f>CONCATENATE("Starting MOE Threshold for SFY ",'2. Getting Started'!B$6+3)</f>
        <v>Starting MOE Threshold for SFY 2024</v>
      </c>
      <c r="B34" s="258" t="e">
        <f>IF(F23="Met",F22,F21)</f>
        <v>#N/A</v>
      </c>
      <c r="C34" s="487"/>
      <c r="D34" s="487"/>
      <c r="E34" s="224" t="str">
        <f>CONCATENATE("Starting MOE Threshold for SFY ",'2. Getting Started'!B$6+3)</f>
        <v>Starting MOE Threshold for SFY 2024</v>
      </c>
      <c r="F34" s="258" t="e">
        <f>IF(F31="Met",F30,F29)</f>
        <v>#N/A</v>
      </c>
    </row>
    <row r="35" spans="1:9" ht="15" customHeight="1">
      <c r="A35" s="224" t="str">
        <f>CONCATENATE("SFY ",'2. Getting Started'!B$6+2," + ",'2. Getting Started'!B$6+3," Projected Exceptions")</f>
        <v>SFY 2023 + 2024 Projected Exceptions</v>
      </c>
      <c r="B35" s="258" t="e">
        <f>IF(B6="","",(('12. Year 3 Exc &amp; Adj'!B68+'15. Year 4 Exc &amp; Adj'!B68)/I27))</f>
        <v>#N/A</v>
      </c>
      <c r="C35" s="487"/>
      <c r="D35" s="487"/>
      <c r="E35" s="224" t="str">
        <f>CONCATENATE("SFY ",'2. Getting Started'!B$6+3," Exceptions")</f>
        <v>SFY 2024 Exceptions</v>
      </c>
      <c r="F35" s="258" t="e">
        <f>IF(F6="","",('15. Year 4 Exc &amp; Adj'!I68/I35))</f>
        <v>#N/A</v>
      </c>
      <c r="H35" t="s">
        <v>118</v>
      </c>
      <c r="I35" t="e">
        <f>IF(F31="Met",'11. Year 3 Amounts'!I1,IF(F23="Met",'8. Year 2 Amounts'!I1,IF(F15="Met",'5. Year 1 Amounts'!I1,F6)))</f>
        <v>#N/A</v>
      </c>
    </row>
    <row r="36" spans="1:9" ht="15" customHeight="1">
      <c r="A36" s="224" t="str">
        <f>CONCATENATE("SFY ",'2. Getting Started'!B$6+2," + ",'2. Getting Started'!B$6+3," Projected Adjustments")</f>
        <v>SFY 2023 + 2024 Projected Adjustments</v>
      </c>
      <c r="B36" s="258" t="e">
        <f>IF(B6="","",((AdjDataYear3Budget[Projected Adjustment]+AdjDataYear4Budget[Projected Adjustment])/I27))</f>
        <v>#N/A</v>
      </c>
      <c r="C36" s="487"/>
      <c r="D36" s="487"/>
      <c r="E36" s="224" t="str">
        <f>CONCATENATE("SFY ",'2. Getting Started'!B$6+3," Adjustment")</f>
        <v>SFY 2024 Adjustment</v>
      </c>
      <c r="F36" s="258" t="e">
        <f>IF(F6="","",(AdjDataYear4Expenditures[[Adjustment ]]/I35))</f>
        <v>#N/A</v>
      </c>
    </row>
    <row r="37" spans="1:9" ht="15" customHeight="1">
      <c r="A37" s="224" t="str">
        <f>CONCATENATE("Adjusted MOE Threshold for SFY ",'2. Getting Started'!B$6+3)</f>
        <v>Adjusted MOE Threshold for SFY 2024</v>
      </c>
      <c r="B37" s="258" t="e">
        <f>IF(B34="","",(B34-B35-B36))</f>
        <v>#N/A</v>
      </c>
      <c r="C37" s="487"/>
      <c r="D37" s="487"/>
      <c r="E37" s="224" t="str">
        <f>CONCATENATE("Adjusted MOE Threshold for SFY ",'2. Getting Started'!B$6+3)</f>
        <v>Adjusted MOE Threshold for SFY 2024</v>
      </c>
      <c r="F37" s="258" t="e">
        <f>IF(F34="","",(F34-F35-F36))</f>
        <v>#N/A</v>
      </c>
    </row>
    <row r="38" spans="1:9" ht="15" customHeight="1">
      <c r="A38" s="224" t="str">
        <f>CONCATENATE("Budgeted Amount for SFY ",'2. Getting Started'!B$6+3)</f>
        <v>Budgeted Amount for SFY 2024</v>
      </c>
      <c r="B38" s="258" t="str">
        <f>'14. Year 4 Amounts'!F31</f>
        <v/>
      </c>
      <c r="C38" s="487"/>
      <c r="D38" s="487"/>
      <c r="E38" s="224" t="str">
        <f>CONCATENATE("Final Expenditures for SFY ",'2. Getting Started'!B$6+3)</f>
        <v>Final Expenditures for SFY 2024</v>
      </c>
      <c r="F38" s="258" t="str">
        <f>'14. Year 4 Amounts'!M31</f>
        <v/>
      </c>
    </row>
    <row r="39" spans="1:9" ht="15" customHeight="1">
      <c r="A39" s="275" t="str">
        <f>CONCATENATE("MOE Result for SFY ",'2. Getting Started'!B$6+3)</f>
        <v>MOE Result for SFY 2024</v>
      </c>
      <c r="B39" s="285" t="str">
        <f>IF(B38="","",IF(B38&gt;=B37,"Met","Did Not Meet"))</f>
        <v/>
      </c>
      <c r="C39" s="487"/>
      <c r="D39" s="487"/>
      <c r="E39" s="275" t="str">
        <f>CONCATENATE("MOE Result for SFY ",'2. Getting Started'!B$6+3)</f>
        <v>MOE Result for SFY 2024</v>
      </c>
      <c r="F39" s="285" t="str">
        <f>IF(F38="","",IF(F38&gt;=F37,"Met","Did Not Meet"))</f>
        <v/>
      </c>
    </row>
    <row r="40" spans="1:9" ht="15" customHeight="1">
      <c r="A40" s="479" t="s">
        <v>174</v>
      </c>
      <c r="B40" s="479"/>
      <c r="C40" s="487"/>
      <c r="D40" s="487"/>
      <c r="E40" s="479" t="s">
        <v>174</v>
      </c>
      <c r="F40" s="479"/>
    </row>
    <row r="41" spans="1:9" ht="15.75" customHeight="1">
      <c r="A41" s="5" t="str">
        <f>CONCATENATE("Year 5: SFY ",'2. Getting Started'!B$6+4)</f>
        <v>Year 5: SFY 2025</v>
      </c>
      <c r="B41" s="4"/>
      <c r="C41" s="487"/>
      <c r="D41" s="487"/>
      <c r="E41" s="5" t="str">
        <f>CONCATENATE("Year 5: SFY ",'2. Getting Started'!B$6+4)</f>
        <v>Year 5: SFY 2025</v>
      </c>
      <c r="F41" s="4"/>
    </row>
    <row r="42" spans="1:9" ht="15" customHeight="1">
      <c r="A42" s="224" t="str">
        <f>CONCATENATE("Starting MOE Threshold for SFY ",'2. Getting Started'!B$6+4)</f>
        <v>Starting MOE Threshold for SFY 2025</v>
      </c>
      <c r="B42" s="258" t="e">
        <f>IF(F31="Met",F30,F29)</f>
        <v>#N/A</v>
      </c>
      <c r="C42" s="487"/>
      <c r="D42" s="487"/>
      <c r="E42" s="224" t="str">
        <f>CONCATENATE("Starting MOE Threshold for SFY ",'2. Getting Started'!B$6+4)</f>
        <v>Starting MOE Threshold for SFY 2025</v>
      </c>
      <c r="F42" s="258" t="e">
        <f>IF(F39="Met",F38,F37)</f>
        <v>#N/A</v>
      </c>
    </row>
    <row r="43" spans="1:9" ht="15" customHeight="1">
      <c r="A43" s="224" t="str">
        <f>CONCATENATE("SFY ",'2. Getting Started'!B$6+3," + ",'2. Getting Started'!B$6+4," Projected Exceptions")</f>
        <v>SFY 2024 + 2025 Projected Exceptions</v>
      </c>
      <c r="B43" s="258" t="e">
        <f>IF(B6="","",(('15. Year 4 Exc &amp; Adj'!B68+'18. Year 5 Exc &amp; Adj'!B68)/I35))</f>
        <v>#N/A</v>
      </c>
      <c r="C43" s="487"/>
      <c r="D43" s="487"/>
      <c r="E43" s="224" t="str">
        <f>CONCATENATE("SFY ",'2. Getting Started'!B$6+4," Exceptions")</f>
        <v>SFY 2025 Exceptions</v>
      </c>
      <c r="F43" s="258" t="e">
        <f>IF(F6="","",('18. Year 5 Exc &amp; Adj'!I68/I43))</f>
        <v>#N/A</v>
      </c>
      <c r="H43" t="s">
        <v>118</v>
      </c>
      <c r="I43" t="e">
        <f>IF(F39="Met",'14. Year 4 Amounts'!I1,IF(F31="Met",'11. Year 3 Amounts'!I1,IF(F23="Met",'8. Year 2 Amounts'!I1,IF(F15="Met",'5. Year 1 Amounts'!I1,F6))))</f>
        <v>#N/A</v>
      </c>
    </row>
    <row r="44" spans="1:9" ht="15" customHeight="1">
      <c r="A44" s="224" t="str">
        <f>CONCATENATE("SFY ",'2. Getting Started'!B$6+3," + ",'2. Getting Started'!B$6+4," Projected Adjustments")</f>
        <v>SFY 2024 + 2025 Projected Adjustments</v>
      </c>
      <c r="B44" s="258" t="e">
        <f>IF(B6="","",((AdjDataYear4Budget[Projected Adjustment]+AdjDataYear5Budget[Projected Adjustment])/I35))</f>
        <v>#N/A</v>
      </c>
      <c r="C44" s="487"/>
      <c r="D44" s="487"/>
      <c r="E44" s="224" t="str">
        <f>CONCATENATE("SFY ",'2. Getting Started'!B$6+4," Adjustment")</f>
        <v>SFY 2025 Adjustment</v>
      </c>
      <c r="F44" s="258" t="e">
        <f>IF(F6="","",(AdjDataYear5Expenditures[[Adjustment ]]/I43))</f>
        <v>#N/A</v>
      </c>
    </row>
    <row r="45" spans="1:9" ht="15" customHeight="1">
      <c r="A45" s="224" t="str">
        <f>CONCATENATE("Adjusted MOE Threshold for SFY ",'2. Getting Started'!B$6+4)</f>
        <v>Adjusted MOE Threshold for SFY 2025</v>
      </c>
      <c r="B45" s="258" t="e">
        <f>IF(B42="","",(B42-B43-B44))</f>
        <v>#N/A</v>
      </c>
      <c r="C45" s="487"/>
      <c r="D45" s="487"/>
      <c r="E45" s="224" t="str">
        <f>CONCATENATE("Adjusted MOE Threshold for SFY ",'2. Getting Started'!B$6+4)</f>
        <v>Adjusted MOE Threshold for SFY 2025</v>
      </c>
      <c r="F45" s="258" t="e">
        <f>IF(F42="","",(F42-F43-F44))</f>
        <v>#N/A</v>
      </c>
    </row>
    <row r="46" spans="1:9" ht="15" customHeight="1">
      <c r="A46" s="224" t="str">
        <f>CONCATENATE("Budgeted Amount for SFY ",'2. Getting Started'!B$6+4)</f>
        <v>Budgeted Amount for SFY 2025</v>
      </c>
      <c r="B46" s="258" t="str">
        <f>'17. Year 5 Amounts'!F31</f>
        <v/>
      </c>
      <c r="C46" s="487"/>
      <c r="D46" s="487"/>
      <c r="E46" s="224" t="str">
        <f>CONCATENATE("Final Expenditures for SFY ",'2. Getting Started'!B$6+4)</f>
        <v>Final Expenditures for SFY 2025</v>
      </c>
      <c r="F46" s="258" t="str">
        <f>'17. Year 5 Amounts'!M31</f>
        <v/>
      </c>
    </row>
    <row r="47" spans="1:9" ht="15" customHeight="1">
      <c r="A47" s="275" t="str">
        <f>CONCATENATE("MOE Result for SFY ",'2. Getting Started'!B$6+4)</f>
        <v>MOE Result for SFY 2025</v>
      </c>
      <c r="B47" s="285" t="str">
        <f>IF(B46="","",IF(B46&gt;=B45,"Met","Did Not Meet"))</f>
        <v/>
      </c>
      <c r="C47" s="487"/>
      <c r="D47" s="487"/>
      <c r="E47" s="275" t="str">
        <f>CONCATENATE("MOE Result for SFY ",'2. Getting Started'!B$6+4)</f>
        <v>MOE Result for SFY 2025</v>
      </c>
      <c r="F47" s="285" t="str">
        <f>IF(F46="","",IF(F46&gt;=F45,"Met","Did Not Meet"))</f>
        <v/>
      </c>
    </row>
    <row r="48" spans="1:9" ht="15" customHeight="1">
      <c r="A48" s="479" t="s">
        <v>174</v>
      </c>
      <c r="B48" s="479"/>
      <c r="C48" s="487"/>
      <c r="D48" s="487"/>
      <c r="E48" s="479" t="s">
        <v>174</v>
      </c>
      <c r="F48" s="479"/>
    </row>
    <row r="49" spans="1:9" ht="15.75" customHeight="1">
      <c r="A49" s="5" t="str">
        <f>CONCATENATE("Year 6: SFY ",'2. Getting Started'!B$6+5)</f>
        <v>Year 6: SFY 2026</v>
      </c>
      <c r="B49" s="4"/>
      <c r="C49" s="487"/>
      <c r="D49" s="487"/>
      <c r="E49" s="5" t="str">
        <f>CONCATENATE("Year 6: SFY ",'2. Getting Started'!B$6+5)</f>
        <v>Year 6: SFY 2026</v>
      </c>
      <c r="F49" s="4"/>
    </row>
    <row r="50" spans="1:9" ht="15" customHeight="1">
      <c r="A50" s="224" t="str">
        <f>CONCATENATE("Starting MOE Threshold for SFY ",'2. Getting Started'!B$6+5)</f>
        <v>Starting MOE Threshold for SFY 2026</v>
      </c>
      <c r="B50" s="258" t="e">
        <f>IF(F39="Met",F38,F37)</f>
        <v>#N/A</v>
      </c>
      <c r="C50" s="487"/>
      <c r="D50" s="487"/>
      <c r="E50" s="224" t="str">
        <f>CONCATENATE("Starting MOE Threshold for SFY ",'2. Getting Started'!B$6+5)</f>
        <v>Starting MOE Threshold for SFY 2026</v>
      </c>
      <c r="F50" s="258" t="e">
        <f>IF(F47="Met",F46,F45)</f>
        <v>#N/A</v>
      </c>
    </row>
    <row r="51" spans="1:9" ht="15" customHeight="1">
      <c r="A51" s="224" t="str">
        <f>CONCATENATE("SFY ",'2. Getting Started'!B$6+4," + ",'2. Getting Started'!B$6+5," Projected Exceptions")</f>
        <v>SFY 2025 + 2026 Projected Exceptions</v>
      </c>
      <c r="B51" s="258" t="e">
        <f>IF(B6="","",(('18. Year 5 Exc &amp; Adj'!B68+'21. Year 6 Exc &amp; Adj'!B68)/I43))</f>
        <v>#N/A</v>
      </c>
      <c r="C51" s="487"/>
      <c r="D51" s="487"/>
      <c r="E51" s="224" t="str">
        <f>CONCATENATE("SFY ",'2. Getting Started'!B$6+5," Exceptions")</f>
        <v>SFY 2026 Exceptions</v>
      </c>
      <c r="F51" s="258" t="e">
        <f>IF(F6="","",('21. Year 6 Exc &amp; Adj'!I68/I51))</f>
        <v>#N/A</v>
      </c>
      <c r="H51" t="s">
        <v>118</v>
      </c>
      <c r="I51" t="e">
        <f>IF(F47="Met",'17. Year 5 Amounts'!I1,IF(F39="Met",'14. Year 4 Amounts'!I1,IF(F31="Met",'11. Year 3 Amounts'!I1,IF(F23="Met",'8. Year 2 Amounts'!I1,IF(F15="Met",'5. Year 1 Amounts'!I1,F6)))))</f>
        <v>#N/A</v>
      </c>
    </row>
    <row r="52" spans="1:9" ht="15" customHeight="1">
      <c r="A52" s="224" t="str">
        <f>CONCATENATE("SFY ",'2. Getting Started'!B$6+4," + ",'2. Getting Started'!B$6+5," Projected Adjustments")</f>
        <v>SFY 2025 + 2026 Projected Adjustments</v>
      </c>
      <c r="B52" s="258" t="e">
        <f>IF(B6="","",((AdjDataYear5Budget[Projected Adjustment]+AdjDataYear6Budget[Projected Adjustment])/I43))</f>
        <v>#N/A</v>
      </c>
      <c r="C52" s="487"/>
      <c r="D52" s="487"/>
      <c r="E52" s="224" t="str">
        <f>CONCATENATE("SFY ",'2. Getting Started'!B$6+5," Adjustment")</f>
        <v>SFY 2026 Adjustment</v>
      </c>
      <c r="F52" s="258" t="e">
        <f>IF(F6="","",(AdjDataYear6Expenditures[[Adjustment ]]/I51))</f>
        <v>#N/A</v>
      </c>
    </row>
    <row r="53" spans="1:9" ht="15" customHeight="1">
      <c r="A53" s="224" t="str">
        <f>CONCATENATE("Adjusted MOE Threshold for SFY ",'2. Getting Started'!B$6+5)</f>
        <v>Adjusted MOE Threshold for SFY 2026</v>
      </c>
      <c r="B53" s="258" t="e">
        <f>IF(B50="","",(B50-B51-B52))</f>
        <v>#N/A</v>
      </c>
      <c r="C53" s="487"/>
      <c r="D53" s="487"/>
      <c r="E53" s="224" t="str">
        <f>CONCATENATE("Adjusted MOE Threshold for SFY ",'2. Getting Started'!B$6+5)</f>
        <v>Adjusted MOE Threshold for SFY 2026</v>
      </c>
      <c r="F53" s="258" t="e">
        <f>IF(F50="","",(F50-F51-F52))</f>
        <v>#N/A</v>
      </c>
    </row>
    <row r="54" spans="1:9" ht="15" customHeight="1">
      <c r="A54" s="224" t="str">
        <f>CONCATENATE("Budgeted Amount for SFY ",'2. Getting Started'!B$6+5)</f>
        <v>Budgeted Amount for SFY 2026</v>
      </c>
      <c r="B54" s="258" t="str">
        <f>'20. Year 6 Amounts'!F31</f>
        <v/>
      </c>
      <c r="C54" s="487"/>
      <c r="D54" s="487"/>
      <c r="E54" s="224" t="str">
        <f>CONCATENATE("Final Expenditures for SFY ",'2. Getting Started'!B$6+5)</f>
        <v>Final Expenditures for SFY 2026</v>
      </c>
      <c r="F54" s="258" t="str">
        <f>'20. Year 6 Amounts'!M31</f>
        <v/>
      </c>
    </row>
    <row r="55" spans="1:9" ht="15" customHeight="1">
      <c r="A55" s="275" t="str">
        <f>CONCATENATE("MOE Result for SFY ",'2. Getting Started'!B$6+5)</f>
        <v>MOE Result for SFY 2026</v>
      </c>
      <c r="B55" s="285" t="str">
        <f>IF(B54="","",IF(B54&gt;=B53,"Met","Did Not Meet"))</f>
        <v/>
      </c>
      <c r="C55" s="487"/>
      <c r="D55" s="487"/>
      <c r="E55" s="275" t="str">
        <f>CONCATENATE("MOE Result for SFY ",'2. Getting Started'!B$6+5)</f>
        <v>MOE Result for SFY 2026</v>
      </c>
      <c r="F55" s="285" t="str">
        <f>IF(F54="","",IF(F54&gt;=F53,"Met","Did Not Meet"))</f>
        <v/>
      </c>
    </row>
    <row r="56" spans="1:9" ht="15" customHeight="1">
      <c r="A56" s="479" t="s">
        <v>174</v>
      </c>
      <c r="B56" s="479"/>
      <c r="C56" s="487"/>
      <c r="D56" s="487"/>
      <c r="E56" s="479" t="s">
        <v>174</v>
      </c>
      <c r="F56" s="479"/>
    </row>
    <row r="57" spans="1:9" ht="15.75" customHeight="1">
      <c r="A57" s="5" t="str">
        <f>CONCATENATE("Year 7: SFY ",'2. Getting Started'!B$6+6)</f>
        <v>Year 7: SFY 2027</v>
      </c>
      <c r="B57" s="4"/>
      <c r="C57" s="487"/>
      <c r="D57" s="487"/>
      <c r="E57" s="5" t="str">
        <f>CONCATENATE("Year 7: SFY ",'2. Getting Started'!B$6+6)</f>
        <v>Year 7: SFY 2027</v>
      </c>
      <c r="F57" s="4"/>
    </row>
    <row r="58" spans="1:9" ht="15" customHeight="1">
      <c r="A58" s="224" t="str">
        <f>CONCATENATE("Starting MOE Threshold for SFY ",'2. Getting Started'!B$6+6)</f>
        <v>Starting MOE Threshold for SFY 2027</v>
      </c>
      <c r="B58" s="258" t="e">
        <f>IF(F47="Met",F46,F45)</f>
        <v>#N/A</v>
      </c>
      <c r="C58" s="487"/>
      <c r="D58" s="487"/>
      <c r="E58" s="224" t="str">
        <f>CONCATENATE("Starting MOE Threshold for SFY ",'2. Getting Started'!B$6+6)</f>
        <v>Starting MOE Threshold for SFY 2027</v>
      </c>
      <c r="F58" s="258" t="e">
        <f>IF(F55="Met",F54,F53)</f>
        <v>#N/A</v>
      </c>
    </row>
    <row r="59" spans="1:9" ht="15" customHeight="1">
      <c r="A59" s="224" t="str">
        <f>CONCATENATE("SFY ",'2. Getting Started'!B$6+5," + ",'2. Getting Started'!B$6+6," Projected Exceptions")</f>
        <v>SFY 2026 + 2027 Projected Exceptions</v>
      </c>
      <c r="B59" s="258" t="e">
        <f>IF(B6="","",(('21. Year 6 Exc &amp; Adj'!B68+'24. Year 7 Exc &amp; Adj'!B68)/I51))</f>
        <v>#N/A</v>
      </c>
      <c r="C59" s="487"/>
      <c r="D59" s="487"/>
      <c r="E59" s="224" t="str">
        <f>CONCATENATE("SFY ",'2. Getting Started'!B$6+6," Exceptions")</f>
        <v>SFY 2027 Exceptions</v>
      </c>
      <c r="F59" s="258" t="e">
        <f>IF(F6="","",('24. Year 7 Exc &amp; Adj'!I68/I59))</f>
        <v>#N/A</v>
      </c>
      <c r="H59" t="s">
        <v>118</v>
      </c>
      <c r="I59" t="e">
        <f>IF(F55="Met",'20. Year 6 Amounts'!I1,IF(F47="Met",'17. Year 5 Amounts'!I1,IF(F39="Met",'14. Year 4 Amounts'!I1,IF(F31="Met",'11. Year 3 Amounts'!I1,IF(F23="Met",'8. Year 2 Amounts'!I1,IF(F15="Met",'5. Year 1 Amounts'!I1,F6))))))</f>
        <v>#N/A</v>
      </c>
    </row>
    <row r="60" spans="1:9" ht="15" customHeight="1">
      <c r="A60" s="224" t="str">
        <f>CONCATENATE("SFY ",'2. Getting Started'!B$6+5," + ",'2. Getting Started'!B$6+6," Projected Adjustments")</f>
        <v>SFY 2026 + 2027 Projected Adjustments</v>
      </c>
      <c r="B60" s="258" t="e">
        <f>IF(B6="","",((AdjDataYear6Budget[Projected Adjustment]+AdjDataYear7Budget[Projected Adjustment])/I51))</f>
        <v>#N/A</v>
      </c>
      <c r="C60" s="487"/>
      <c r="D60" s="487"/>
      <c r="E60" s="224" t="str">
        <f>CONCATENATE("SFY ",'2. Getting Started'!B$6+6," Adjustment")</f>
        <v>SFY 2027 Adjustment</v>
      </c>
      <c r="F60" s="258" t="e">
        <f>IF(F6="","",(AdjDataYear7Expenditures[[Adjustment ]]/I59))</f>
        <v>#N/A</v>
      </c>
    </row>
    <row r="61" spans="1:9" ht="15" customHeight="1">
      <c r="A61" s="224" t="str">
        <f>CONCATENATE("Adjusted MOE Threshold for SFY ",'2. Getting Started'!B$6+6)</f>
        <v>Adjusted MOE Threshold for SFY 2027</v>
      </c>
      <c r="B61" s="258" t="e">
        <f>IF(B58="","",(B58-B59-B60))</f>
        <v>#N/A</v>
      </c>
      <c r="C61" s="487"/>
      <c r="D61" s="487"/>
      <c r="E61" s="224" t="str">
        <f>CONCATENATE("Adjusted MOE Threshold for SFY ",'2. Getting Started'!B$6+6)</f>
        <v>Adjusted MOE Threshold for SFY 2027</v>
      </c>
      <c r="F61" s="258" t="e">
        <f>IF(F58="","",(F58-F59-F60))</f>
        <v>#N/A</v>
      </c>
    </row>
    <row r="62" spans="1:9" ht="15" customHeight="1">
      <c r="A62" s="224" t="str">
        <f>CONCATENATE("Budgeted Amount for SFY ",'2. Getting Started'!B$6+6)</f>
        <v>Budgeted Amount for SFY 2027</v>
      </c>
      <c r="B62" s="258" t="str">
        <f>'23. Year 7 Amounts'!F31</f>
        <v/>
      </c>
      <c r="C62" s="487"/>
      <c r="D62" s="487"/>
      <c r="E62" s="224" t="str">
        <f>CONCATENATE("Final Expenditures for SFY ",'2. Getting Started'!B$6+6)</f>
        <v>Final Expenditures for SFY 2027</v>
      </c>
      <c r="F62" s="258" t="str">
        <f>'23. Year 7 Amounts'!M31</f>
        <v/>
      </c>
    </row>
    <row r="63" spans="1:9" ht="15" customHeight="1">
      <c r="A63" s="275" t="str">
        <f>CONCATENATE("MOE Result for SFY ",'2. Getting Started'!B$6+6)</f>
        <v>MOE Result for SFY 2027</v>
      </c>
      <c r="B63" s="285" t="str">
        <f>IF(B62="","",IF(B62&gt;=B61,"Met","Did Not Meet"))</f>
        <v/>
      </c>
      <c r="C63" s="487"/>
      <c r="D63" s="487"/>
      <c r="E63" s="275" t="str">
        <f>CONCATENATE("MOE Result for SFY ",'2. Getting Started'!B$6+6)</f>
        <v>MOE Result for SFY 2027</v>
      </c>
      <c r="F63" s="285" t="str">
        <f>IF(F62="","",IF(F62&gt;=F61,"Met","Did Not Meet"))</f>
        <v/>
      </c>
    </row>
    <row r="64" spans="1:9" ht="15" customHeight="1">
      <c r="A64" s="479" t="s">
        <v>174</v>
      </c>
      <c r="B64" s="479"/>
      <c r="C64" s="487"/>
      <c r="D64" s="487"/>
      <c r="E64" s="479" t="s">
        <v>174</v>
      </c>
      <c r="F64" s="479"/>
    </row>
    <row r="65" spans="1:9" ht="15.75" customHeight="1">
      <c r="A65" s="5" t="str">
        <f>CONCATENATE("Year 8: SFY ",'2. Getting Started'!B$6+7)</f>
        <v>Year 8: SFY 2028</v>
      </c>
      <c r="B65" s="4"/>
      <c r="C65" s="487"/>
      <c r="D65" s="487"/>
      <c r="E65" s="5" t="str">
        <f>CONCATENATE("Year 8: SFY ",'2. Getting Started'!B$6+7)</f>
        <v>Year 8: SFY 2028</v>
      </c>
      <c r="F65" s="4"/>
    </row>
    <row r="66" spans="1:9" ht="15" customHeight="1">
      <c r="A66" s="224" t="str">
        <f>CONCATENATE("Starting MOE Threshold for SFY ",'2. Getting Started'!B$6+7)</f>
        <v>Starting MOE Threshold for SFY 2028</v>
      </c>
      <c r="B66" s="258" t="e">
        <f>IF(F55="Met",F54,F53)</f>
        <v>#N/A</v>
      </c>
      <c r="C66" s="487"/>
      <c r="D66" s="487"/>
      <c r="E66" s="224" t="str">
        <f>CONCATENATE("Starting MOE Threshold for SFY ",'2. Getting Started'!B$6+7)</f>
        <v>Starting MOE Threshold for SFY 2028</v>
      </c>
      <c r="F66" s="258" t="e">
        <f>IF(F63="Met",F62,F61)</f>
        <v>#N/A</v>
      </c>
    </row>
    <row r="67" spans="1:9" ht="15" customHeight="1">
      <c r="A67" s="224" t="str">
        <f>CONCATENATE("SFY ",'2. Getting Started'!B$6+6," + ",'2. Getting Started'!B$6+7," Projected Exceptions")</f>
        <v>SFY 2027 + 2028 Projected Exceptions</v>
      </c>
      <c r="B67" s="258" t="e">
        <f>IF(B6="","",(('24. Year 7 Exc &amp; Adj'!B68+'27. Year 8 Exc &amp; Adj'!B68)/I59))</f>
        <v>#N/A</v>
      </c>
      <c r="C67" s="487"/>
      <c r="D67" s="487"/>
      <c r="E67" s="224" t="str">
        <f>CONCATENATE("SFY ",'2. Getting Started'!B$6+7," Exceptions")</f>
        <v>SFY 2028 Exceptions</v>
      </c>
      <c r="F67" s="258" t="e">
        <f>IF(F6="","",('27. Year 8 Exc &amp; Adj'!I68/I67))</f>
        <v>#N/A</v>
      </c>
      <c r="H67" t="s">
        <v>118</v>
      </c>
      <c r="I67" t="e">
        <f>IF(F63="Met",'23. Year 7 Amounts'!I1,IF(F55="Met",'20. Year 6 Amounts'!I1,IF(F47="Met",'17. Year 5 Amounts'!I1,IF(F39="Met",'14. Year 4 Amounts'!I1,IF(F31="Met",'11. Year 3 Amounts'!I1,IF(F23="Met",'8. Year 2 Amounts'!I1,IF(F15="Met",'5. Year 1 Amounts'!I1,F6)))))))</f>
        <v>#N/A</v>
      </c>
    </row>
    <row r="68" spans="1:9" ht="15" customHeight="1">
      <c r="A68" s="224" t="str">
        <f>CONCATENATE("SFY ",'2. Getting Started'!B$6+6," + ",'2. Getting Started'!B$6+7," Projected Adjustments")</f>
        <v>SFY 2027 + 2028 Projected Adjustments</v>
      </c>
      <c r="B68" s="258" t="e">
        <f>IF(B6="","",((AdjDataYear7Budget[Projected Adjustment]+AdjDataYear8Budget[Projected Adjustment])/I59))</f>
        <v>#N/A</v>
      </c>
      <c r="C68" s="487"/>
      <c r="D68" s="487"/>
      <c r="E68" s="224" t="str">
        <f>CONCATENATE("SFY ",'2. Getting Started'!B$6+7," Adjustment")</f>
        <v>SFY 2028 Adjustment</v>
      </c>
      <c r="F68" s="258" t="e">
        <f>IF(F6="","",(AdjDataYear8Expenditures[[Adjustment ]]/I67))</f>
        <v>#N/A</v>
      </c>
    </row>
    <row r="69" spans="1:9" ht="15" customHeight="1">
      <c r="A69" s="224" t="str">
        <f>CONCATENATE("Adjusted MOE Threshold for SFY ",'2. Getting Started'!B$6+7)</f>
        <v>Adjusted MOE Threshold for SFY 2028</v>
      </c>
      <c r="B69" s="258" t="e">
        <f>IF(B66="","",(B66-B67-B68))</f>
        <v>#N/A</v>
      </c>
      <c r="C69" s="487"/>
      <c r="D69" s="487"/>
      <c r="E69" s="224" t="str">
        <f>CONCATENATE("Adjusted MOE Threshold for SFY ",'2. Getting Started'!B$6+7)</f>
        <v>Adjusted MOE Threshold for SFY 2028</v>
      </c>
      <c r="F69" s="258" t="e">
        <f>IF(F66="","",(F66-F67-F68))</f>
        <v>#N/A</v>
      </c>
    </row>
    <row r="70" spans="1:9" ht="15" customHeight="1">
      <c r="A70" s="224" t="str">
        <f>CONCATENATE("Budgeted Amount for SFY ",'2. Getting Started'!B$6+7)</f>
        <v>Budgeted Amount for SFY 2028</v>
      </c>
      <c r="B70" s="258" t="str">
        <f>'26. Year 8 Amounts'!F31</f>
        <v/>
      </c>
      <c r="C70" s="487"/>
      <c r="D70" s="487"/>
      <c r="E70" s="224" t="str">
        <f>CONCATENATE("Final Expenditures for SFY ",'2. Getting Started'!B$6+7)</f>
        <v>Final Expenditures for SFY 2028</v>
      </c>
      <c r="F70" s="258" t="str">
        <f>'26. Year 8 Amounts'!M31</f>
        <v/>
      </c>
    </row>
    <row r="71" spans="1:9" ht="15" customHeight="1">
      <c r="A71" s="275" t="str">
        <f>CONCATENATE("MOE Result for SFY ",'2. Getting Started'!B$6+7)</f>
        <v>MOE Result for SFY 2028</v>
      </c>
      <c r="B71" s="285" t="str">
        <f>IF(B70="","",IF(B70&gt;=B69,"Met","Did Not Meet"))</f>
        <v/>
      </c>
      <c r="C71" s="487"/>
      <c r="D71" s="487"/>
      <c r="E71" s="275" t="str">
        <f>CONCATENATE("MOE Result for SFY ",'2. Getting Started'!B$6+7)</f>
        <v>MOE Result for SFY 2028</v>
      </c>
      <c r="F71" s="285" t="str">
        <f>IF(F70="","",IF(F70&gt;=F69,"Met","Did Not Meet"))</f>
        <v/>
      </c>
    </row>
    <row r="72" spans="1:9" ht="15" customHeight="1">
      <c r="A72" s="479" t="s">
        <v>174</v>
      </c>
      <c r="B72" s="479"/>
      <c r="C72" s="487"/>
      <c r="D72" s="487"/>
      <c r="E72" s="479" t="s">
        <v>174</v>
      </c>
      <c r="F72" s="479"/>
    </row>
    <row r="73" spans="1:9" ht="15.75" customHeight="1">
      <c r="A73" s="5" t="str">
        <f>CONCATENATE("Year 9: SFY ",'2. Getting Started'!B$6+8)</f>
        <v>Year 9: SFY 2029</v>
      </c>
      <c r="B73" s="4"/>
      <c r="C73" s="487"/>
      <c r="D73" s="487"/>
      <c r="E73" s="5" t="str">
        <f>CONCATENATE("Year 9: SFY ",'2. Getting Started'!B$6+8)</f>
        <v>Year 9: SFY 2029</v>
      </c>
      <c r="F73" s="4"/>
    </row>
    <row r="74" spans="1:9" ht="15" customHeight="1">
      <c r="A74" s="224" t="str">
        <f>CONCATENATE("Starting MOE Threshold for SFY ",'2. Getting Started'!B$6+8)</f>
        <v>Starting MOE Threshold for SFY 2029</v>
      </c>
      <c r="B74" s="258" t="e">
        <f>IF(F63="Met",F62,F61)</f>
        <v>#N/A</v>
      </c>
      <c r="C74" s="487"/>
      <c r="D74" s="487"/>
      <c r="E74" s="224" t="str">
        <f>CONCATENATE("Starting MOE Threshold for SFY ",'2. Getting Started'!B$6+8)</f>
        <v>Starting MOE Threshold for SFY 2029</v>
      </c>
      <c r="F74" s="258" t="e">
        <f>IF(F71="Met",F70,F69)</f>
        <v>#N/A</v>
      </c>
    </row>
    <row r="75" spans="1:9" ht="15" customHeight="1">
      <c r="A75" s="224" t="str">
        <f>CONCATENATE("SFY ",'2. Getting Started'!B$6+7," + ",'2. Getting Started'!B$6+8," Projected Exceptions")</f>
        <v>SFY 2028 + 2029 Projected Exceptions</v>
      </c>
      <c r="B75" s="258" t="e">
        <f>IF(B6="","",(('27. Year 8 Exc &amp; Adj'!B68+'30. Year 9 Exc &amp; Adj'!B68)/I67))</f>
        <v>#N/A</v>
      </c>
      <c r="C75" s="487"/>
      <c r="D75" s="487"/>
      <c r="E75" s="224" t="str">
        <f>CONCATENATE("SFY ",'2. Getting Started'!B$6+8," Exceptions")</f>
        <v>SFY 2029 Exceptions</v>
      </c>
      <c r="F75" s="258" t="e">
        <f>IF(F6="","",('30. Year 9 Exc &amp; Adj'!I68/I75))</f>
        <v>#N/A</v>
      </c>
      <c r="H75" t="s">
        <v>118</v>
      </c>
      <c r="I75" t="e">
        <f>IF(F71="Met",'26. Year 8 Amounts'!I1,IF(F63="Met",'23. Year 7 Amounts'!I1,IF(F55="Met",'20. Year 6 Amounts'!I1,IF(F47="Met",'17. Year 5 Amounts'!I1,IF(F39="Met",'14. Year 4 Amounts'!I1,IF(F31="Met",'11. Year 3 Amounts'!I1,IF(F23="Met",'8. Year 2 Amounts'!I1,IF(F15="Met",'5. Year 1 Amounts'!I1,F6))))))))</f>
        <v>#N/A</v>
      </c>
    </row>
    <row r="76" spans="1:9" ht="15" customHeight="1">
      <c r="A76" s="224" t="str">
        <f>CONCATENATE("SFY ",'2. Getting Started'!B$6+7," + ",'2. Getting Started'!B$6+8," Projected Adjustments")</f>
        <v>SFY 2028 + 2029 Projected Adjustments</v>
      </c>
      <c r="B76" s="258" t="e">
        <f>IF(B6="","",((AdjDataYear8Budget[Projected Adjustment]+AdjDataYear9Budget[Projected Adjustment])/I67))</f>
        <v>#N/A</v>
      </c>
      <c r="C76" s="487"/>
      <c r="D76" s="487"/>
      <c r="E76" s="224" t="str">
        <f>CONCATENATE("SFY ",'2. Getting Started'!B$6+8," Adjustment")</f>
        <v>SFY 2029 Adjustment</v>
      </c>
      <c r="F76" s="258" t="e">
        <f>IF(F6="","",(AdjDataYear9Expenditures[[Adjustment ]]/I75))</f>
        <v>#N/A</v>
      </c>
    </row>
    <row r="77" spans="1:9" ht="15" customHeight="1">
      <c r="A77" s="224" t="str">
        <f>CONCATENATE("Adjusted MOE Threshold for SFY ",'2. Getting Started'!B$6+8)</f>
        <v>Adjusted MOE Threshold for SFY 2029</v>
      </c>
      <c r="B77" s="258" t="e">
        <f>IF(B74="","",(B74-B75-B76))</f>
        <v>#N/A</v>
      </c>
      <c r="C77" s="487"/>
      <c r="D77" s="487"/>
      <c r="E77" s="224" t="str">
        <f>CONCATENATE("Adjusted MOE Threshold for SFY ",'2. Getting Started'!B$6+8)</f>
        <v>Adjusted MOE Threshold for SFY 2029</v>
      </c>
      <c r="F77" s="258" t="e">
        <f>IF(F74="","",(F74-F75-F76))</f>
        <v>#N/A</v>
      </c>
    </row>
    <row r="78" spans="1:9" ht="15" customHeight="1">
      <c r="A78" s="224" t="str">
        <f>CONCATENATE("Budgeted Amount for SFY ",'2. Getting Started'!B$6+8)</f>
        <v>Budgeted Amount for SFY 2029</v>
      </c>
      <c r="B78" s="258" t="str">
        <f>'29. Year 9 Amounts'!F31</f>
        <v/>
      </c>
      <c r="C78" s="487"/>
      <c r="D78" s="487"/>
      <c r="E78" s="224" t="str">
        <f>CONCATENATE("Final Expenditures for SFY ",'2. Getting Started'!B$6+8)</f>
        <v>Final Expenditures for SFY 2029</v>
      </c>
      <c r="F78" s="258" t="str">
        <f>'29. Year 9 Amounts'!M31</f>
        <v/>
      </c>
    </row>
    <row r="79" spans="1:9" ht="15" customHeight="1">
      <c r="A79" s="275" t="str">
        <f>CONCATENATE("MOE Result for SFY ",'2. Getting Started'!B$6+8)</f>
        <v>MOE Result for SFY 2029</v>
      </c>
      <c r="B79" s="285" t="str">
        <f>IF(B78="","",IF(B78&gt;=B77,"Met","Did Not Meet"))</f>
        <v/>
      </c>
      <c r="C79" s="487"/>
      <c r="D79" s="487"/>
      <c r="E79" s="275" t="str">
        <f>CONCATENATE("MOE Result for SFY ",'2. Getting Started'!B$6+8)</f>
        <v>MOE Result for SFY 2029</v>
      </c>
      <c r="F79" s="285" t="str">
        <f>IF(F78="","",IF(F78&gt;=F77,"Met","Did Not Meet"))</f>
        <v/>
      </c>
    </row>
    <row r="80" spans="1:9" ht="15" customHeight="1">
      <c r="A80" s="479" t="s">
        <v>174</v>
      </c>
      <c r="B80" s="479"/>
      <c r="C80" s="487"/>
      <c r="D80" s="487"/>
      <c r="E80" s="479" t="s">
        <v>174</v>
      </c>
      <c r="F80" s="479"/>
    </row>
    <row r="81" spans="1:9" ht="15.75" customHeight="1">
      <c r="A81" s="5" t="str">
        <f>CONCATENATE("Year 10: SFY ",'2. Getting Started'!B$6+9)</f>
        <v>Year 10: SFY 2030</v>
      </c>
      <c r="B81" s="4"/>
      <c r="C81" s="487"/>
      <c r="D81" s="487"/>
      <c r="E81" s="5" t="str">
        <f>CONCATENATE("Year 10: SFY ",'2. Getting Started'!B$6+9)</f>
        <v>Year 10: SFY 2030</v>
      </c>
      <c r="F81" s="4"/>
    </row>
    <row r="82" spans="1:9" ht="15" customHeight="1">
      <c r="A82" s="224" t="str">
        <f>CONCATENATE("Starting MOE Threshold for SFY ",'2. Getting Started'!B$6+9)</f>
        <v>Starting MOE Threshold for SFY 2030</v>
      </c>
      <c r="B82" s="258" t="e">
        <f>IF(F71="Met",F70,F69)</f>
        <v>#N/A</v>
      </c>
      <c r="C82" s="487"/>
      <c r="D82" s="487"/>
      <c r="E82" s="224" t="str">
        <f>CONCATENATE("Starting MOE Threshold for SFY ",'2. Getting Started'!B$6+9)</f>
        <v>Starting MOE Threshold for SFY 2030</v>
      </c>
      <c r="F82" s="258" t="e">
        <f>IF(F79="Met",F78,F77)</f>
        <v>#N/A</v>
      </c>
    </row>
    <row r="83" spans="1:9" ht="15" customHeight="1">
      <c r="A83" s="224" t="str">
        <f>CONCATENATE("SFY ",'2. Getting Started'!B$6+8," + ",'2. Getting Started'!B$6+9," Projected Exceptions")</f>
        <v>SFY 2029 + 2030 Projected Exceptions</v>
      </c>
      <c r="B83" s="258" t="e">
        <f>IF(B6="","",(('30. Year 9 Exc &amp; Adj'!B68+'33. Year 10 Exc &amp; Adj'!B68)/I75))</f>
        <v>#N/A</v>
      </c>
      <c r="C83" s="487"/>
      <c r="D83" s="487"/>
      <c r="E83" s="224" t="str">
        <f>CONCATENATE("SFY ",'2. Getting Started'!B$6+9," Exceptions")</f>
        <v>SFY 2030 Exceptions</v>
      </c>
      <c r="F83" s="258" t="e">
        <f>IF(F6="","",('33. Year 10 Exc &amp; Adj'!I68/I83))</f>
        <v>#N/A</v>
      </c>
      <c r="H83" t="s">
        <v>118</v>
      </c>
      <c r="I83" t="e">
        <f>IF(F79="Met",'29. Year 9 Amounts'!I1,IF(F71="Met",'26. Year 8 Amounts'!I1,IF(F63="Met",'23. Year 7 Amounts'!I1,IF(F55="Met",'20. Year 6 Amounts'!I1,IF(F47="Met",'17. Year 5 Amounts'!I1,IF(F39="Met",'14. Year 4 Amounts'!I1,IF(F31="Met",'11. Year 3 Amounts'!I1,IF(F23="Met",'8. Year 2 Amounts'!I1,IF(F15="Met",'5. Year 1 Amounts'!I1,F6)))))))))</f>
        <v>#N/A</v>
      </c>
    </row>
    <row r="84" spans="1:9" ht="15" customHeight="1">
      <c r="A84" s="224" t="str">
        <f>CONCATENATE("SFY ",'2. Getting Started'!B$6+8," + ",'2. Getting Started'!B$6+9," Projected Adjustments")</f>
        <v>SFY 2029 + 2030 Projected Adjustments</v>
      </c>
      <c r="B84" s="258" t="e">
        <f>IF(B6="","",((AdjDataYear9Budget[Projected Adjustment]+AdjDataYear10Budget[Projected Adjustment])/I75))</f>
        <v>#N/A</v>
      </c>
      <c r="C84" s="487"/>
      <c r="D84" s="487"/>
      <c r="E84" s="224" t="str">
        <f>CONCATENATE("SFY ",'2. Getting Started'!B$6+9," Adjustment")</f>
        <v>SFY 2030 Adjustment</v>
      </c>
      <c r="F84" s="258" t="e">
        <f>IF(F6="","",(AdjDataYear10Expenditures[[Adjustment ]]/I83))</f>
        <v>#N/A</v>
      </c>
    </row>
    <row r="85" spans="1:9" ht="15" customHeight="1">
      <c r="A85" s="224" t="str">
        <f>CONCATENATE("Adjusted MOE Threshold for SFY ",'2. Getting Started'!B$6+9)</f>
        <v>Adjusted MOE Threshold for SFY 2030</v>
      </c>
      <c r="B85" s="258" t="e">
        <f>IF(B82="","",(B82-B83-B84))</f>
        <v>#N/A</v>
      </c>
      <c r="C85" s="487"/>
      <c r="D85" s="487"/>
      <c r="E85" s="224" t="str">
        <f>CONCATENATE("Adjusted MOE Threshold for SFY ",'2. Getting Started'!B$6+9)</f>
        <v>Adjusted MOE Threshold for SFY 2030</v>
      </c>
      <c r="F85" s="258" t="e">
        <f>IF(F82="","",(F82-F83-F84))</f>
        <v>#N/A</v>
      </c>
    </row>
    <row r="86" spans="1:9" ht="15" customHeight="1">
      <c r="A86" s="224" t="str">
        <f>CONCATENATE("Budgeted Amount for SFY ",'2. Getting Started'!B$6+9)</f>
        <v>Budgeted Amount for SFY 2030</v>
      </c>
      <c r="B86" s="258" t="str">
        <f>'32. Year 10 Amounts'!F31</f>
        <v/>
      </c>
      <c r="C86" s="487"/>
      <c r="D86" s="487"/>
      <c r="E86" s="224" t="str">
        <f>CONCATENATE("Final Expenditures for SFY ",'2. Getting Started'!B$6+9)</f>
        <v>Final Expenditures for SFY 2030</v>
      </c>
      <c r="F86" s="258" t="str">
        <f>'32. Year 10 Amounts'!M31</f>
        <v/>
      </c>
    </row>
    <row r="87" spans="1:9" ht="15" customHeight="1">
      <c r="A87" s="275" t="str">
        <f>CONCATENATE("MOE Result for SFY ",'2. Getting Started'!B$6+9)</f>
        <v>MOE Result for SFY 2030</v>
      </c>
      <c r="B87" s="285" t="str">
        <f>IF(B86="","",IF(B86&gt;=B85,"Met","Did Not Meet"))</f>
        <v/>
      </c>
      <c r="C87" s="487"/>
      <c r="D87" s="487"/>
      <c r="E87" s="275" t="str">
        <f>CONCATENATE("MOE Result for SFY ",'2. Getting Started'!B$6+9)</f>
        <v>MOE Result for SFY 2030</v>
      </c>
      <c r="F87" s="285" t="str">
        <f>IF(F86="","",IF(F86&gt;=F85,"Met","Did Not Meet"))</f>
        <v/>
      </c>
    </row>
    <row r="88" spans="1:9" ht="15" customHeight="1">
      <c r="A88" s="479" t="s">
        <v>174</v>
      </c>
      <c r="B88" s="479"/>
      <c r="C88" s="487"/>
      <c r="D88" s="487"/>
      <c r="E88" s="479" t="s">
        <v>174</v>
      </c>
      <c r="F88" s="479"/>
    </row>
    <row r="89" spans="1:9" ht="15.75" customHeight="1">
      <c r="A89" s="5" t="str">
        <f>CONCATENATE("Year 11: SFY ",'2. Getting Started'!B$6+10)</f>
        <v>Year 11: SFY 2031</v>
      </c>
      <c r="B89" s="4"/>
      <c r="C89" s="487"/>
      <c r="D89" s="487"/>
      <c r="E89" s="5" t="str">
        <f>CONCATENATE("Year 11: SFY ",'2. Getting Started'!B$6+10)</f>
        <v>Year 11: SFY 2031</v>
      </c>
      <c r="F89" s="4"/>
    </row>
    <row r="90" spans="1:9" ht="15" customHeight="1">
      <c r="A90" s="224" t="str">
        <f>CONCATENATE("Starting MOE Threshold for SFY ",'2. Getting Started'!B$6+10)</f>
        <v>Starting MOE Threshold for SFY 2031</v>
      </c>
      <c r="B90" s="258" t="e">
        <f>IF(F79="Met",F78,F77)</f>
        <v>#N/A</v>
      </c>
      <c r="C90" s="487"/>
      <c r="D90" s="487"/>
      <c r="E90" s="481" t="s">
        <v>47</v>
      </c>
      <c r="F90" s="482"/>
    </row>
    <row r="91" spans="1:9" ht="15" customHeight="1">
      <c r="A91" s="224" t="str">
        <f>CONCATENATE("SFY ",'2. Getting Started'!B$6+9," + ",'2. Getting Started'!B$6+10," Projected Exceptions")</f>
        <v>SFY 2030 + 2031 Projected Exceptions</v>
      </c>
      <c r="B91" s="258" t="e">
        <f>IF(B6="","",(('33. Year 10 Exc &amp; Adj'!B68+'36. Year 11 Exc &amp; Adj'!B68)/I83))</f>
        <v>#N/A</v>
      </c>
      <c r="C91" s="487"/>
      <c r="D91" s="487"/>
      <c r="E91" s="483"/>
      <c r="F91" s="484"/>
    </row>
    <row r="92" spans="1:9" ht="15" customHeight="1">
      <c r="A92" s="224" t="str">
        <f>CONCATENATE("SFY ",'2. Getting Started'!B$6+9," + ",'2. Getting Started'!B$6+10," Projected Adjustments")</f>
        <v>SFY 2030 + 2031 Projected Adjustments</v>
      </c>
      <c r="B92" s="258" t="e">
        <f>IF(B6="","",((AdjDataYear10Budget[Projected Adjustment]+AdjDataYear11Budget[Projected Adjustment])/I83))</f>
        <v>#N/A</v>
      </c>
      <c r="C92" s="487"/>
      <c r="D92" s="487"/>
      <c r="E92" s="483"/>
      <c r="F92" s="484"/>
    </row>
    <row r="93" spans="1:9" ht="15" customHeight="1">
      <c r="A93" s="224" t="str">
        <f>CONCATENATE("Adjusted MOE Threshold for SFY ",'2. Getting Started'!B$6+10)</f>
        <v>Adjusted MOE Threshold for SFY 2031</v>
      </c>
      <c r="B93" s="258" t="e">
        <f>IF(B90="","",(B90-B91-B92))</f>
        <v>#N/A</v>
      </c>
      <c r="C93" s="487"/>
      <c r="D93" s="487"/>
      <c r="E93" s="483"/>
      <c r="F93" s="484"/>
    </row>
    <row r="94" spans="1:9" ht="15" customHeight="1">
      <c r="A94" s="224" t="str">
        <f>CONCATENATE("Budgeted Amount for SFY ",'2. Getting Started'!B$6+10)</f>
        <v>Budgeted Amount for SFY 2031</v>
      </c>
      <c r="B94" s="258" t="str">
        <f>'35. Year 11 Amounts'!F31</f>
        <v/>
      </c>
      <c r="C94" s="487"/>
      <c r="D94" s="487"/>
      <c r="E94" s="483"/>
      <c r="F94" s="484"/>
    </row>
    <row r="95" spans="1:9" ht="15" customHeight="1">
      <c r="A95" s="275" t="str">
        <f>CONCATENATE("MOE Result for SFY ",'2. Getting Started'!B$6+10)</f>
        <v>MOE Result for SFY 2031</v>
      </c>
      <c r="B95" s="285" t="str">
        <f>IF(B94="","",IF(B94&gt;=B93,"Met","Did Not Meet"))</f>
        <v/>
      </c>
      <c r="C95" s="487"/>
      <c r="D95" s="487"/>
      <c r="E95" s="485"/>
      <c r="F95" s="486"/>
    </row>
    <row r="96" spans="1:9" ht="26.25" customHeight="1">
      <c r="A96" s="345" t="s">
        <v>183</v>
      </c>
      <c r="C96" s="355"/>
      <c r="D96" s="355"/>
    </row>
    <row r="97" spans="1:6" ht="15.5">
      <c r="A97" s="358" t="s">
        <v>182</v>
      </c>
    </row>
    <row r="98" spans="1:6">
      <c r="A98" s="464" t="s">
        <v>24</v>
      </c>
      <c r="B98" s="464"/>
      <c r="C98" s="464"/>
      <c r="D98" s="464"/>
      <c r="E98" s="464"/>
      <c r="F98" s="464"/>
    </row>
  </sheetData>
  <sheetProtection algorithmName="SHA-512" hashValue="Dqv2FF7LICllimTXMnBxG/uRbjmhy/nV6MD9IAVTf6kgmNVjTxYsEMHJ1ssJrWrm8dSZfU0k4rUIHCEyIRx2Xg==" saltValue="WSQQYWsLfcsbEINl+8X+NA==" spinCount="100000" sheet="1" objects="1" scenarios="1" formatColumns="0" formatRows="0"/>
  <mergeCells count="26">
    <mergeCell ref="A48:B48"/>
    <mergeCell ref="E48:F48"/>
    <mergeCell ref="A56:B56"/>
    <mergeCell ref="E56:F56"/>
    <mergeCell ref="A24:B24"/>
    <mergeCell ref="E24:F24"/>
    <mergeCell ref="A32:B32"/>
    <mergeCell ref="E32:F32"/>
    <mergeCell ref="A40:B40"/>
    <mergeCell ref="E40:F40"/>
    <mergeCell ref="A88:B88"/>
    <mergeCell ref="E88:F88"/>
    <mergeCell ref="A98:F98"/>
    <mergeCell ref="C1:D95"/>
    <mergeCell ref="A64:B64"/>
    <mergeCell ref="E64:F64"/>
    <mergeCell ref="A72:B72"/>
    <mergeCell ref="E72:F72"/>
    <mergeCell ref="A80:B80"/>
    <mergeCell ref="E80:F80"/>
    <mergeCell ref="A10:B15"/>
    <mergeCell ref="E90:F95"/>
    <mergeCell ref="A8:B8"/>
    <mergeCell ref="E8:F8"/>
    <mergeCell ref="A16:B16"/>
    <mergeCell ref="E16:F16"/>
  </mergeCells>
  <conditionalFormatting sqref="B23">
    <cfRule type="containsText" dxfId="39" priority="36" operator="containsText" text="Met">
      <formula>NOT(ISERROR(SEARCH("Met",B23)))</formula>
    </cfRule>
    <cfRule type="containsText" dxfId="38" priority="35" operator="containsText" text="Did Not Meet">
      <formula>NOT(ISERROR(SEARCH("Did Not Meet",B23)))</formula>
    </cfRule>
  </conditionalFormatting>
  <conditionalFormatting sqref="B31">
    <cfRule type="containsText" dxfId="37" priority="34" operator="containsText" text="Met">
      <formula>NOT(ISERROR(SEARCH("Met",B31)))</formula>
    </cfRule>
    <cfRule type="containsText" dxfId="36" priority="33" operator="containsText" text="Did Not Meet">
      <formula>NOT(ISERROR(SEARCH("Did Not Meet",B31)))</formula>
    </cfRule>
  </conditionalFormatting>
  <conditionalFormatting sqref="B39">
    <cfRule type="containsText" dxfId="35" priority="28" operator="containsText" text="Met">
      <formula>NOT(ISERROR(SEARCH("Met",B39)))</formula>
    </cfRule>
    <cfRule type="containsText" dxfId="34" priority="27" operator="containsText" text="Did Not Meet">
      <formula>NOT(ISERROR(SEARCH("Did Not Meet",B39)))</formula>
    </cfRule>
  </conditionalFormatting>
  <conditionalFormatting sqref="B47">
    <cfRule type="containsText" dxfId="33" priority="26" operator="containsText" text="Met">
      <formula>NOT(ISERROR(SEARCH("Met",B47)))</formula>
    </cfRule>
    <cfRule type="containsText" dxfId="32" priority="25" operator="containsText" text="Did Not Meet">
      <formula>NOT(ISERROR(SEARCH("Did Not Meet",B47)))</formula>
    </cfRule>
  </conditionalFormatting>
  <conditionalFormatting sqref="B55">
    <cfRule type="containsText" dxfId="31" priority="19" operator="containsText" text="Did Not Meet">
      <formula>NOT(ISERROR(SEARCH("Did Not Meet",B55)))</formula>
    </cfRule>
    <cfRule type="containsText" dxfId="30" priority="20" operator="containsText" text="Met">
      <formula>NOT(ISERROR(SEARCH("Met",B55)))</formula>
    </cfRule>
  </conditionalFormatting>
  <conditionalFormatting sqref="B63">
    <cfRule type="containsText" dxfId="29" priority="17" operator="containsText" text="Did Not Meet">
      <formula>NOT(ISERROR(SEARCH("Did Not Meet",B63)))</formula>
    </cfRule>
    <cfRule type="containsText" dxfId="28" priority="18" operator="containsText" text="Met">
      <formula>NOT(ISERROR(SEARCH("Met",B63)))</formula>
    </cfRule>
  </conditionalFormatting>
  <conditionalFormatting sqref="B71">
    <cfRule type="containsText" dxfId="27" priority="11" operator="containsText" text="Did Not Meet">
      <formula>NOT(ISERROR(SEARCH("Did Not Meet",B71)))</formula>
    </cfRule>
    <cfRule type="containsText" dxfId="26" priority="12" operator="containsText" text="Met">
      <formula>NOT(ISERROR(SEARCH("Met",B71)))</formula>
    </cfRule>
  </conditionalFormatting>
  <conditionalFormatting sqref="B79">
    <cfRule type="containsText" dxfId="25" priority="9" operator="containsText" text="Did Not Meet">
      <formula>NOT(ISERROR(SEARCH("Did Not Meet",B79)))</formula>
    </cfRule>
    <cfRule type="containsText" dxfId="24" priority="10" operator="containsText" text="Met">
      <formula>NOT(ISERROR(SEARCH("Met",B79)))</formula>
    </cfRule>
  </conditionalFormatting>
  <conditionalFormatting sqref="B87">
    <cfRule type="containsText" dxfId="23" priority="3" operator="containsText" text="Did Not Meet">
      <formula>NOT(ISERROR(SEARCH("Did Not Meet",B87)))</formula>
    </cfRule>
    <cfRule type="containsText" dxfId="22" priority="4" operator="containsText" text="Met">
      <formula>NOT(ISERROR(SEARCH("Met",B87)))</formula>
    </cfRule>
  </conditionalFormatting>
  <conditionalFormatting sqref="B95">
    <cfRule type="containsText" dxfId="21" priority="1" operator="containsText" text="Did Not Meet">
      <formula>NOT(ISERROR(SEARCH("Did Not Meet",B95)))</formula>
    </cfRule>
    <cfRule type="containsText" dxfId="20" priority="2" operator="containsText" text="Met">
      <formula>NOT(ISERROR(SEARCH("Met",B95)))</formula>
    </cfRule>
  </conditionalFormatting>
  <conditionalFormatting sqref="F15">
    <cfRule type="containsText" dxfId="19" priority="40" operator="containsText" text="Met">
      <formula>NOT(ISERROR(SEARCH("Met",F15)))</formula>
    </cfRule>
    <cfRule type="containsText" dxfId="18" priority="39" operator="containsText" text="Did Not Meet">
      <formula>NOT(ISERROR(SEARCH("Did Not Meet",F15)))</formula>
    </cfRule>
  </conditionalFormatting>
  <conditionalFormatting sqref="F23">
    <cfRule type="containsText" dxfId="17" priority="37" operator="containsText" text="Did Not Meet">
      <formula>NOT(ISERROR(SEARCH("Did Not Meet",F23)))</formula>
    </cfRule>
    <cfRule type="containsText" dxfId="16" priority="38" operator="containsText" text="Met">
      <formula>NOT(ISERROR(SEARCH("Met",F23)))</formula>
    </cfRule>
  </conditionalFormatting>
  <conditionalFormatting sqref="F31">
    <cfRule type="containsText" dxfId="15" priority="31" operator="containsText" text="Did Not Meet">
      <formula>NOT(ISERROR(SEARCH("Did Not Meet",F31)))</formula>
    </cfRule>
    <cfRule type="containsText" dxfId="14" priority="32" operator="containsText" text="Met">
      <formula>NOT(ISERROR(SEARCH("Met",F31)))</formula>
    </cfRule>
  </conditionalFormatting>
  <conditionalFormatting sqref="F39">
    <cfRule type="containsText" dxfId="13" priority="29" operator="containsText" text="Did Not Meet">
      <formula>NOT(ISERROR(SEARCH("Did Not Meet",F39)))</formula>
    </cfRule>
    <cfRule type="containsText" dxfId="12" priority="30" operator="containsText" text="Met">
      <formula>NOT(ISERROR(SEARCH("Met",F39)))</formula>
    </cfRule>
  </conditionalFormatting>
  <conditionalFormatting sqref="F47">
    <cfRule type="containsText" dxfId="11" priority="23" operator="containsText" text="Did Not Meet">
      <formula>NOT(ISERROR(SEARCH("Did Not Meet",F47)))</formula>
    </cfRule>
    <cfRule type="containsText" dxfId="10" priority="24" operator="containsText" text="Met">
      <formula>NOT(ISERROR(SEARCH("Met",F47)))</formula>
    </cfRule>
  </conditionalFormatting>
  <conditionalFormatting sqref="F55">
    <cfRule type="containsText" dxfId="9" priority="22" operator="containsText" text="Met">
      <formula>NOT(ISERROR(SEARCH("Met",F55)))</formula>
    </cfRule>
    <cfRule type="containsText" dxfId="8" priority="21" operator="containsText" text="Did Not Meet">
      <formula>NOT(ISERROR(SEARCH("Did Not Meet",F55)))</formula>
    </cfRule>
  </conditionalFormatting>
  <conditionalFormatting sqref="F63">
    <cfRule type="containsText" dxfId="7" priority="16" operator="containsText" text="Met">
      <formula>NOT(ISERROR(SEARCH("Met",F63)))</formula>
    </cfRule>
    <cfRule type="containsText" dxfId="6" priority="15" operator="containsText" text="Did Not Meet">
      <formula>NOT(ISERROR(SEARCH("Did Not Meet",F63)))</formula>
    </cfRule>
  </conditionalFormatting>
  <conditionalFormatting sqref="F71">
    <cfRule type="containsText" dxfId="5" priority="14" operator="containsText" text="Met">
      <formula>NOT(ISERROR(SEARCH("Met",F71)))</formula>
    </cfRule>
    <cfRule type="containsText" dxfId="4" priority="13" operator="containsText" text="Did Not Meet">
      <formula>NOT(ISERROR(SEARCH("Did Not Meet",F71)))</formula>
    </cfRule>
  </conditionalFormatting>
  <conditionalFormatting sqref="F79">
    <cfRule type="containsText" dxfId="3" priority="8" operator="containsText" text="Met">
      <formula>NOT(ISERROR(SEARCH("Met",F79)))</formula>
    </cfRule>
    <cfRule type="containsText" dxfId="2" priority="7" operator="containsText" text="Did Not Meet">
      <formula>NOT(ISERROR(SEARCH("Did Not Meet",F79)))</formula>
    </cfRule>
  </conditionalFormatting>
  <conditionalFormatting sqref="F87">
    <cfRule type="containsText" dxfId="1" priority="6" operator="containsText" text="Met">
      <formula>NOT(ISERROR(SEARCH("Met",F87)))</formula>
    </cfRule>
    <cfRule type="containsText" dxfId="0" priority="5" operator="containsText" text="Did Not Meet">
      <formula>NOT(ISERROR(SEARCH("Did Not Meet",F87)))</formula>
    </cfRule>
  </conditionalFormatting>
  <hyperlinks>
    <hyperlink ref="A97" r:id="rId1" xr:uid="{00000000-0004-0000-2A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rgb="FF00B050"/>
  </sheetPr>
  <dimension ref="A1:AG320"/>
  <sheetViews>
    <sheetView zoomScaleNormal="100" workbookViewId="0">
      <pane xSplit="3" ySplit="2" topLeftCell="X3" activePane="bottomRight" state="frozen"/>
      <selection pane="topRight" activeCell="D1" sqref="D1"/>
      <selection pane="bottomLeft" activeCell="A3" sqref="A3"/>
      <selection pane="bottomRight" activeCell="AB11" sqref="AB11"/>
    </sheetView>
  </sheetViews>
  <sheetFormatPr defaultColWidth="9.1796875" defaultRowHeight="12"/>
  <cols>
    <col min="1" max="1" width="7.1796875" style="380" bestFit="1" customWidth="1"/>
    <col min="2" max="2" width="4.26953125" style="380" bestFit="1" customWidth="1"/>
    <col min="3" max="3" width="34.54296875" style="380" bestFit="1" customWidth="1"/>
    <col min="4" max="4" width="6.1796875" style="380" customWidth="1"/>
    <col min="5" max="5" width="6.1796875" style="381" customWidth="1"/>
    <col min="6" max="6" width="12.81640625" style="381" bestFit="1" customWidth="1"/>
    <col min="7" max="8" width="14.26953125" style="381" bestFit="1" customWidth="1"/>
    <col min="9" max="9" width="6.1796875" style="380" customWidth="1"/>
    <col min="10" max="10" width="9.81640625" style="380" bestFit="1" customWidth="1"/>
    <col min="11" max="11" width="12.81640625" style="381" bestFit="1" customWidth="1"/>
    <col min="12" max="13" width="14.26953125" style="381" bestFit="1" customWidth="1"/>
    <col min="14" max="14" width="6.1796875" style="380" customWidth="1"/>
    <col min="15" max="15" width="9.81640625" style="380" bestFit="1" customWidth="1"/>
    <col min="16" max="16" width="12.81640625" style="381" bestFit="1" customWidth="1"/>
    <col min="17" max="18" width="14.26953125" style="381" bestFit="1" customWidth="1"/>
    <col min="19" max="19" width="6.1796875" style="380" customWidth="1"/>
    <col min="20" max="20" width="10.7265625" style="380" customWidth="1"/>
    <col min="21" max="21" width="14.81640625" style="403" customWidth="1"/>
    <col min="22" max="22" width="14.54296875" style="403" customWidth="1"/>
    <col min="23" max="23" width="15.81640625" style="403" customWidth="1"/>
    <col min="24" max="24" width="2.1796875" style="380" customWidth="1"/>
    <col min="25" max="25" width="12.1796875" style="380" customWidth="1"/>
    <col min="26" max="26" width="13.1796875" style="403" customWidth="1"/>
    <col min="27" max="27" width="14" style="403" customWidth="1"/>
    <col min="28" max="28" width="14.54296875" style="403" customWidth="1"/>
    <col min="29" max="29" width="4.7265625" style="380" customWidth="1"/>
    <col min="30" max="30" width="12.1796875" style="380" customWidth="1"/>
    <col min="31" max="31" width="13.1796875" style="403" customWidth="1"/>
    <col min="32" max="32" width="14" style="403" customWidth="1"/>
    <col min="33" max="33" width="14.54296875" style="403" customWidth="1"/>
    <col min="34" max="16384" width="9.1796875" style="380"/>
  </cols>
  <sheetData>
    <row r="1" spans="1:33">
      <c r="A1" s="380">
        <v>1</v>
      </c>
      <c r="B1" s="380">
        <v>2</v>
      </c>
      <c r="C1" s="380">
        <v>3</v>
      </c>
      <c r="D1" s="380">
        <v>4</v>
      </c>
      <c r="E1" s="380">
        <v>5</v>
      </c>
      <c r="F1" s="380">
        <v>6</v>
      </c>
      <c r="G1" s="380">
        <v>7</v>
      </c>
      <c r="H1" s="380">
        <v>8</v>
      </c>
      <c r="I1" s="380">
        <v>9</v>
      </c>
      <c r="J1" s="380">
        <v>10</v>
      </c>
      <c r="K1" s="380">
        <v>11</v>
      </c>
      <c r="L1" s="380">
        <v>12</v>
      </c>
      <c r="M1" s="380">
        <v>13</v>
      </c>
      <c r="N1" s="380">
        <v>14</v>
      </c>
      <c r="O1" s="380">
        <v>15</v>
      </c>
      <c r="P1" s="380">
        <v>16</v>
      </c>
      <c r="Q1" s="380">
        <v>17</v>
      </c>
      <c r="R1" s="380">
        <v>18</v>
      </c>
      <c r="S1" s="380">
        <v>19</v>
      </c>
      <c r="T1" s="380">
        <v>20</v>
      </c>
      <c r="U1" s="403">
        <v>21</v>
      </c>
      <c r="V1" s="403">
        <v>22</v>
      </c>
      <c r="W1" s="403">
        <v>23</v>
      </c>
      <c r="X1" s="380">
        <v>24</v>
      </c>
      <c r="Y1" s="380">
        <v>25</v>
      </c>
      <c r="Z1" s="403">
        <v>26</v>
      </c>
      <c r="AA1" s="403">
        <v>27</v>
      </c>
      <c r="AB1" s="403">
        <v>28</v>
      </c>
      <c r="AC1" s="380">
        <v>29</v>
      </c>
      <c r="AD1" s="380">
        <v>30</v>
      </c>
      <c r="AE1" s="403">
        <v>31</v>
      </c>
      <c r="AF1" s="403">
        <v>32</v>
      </c>
      <c r="AG1" s="403">
        <v>33</v>
      </c>
    </row>
    <row r="2" spans="1:33" s="388" customFormat="1" ht="58.5" thickBot="1">
      <c r="A2" s="382" t="s">
        <v>184</v>
      </c>
      <c r="B2" s="382" t="s">
        <v>185</v>
      </c>
      <c r="C2" s="383" t="s">
        <v>186</v>
      </c>
      <c r="D2" s="382" t="s">
        <v>818</v>
      </c>
      <c r="E2" s="384" t="s">
        <v>819</v>
      </c>
      <c r="F2" s="384" t="s">
        <v>820</v>
      </c>
      <c r="G2" s="384" t="s">
        <v>1131</v>
      </c>
      <c r="H2" s="384" t="s">
        <v>821</v>
      </c>
      <c r="I2" s="385"/>
      <c r="J2" s="386" t="s">
        <v>822</v>
      </c>
      <c r="K2" s="387" t="s">
        <v>823</v>
      </c>
      <c r="L2" s="387" t="s">
        <v>1127</v>
      </c>
      <c r="M2" s="387" t="s">
        <v>824</v>
      </c>
      <c r="N2" s="385"/>
      <c r="O2" s="387" t="s">
        <v>825</v>
      </c>
      <c r="P2" s="387" t="s">
        <v>826</v>
      </c>
      <c r="Q2" s="387" t="s">
        <v>1128</v>
      </c>
      <c r="R2" s="387" t="s">
        <v>827</v>
      </c>
      <c r="S2" s="385"/>
      <c r="T2" s="387" t="s">
        <v>1129</v>
      </c>
      <c r="U2" s="404" t="s">
        <v>828</v>
      </c>
      <c r="V2" s="404" t="s">
        <v>1130</v>
      </c>
      <c r="W2" s="404" t="s">
        <v>829</v>
      </c>
      <c r="X2" s="385"/>
      <c r="Y2" s="387" t="s">
        <v>1290</v>
      </c>
      <c r="Z2" s="404" t="s">
        <v>1291</v>
      </c>
      <c r="AA2" s="404" t="s">
        <v>1292</v>
      </c>
      <c r="AB2" s="404" t="s">
        <v>1293</v>
      </c>
      <c r="AC2" s="385"/>
      <c r="AD2" s="387" t="s">
        <v>1356</v>
      </c>
      <c r="AE2" s="404" t="s">
        <v>1357</v>
      </c>
      <c r="AF2" s="404" t="s">
        <v>1358</v>
      </c>
      <c r="AG2" s="404" t="s">
        <v>1359</v>
      </c>
    </row>
    <row r="3" spans="1:33" s="410" customFormat="1">
      <c r="A3" s="406"/>
      <c r="B3" s="406"/>
      <c r="C3" s="407" t="s">
        <v>1264</v>
      </c>
      <c r="D3" s="406"/>
      <c r="E3" s="408"/>
      <c r="F3" s="408"/>
      <c r="G3" s="408"/>
      <c r="H3" s="408"/>
      <c r="I3" s="409"/>
      <c r="J3" s="405"/>
      <c r="K3" s="405"/>
      <c r="L3" s="405"/>
      <c r="M3" s="405"/>
      <c r="N3" s="409"/>
      <c r="O3" s="405"/>
      <c r="P3" s="405"/>
      <c r="Q3" s="405"/>
      <c r="R3" s="405"/>
      <c r="S3" s="409"/>
      <c r="T3" s="411">
        <f>SUBTOTAL(9,T4:T318)</f>
        <v>145384</v>
      </c>
      <c r="U3" s="405">
        <f>SUBTOTAL(9,U4:U318)</f>
        <v>310229317.34000015</v>
      </c>
      <c r="V3" s="405">
        <f>SUBTOTAL(9,V4:V318)</f>
        <v>1827170219.1600003</v>
      </c>
      <c r="W3" s="405">
        <f>SUBTOTAL(9,W4:W318)</f>
        <v>2137399536.5000002</v>
      </c>
      <c r="X3" s="390"/>
      <c r="Y3" s="411">
        <f>SUBTOTAL(9,Y4:Y318)</f>
        <v>146644</v>
      </c>
      <c r="Z3" s="405">
        <f>SUBTOTAL(9,Z4:Z318)</f>
        <v>342204011.53999996</v>
      </c>
      <c r="AA3" s="405">
        <f>SUBTOTAL(9,AA4:AA318)</f>
        <v>1870488870.2799983</v>
      </c>
      <c r="AB3" s="405">
        <f>SUBTOTAL(9,AB4:AB318)</f>
        <v>2212692881.8199987</v>
      </c>
      <c r="AC3" s="409"/>
      <c r="AD3" s="411">
        <f>SUBTOTAL(9,AD4:AD319)</f>
        <v>153634</v>
      </c>
      <c r="AE3" s="405">
        <f>SUBTOTAL(9,AE4:AE318)</f>
        <v>0</v>
      </c>
      <c r="AF3" s="405">
        <f>SUBTOTAL(9,AF4:AF318)</f>
        <v>0</v>
      </c>
      <c r="AG3" s="405">
        <f>SUBTOTAL(9,AG4:AG318)</f>
        <v>0</v>
      </c>
    </row>
    <row r="4" spans="1:33" ht="14.5">
      <c r="A4" s="380" t="s">
        <v>187</v>
      </c>
      <c r="B4" s="380" t="s">
        <v>188</v>
      </c>
      <c r="C4" s="389" t="s">
        <v>189</v>
      </c>
      <c r="E4" s="381">
        <v>574</v>
      </c>
      <c r="F4" s="381">
        <v>0</v>
      </c>
      <c r="G4" s="381">
        <v>5350450.4400000004</v>
      </c>
      <c r="H4" s="381">
        <v>5350450.4400000004</v>
      </c>
      <c r="I4" s="390"/>
      <c r="J4" s="380">
        <v>603</v>
      </c>
      <c r="K4" s="381">
        <v>0</v>
      </c>
      <c r="L4" s="381">
        <v>6261392.4100000001</v>
      </c>
      <c r="M4" s="381">
        <v>6261392.4100000001</v>
      </c>
      <c r="N4" s="390"/>
      <c r="O4" s="380">
        <v>578</v>
      </c>
      <c r="P4" s="381">
        <v>0</v>
      </c>
      <c r="Q4" s="381">
        <v>6530149.4400000004</v>
      </c>
      <c r="R4" s="381">
        <v>6530149.4400000004</v>
      </c>
      <c r="S4" s="390"/>
      <c r="T4" s="380">
        <v>539</v>
      </c>
      <c r="U4" s="403">
        <v>0</v>
      </c>
      <c r="V4" s="403">
        <v>5072277.54</v>
      </c>
      <c r="W4" s="403">
        <v>5072277.54</v>
      </c>
      <c r="X4" s="390"/>
      <c r="Y4" s="380">
        <v>542</v>
      </c>
      <c r="Z4" s="448">
        <v>78927.69</v>
      </c>
      <c r="AA4" s="448">
        <v>5351221.54</v>
      </c>
      <c r="AB4" s="403">
        <v>5430149.2300000004</v>
      </c>
      <c r="AC4" s="390"/>
      <c r="AD4" s="457">
        <v>590</v>
      </c>
      <c r="AE4" s="448"/>
      <c r="AF4" s="448"/>
    </row>
    <row r="5" spans="1:33" ht="14.5">
      <c r="A5" s="380" t="s">
        <v>190</v>
      </c>
      <c r="B5" s="380" t="s">
        <v>188</v>
      </c>
      <c r="C5" s="389" t="s">
        <v>191</v>
      </c>
      <c r="E5" s="381">
        <v>59</v>
      </c>
      <c r="F5" s="381">
        <v>0</v>
      </c>
      <c r="G5" s="381">
        <v>518879.31</v>
      </c>
      <c r="H5" s="381">
        <v>518879.31</v>
      </c>
      <c r="I5" s="390"/>
      <c r="J5" s="380">
        <v>65</v>
      </c>
      <c r="K5" s="381">
        <v>0</v>
      </c>
      <c r="L5" s="381">
        <v>796957.35</v>
      </c>
      <c r="M5" s="381">
        <v>796957.35</v>
      </c>
      <c r="N5" s="390"/>
      <c r="O5" s="380">
        <v>62</v>
      </c>
      <c r="P5" s="381">
        <v>0</v>
      </c>
      <c r="Q5" s="381">
        <v>812780.45</v>
      </c>
      <c r="R5" s="381">
        <v>812780.45</v>
      </c>
      <c r="S5" s="390"/>
      <c r="T5" s="380">
        <v>61</v>
      </c>
      <c r="U5" s="403">
        <v>0</v>
      </c>
      <c r="V5" s="403">
        <v>784195.14</v>
      </c>
      <c r="W5" s="403">
        <v>784195.14</v>
      </c>
      <c r="X5" s="390"/>
      <c r="Y5" s="380">
        <v>75</v>
      </c>
      <c r="Z5" s="448">
        <v>0</v>
      </c>
      <c r="AA5" s="448">
        <v>1013413.06</v>
      </c>
      <c r="AB5" s="403">
        <v>1013413.06</v>
      </c>
      <c r="AC5" s="390"/>
      <c r="AD5" s="457">
        <v>80</v>
      </c>
      <c r="AE5" s="448"/>
      <c r="AF5" s="448"/>
    </row>
    <row r="6" spans="1:33" ht="14.5">
      <c r="A6" s="380" t="s">
        <v>192</v>
      </c>
      <c r="B6" s="380" t="s">
        <v>193</v>
      </c>
      <c r="C6" s="389" t="s">
        <v>194</v>
      </c>
      <c r="E6" s="381">
        <v>11</v>
      </c>
      <c r="F6" s="381">
        <v>0</v>
      </c>
      <c r="G6" s="381">
        <v>105785.92</v>
      </c>
      <c r="H6" s="381">
        <v>105785.92</v>
      </c>
      <c r="I6" s="390"/>
      <c r="J6" s="380">
        <v>14</v>
      </c>
      <c r="K6" s="381">
        <v>0</v>
      </c>
      <c r="L6" s="381">
        <v>154465.15</v>
      </c>
      <c r="M6" s="381">
        <v>154465.15</v>
      </c>
      <c r="N6" s="390"/>
      <c r="O6" s="380">
        <v>15</v>
      </c>
      <c r="P6" s="381">
        <v>0</v>
      </c>
      <c r="Q6" s="381">
        <v>116138.98</v>
      </c>
      <c r="R6" s="381">
        <v>116138.98</v>
      </c>
      <c r="S6" s="390"/>
      <c r="T6" s="380">
        <v>12</v>
      </c>
      <c r="U6" s="403">
        <v>0</v>
      </c>
      <c r="V6" s="403">
        <v>86062.69</v>
      </c>
      <c r="W6" s="403">
        <v>86062.69</v>
      </c>
      <c r="X6" s="390"/>
      <c r="Y6" s="380">
        <v>16</v>
      </c>
      <c r="Z6" s="448">
        <v>0</v>
      </c>
      <c r="AA6" s="448">
        <v>139830.92000000001</v>
      </c>
      <c r="AB6" s="403">
        <v>139830.92000000001</v>
      </c>
      <c r="AC6" s="390"/>
      <c r="AD6" s="457">
        <v>20</v>
      </c>
      <c r="AE6" s="448"/>
      <c r="AF6" s="448"/>
    </row>
    <row r="7" spans="1:33" ht="14.5">
      <c r="A7" s="380" t="s">
        <v>195</v>
      </c>
      <c r="B7" s="380" t="s">
        <v>196</v>
      </c>
      <c r="C7" s="389" t="s">
        <v>197</v>
      </c>
      <c r="E7" s="381">
        <v>284</v>
      </c>
      <c r="F7" s="381">
        <v>0</v>
      </c>
      <c r="G7" s="381">
        <v>3319516.93</v>
      </c>
      <c r="H7" s="381">
        <v>3319516.93</v>
      </c>
      <c r="I7" s="390"/>
      <c r="J7" s="380">
        <v>318</v>
      </c>
      <c r="K7" s="381">
        <v>0</v>
      </c>
      <c r="L7" s="381">
        <v>3875471.71</v>
      </c>
      <c r="M7" s="381">
        <v>3875471.71</v>
      </c>
      <c r="N7" s="390"/>
      <c r="O7" s="380">
        <v>311</v>
      </c>
      <c r="P7" s="381">
        <v>0</v>
      </c>
      <c r="Q7" s="381">
        <v>4341661.9400000004</v>
      </c>
      <c r="R7" s="381">
        <v>4341661.9400000004</v>
      </c>
      <c r="S7" s="390"/>
      <c r="T7" s="380">
        <v>330</v>
      </c>
      <c r="U7" s="403">
        <v>0</v>
      </c>
      <c r="V7" s="403">
        <v>4112687.36</v>
      </c>
      <c r="W7" s="403">
        <v>4112687.36</v>
      </c>
      <c r="X7" s="390"/>
      <c r="Y7" s="380">
        <v>319</v>
      </c>
      <c r="Z7" s="448">
        <v>0</v>
      </c>
      <c r="AA7" s="448">
        <v>4245954.6900000004</v>
      </c>
      <c r="AB7" s="403">
        <v>4245954.6900000004</v>
      </c>
      <c r="AC7" s="390"/>
      <c r="AD7" s="457">
        <v>316</v>
      </c>
      <c r="AE7" s="448"/>
      <c r="AF7" s="448"/>
    </row>
    <row r="8" spans="1:33" ht="14.5">
      <c r="A8" s="380" t="s">
        <v>198</v>
      </c>
      <c r="B8" s="380" t="s">
        <v>196</v>
      </c>
      <c r="C8" s="389" t="s">
        <v>199</v>
      </c>
      <c r="E8" s="381">
        <v>716</v>
      </c>
      <c r="F8" s="381">
        <v>25327.5</v>
      </c>
      <c r="G8" s="381">
        <v>8225884.3399999999</v>
      </c>
      <c r="H8" s="381">
        <v>8251211.8399999999</v>
      </c>
      <c r="I8" s="390"/>
      <c r="J8" s="380">
        <v>754</v>
      </c>
      <c r="K8" s="381">
        <v>48892.05</v>
      </c>
      <c r="L8" s="381">
        <v>9580914.0899999999</v>
      </c>
      <c r="M8" s="381">
        <v>9629806.1400000006</v>
      </c>
      <c r="N8" s="390"/>
      <c r="O8" s="380">
        <v>812</v>
      </c>
      <c r="P8" s="381">
        <v>49556.2</v>
      </c>
      <c r="Q8" s="381">
        <v>10870161.93</v>
      </c>
      <c r="R8" s="381">
        <v>10919718.129999999</v>
      </c>
      <c r="S8" s="390"/>
      <c r="T8" s="380">
        <v>813</v>
      </c>
      <c r="U8" s="403">
        <v>101002</v>
      </c>
      <c r="V8" s="403">
        <v>12048523.16</v>
      </c>
      <c r="W8" s="403">
        <v>12149525.16</v>
      </c>
      <c r="X8" s="390"/>
      <c r="Y8" s="380">
        <v>821</v>
      </c>
      <c r="Z8" s="448">
        <v>142893.70000000001</v>
      </c>
      <c r="AA8" s="448">
        <v>12031856.42</v>
      </c>
      <c r="AB8" s="403">
        <v>12174750.119999999</v>
      </c>
      <c r="AC8" s="390"/>
      <c r="AD8" s="457">
        <v>856</v>
      </c>
      <c r="AE8" s="448"/>
      <c r="AF8" s="448"/>
    </row>
    <row r="9" spans="1:33" ht="14.5">
      <c r="A9" s="380" t="s">
        <v>200</v>
      </c>
      <c r="B9" s="380" t="s">
        <v>201</v>
      </c>
      <c r="C9" s="389" t="s">
        <v>202</v>
      </c>
      <c r="E9" s="381">
        <v>77</v>
      </c>
      <c r="F9" s="381">
        <v>28119.71</v>
      </c>
      <c r="G9" s="381">
        <v>615155.69999999995</v>
      </c>
      <c r="H9" s="381">
        <v>643275.40999999992</v>
      </c>
      <c r="I9" s="390"/>
      <c r="J9" s="380">
        <v>84</v>
      </c>
      <c r="K9" s="381">
        <v>34743.71</v>
      </c>
      <c r="L9" s="381">
        <v>707002.53</v>
      </c>
      <c r="M9" s="381">
        <v>741746.24</v>
      </c>
      <c r="N9" s="390"/>
      <c r="O9" s="380">
        <v>91</v>
      </c>
      <c r="P9" s="381">
        <v>0</v>
      </c>
      <c r="Q9" s="381">
        <v>844513</v>
      </c>
      <c r="R9" s="381">
        <v>844513</v>
      </c>
      <c r="S9" s="390"/>
      <c r="T9" s="380">
        <v>89</v>
      </c>
      <c r="U9" s="403">
        <v>4126.05</v>
      </c>
      <c r="V9" s="403">
        <v>871554.02</v>
      </c>
      <c r="W9" s="403">
        <v>875680.07000000007</v>
      </c>
      <c r="X9" s="390"/>
      <c r="Y9" s="380">
        <v>87</v>
      </c>
      <c r="Z9" s="448">
        <v>0</v>
      </c>
      <c r="AA9" s="448">
        <v>866117.05</v>
      </c>
      <c r="AB9" s="403">
        <v>866117.05</v>
      </c>
      <c r="AC9" s="390"/>
      <c r="AD9" s="457">
        <v>96</v>
      </c>
      <c r="AE9" s="448"/>
      <c r="AF9" s="448"/>
    </row>
    <row r="10" spans="1:33" ht="14.5">
      <c r="A10" s="380" t="s">
        <v>203</v>
      </c>
      <c r="B10" s="380" t="s">
        <v>204</v>
      </c>
      <c r="C10" s="389" t="s">
        <v>205</v>
      </c>
      <c r="E10" s="381">
        <v>1849</v>
      </c>
      <c r="F10" s="381">
        <v>0</v>
      </c>
      <c r="G10" s="381">
        <v>22987978.600000001</v>
      </c>
      <c r="H10" s="381">
        <v>22987978.600000001</v>
      </c>
      <c r="I10" s="390"/>
      <c r="J10" s="380">
        <v>1899</v>
      </c>
      <c r="K10" s="381">
        <v>0</v>
      </c>
      <c r="L10" s="381">
        <v>26019987.859999999</v>
      </c>
      <c r="M10" s="381">
        <v>26019987.859999999</v>
      </c>
      <c r="N10" s="390"/>
      <c r="O10" s="380">
        <v>1968</v>
      </c>
      <c r="P10" s="381">
        <v>3693946.46</v>
      </c>
      <c r="Q10" s="381">
        <v>25969878.420000002</v>
      </c>
      <c r="R10" s="381">
        <v>29663824.880000003</v>
      </c>
      <c r="S10" s="390"/>
      <c r="T10" s="380">
        <v>1910</v>
      </c>
      <c r="U10" s="403">
        <v>6917692.9500000002</v>
      </c>
      <c r="V10" s="403">
        <v>25301423.670000002</v>
      </c>
      <c r="W10" s="403">
        <v>32219116.620000001</v>
      </c>
      <c r="X10" s="390"/>
      <c r="Y10" s="380">
        <v>1905</v>
      </c>
      <c r="Z10" s="448">
        <v>8245391</v>
      </c>
      <c r="AA10" s="448">
        <v>25028300.870000001</v>
      </c>
      <c r="AB10" s="403">
        <v>33273691.870000001</v>
      </c>
      <c r="AC10" s="390"/>
      <c r="AD10" s="457">
        <v>2021</v>
      </c>
      <c r="AE10" s="448"/>
      <c r="AF10" s="448"/>
    </row>
    <row r="11" spans="1:33" ht="14.5">
      <c r="A11" s="380" t="s">
        <v>206</v>
      </c>
      <c r="B11" s="380" t="s">
        <v>204</v>
      </c>
      <c r="C11" s="389" t="s">
        <v>1186</v>
      </c>
      <c r="E11" s="381">
        <v>453</v>
      </c>
      <c r="F11" s="381">
        <v>47315</v>
      </c>
      <c r="G11" s="381">
        <v>6105867.6900000004</v>
      </c>
      <c r="H11" s="381">
        <v>6153182.6900000004</v>
      </c>
      <c r="I11" s="390"/>
      <c r="J11" s="380">
        <v>460</v>
      </c>
      <c r="K11" s="381">
        <v>188656.44</v>
      </c>
      <c r="L11" s="381">
        <v>7228244.1900000004</v>
      </c>
      <c r="M11" s="381">
        <v>7416900.6300000008</v>
      </c>
      <c r="N11" s="390"/>
      <c r="O11" s="380">
        <v>454</v>
      </c>
      <c r="P11" s="381">
        <v>60420</v>
      </c>
      <c r="Q11" s="381">
        <v>8030133.2999999998</v>
      </c>
      <c r="R11" s="381">
        <v>8090553.2999999998</v>
      </c>
      <c r="S11" s="390"/>
      <c r="T11" s="380">
        <v>438</v>
      </c>
      <c r="U11" s="403">
        <v>3640</v>
      </c>
      <c r="V11" s="403">
        <v>8094655.0700000003</v>
      </c>
      <c r="W11" s="403">
        <v>8098295.0700000003</v>
      </c>
      <c r="X11" s="390"/>
      <c r="Y11" s="380">
        <v>448</v>
      </c>
      <c r="Z11" s="448">
        <v>2171499.04</v>
      </c>
      <c r="AA11" s="448">
        <v>6332506.0300000003</v>
      </c>
      <c r="AB11" s="403">
        <v>8504005.0700000003</v>
      </c>
      <c r="AC11" s="390"/>
      <c r="AD11" s="457">
        <v>458</v>
      </c>
      <c r="AE11" s="448"/>
      <c r="AF11" s="448"/>
    </row>
    <row r="12" spans="1:33" ht="14.5">
      <c r="A12" s="380" t="s">
        <v>208</v>
      </c>
      <c r="B12" s="380" t="s">
        <v>209</v>
      </c>
      <c r="C12" s="389" t="s">
        <v>210</v>
      </c>
      <c r="E12" s="381">
        <v>1792</v>
      </c>
      <c r="F12" s="381">
        <v>1541487.04</v>
      </c>
      <c r="G12" s="381">
        <v>14842956.880000001</v>
      </c>
      <c r="H12" s="381">
        <v>16384443.920000002</v>
      </c>
      <c r="I12" s="390"/>
      <c r="J12" s="380">
        <v>1841</v>
      </c>
      <c r="K12" s="381">
        <v>974884.13</v>
      </c>
      <c r="L12" s="381">
        <v>19316854.25</v>
      </c>
      <c r="M12" s="381">
        <v>20291738.379999999</v>
      </c>
      <c r="N12" s="390"/>
      <c r="O12" s="380">
        <v>1894</v>
      </c>
      <c r="P12" s="381">
        <v>1610450.13</v>
      </c>
      <c r="Q12" s="381">
        <v>20744500.079999998</v>
      </c>
      <c r="R12" s="381">
        <v>22354950.209999997</v>
      </c>
      <c r="S12" s="390"/>
      <c r="T12" s="380">
        <v>1737</v>
      </c>
      <c r="U12" s="403">
        <v>3221053.31</v>
      </c>
      <c r="V12" s="403">
        <v>18544954.789999999</v>
      </c>
      <c r="W12" s="403">
        <v>21766008.099999998</v>
      </c>
      <c r="X12" s="390"/>
      <c r="Y12" s="380">
        <v>1644</v>
      </c>
      <c r="Z12" s="448">
        <v>3692114.25</v>
      </c>
      <c r="AA12" s="448">
        <v>18595810.170000002</v>
      </c>
      <c r="AB12" s="403">
        <v>22287924.420000002</v>
      </c>
      <c r="AC12" s="390"/>
      <c r="AD12" s="457">
        <v>1699</v>
      </c>
      <c r="AE12" s="448"/>
      <c r="AF12" s="448"/>
    </row>
    <row r="13" spans="1:33" ht="14.5">
      <c r="A13" s="380" t="s">
        <v>211</v>
      </c>
      <c r="B13" s="380" t="s">
        <v>204</v>
      </c>
      <c r="C13" s="389" t="s">
        <v>212</v>
      </c>
      <c r="E13" s="381">
        <v>1845</v>
      </c>
      <c r="F13" s="381">
        <v>346929.27</v>
      </c>
      <c r="G13" s="381">
        <v>32330661.239999998</v>
      </c>
      <c r="H13" s="381">
        <v>32677590.509999998</v>
      </c>
      <c r="I13" s="390"/>
      <c r="J13" s="380">
        <v>1825</v>
      </c>
      <c r="K13" s="381">
        <v>362425.17</v>
      </c>
      <c r="L13" s="381">
        <v>38509722.259999998</v>
      </c>
      <c r="M13" s="381">
        <v>38872147.43</v>
      </c>
      <c r="N13" s="390"/>
      <c r="O13" s="380">
        <v>1873</v>
      </c>
      <c r="P13" s="381">
        <v>327011.34999999998</v>
      </c>
      <c r="Q13" s="381">
        <v>44780469.340000004</v>
      </c>
      <c r="R13" s="381">
        <v>45107480.690000005</v>
      </c>
      <c r="S13" s="390"/>
      <c r="T13" s="380">
        <v>1823</v>
      </c>
      <c r="U13" s="403">
        <v>1601067.92</v>
      </c>
      <c r="V13" s="403">
        <v>47382813.030000001</v>
      </c>
      <c r="W13" s="403">
        <v>48983880.950000003</v>
      </c>
      <c r="X13" s="390"/>
      <c r="Y13" s="380">
        <v>1713</v>
      </c>
      <c r="Z13" s="448">
        <v>1619516.22</v>
      </c>
      <c r="AA13" s="448">
        <v>49797225.649999999</v>
      </c>
      <c r="AB13" s="403">
        <v>51416741.869999997</v>
      </c>
      <c r="AC13" s="390"/>
      <c r="AD13" s="457">
        <v>1820</v>
      </c>
      <c r="AE13" s="448"/>
      <c r="AF13" s="448"/>
    </row>
    <row r="14" spans="1:33" ht="14.5">
      <c r="A14" s="380" t="s">
        <v>213</v>
      </c>
      <c r="B14" s="380" t="s">
        <v>196</v>
      </c>
      <c r="C14" s="389" t="s">
        <v>214</v>
      </c>
      <c r="E14" s="381">
        <v>1572</v>
      </c>
      <c r="F14" s="381">
        <v>3375638.55</v>
      </c>
      <c r="G14" s="381">
        <v>13620931.5</v>
      </c>
      <c r="H14" s="381">
        <v>16996570.050000001</v>
      </c>
      <c r="I14" s="390"/>
      <c r="J14" s="380">
        <v>1636</v>
      </c>
      <c r="K14" s="381">
        <v>2495033.5099999998</v>
      </c>
      <c r="L14" s="381">
        <v>18071840.18</v>
      </c>
      <c r="M14" s="381">
        <v>20566873.689999998</v>
      </c>
      <c r="N14" s="390"/>
      <c r="O14" s="380">
        <v>1690</v>
      </c>
      <c r="P14" s="381">
        <v>3149706.69</v>
      </c>
      <c r="Q14" s="381">
        <v>19989071.969999999</v>
      </c>
      <c r="R14" s="381">
        <v>23138778.66</v>
      </c>
      <c r="S14" s="390"/>
      <c r="T14" s="380">
        <v>1710</v>
      </c>
      <c r="U14" s="403">
        <v>6366014.1699999999</v>
      </c>
      <c r="V14" s="403">
        <v>19234497.870000001</v>
      </c>
      <c r="W14" s="403">
        <v>25600512.039999999</v>
      </c>
      <c r="X14" s="390"/>
      <c r="Y14" s="380">
        <v>1742</v>
      </c>
      <c r="Z14" s="448">
        <v>7623142.1200000001</v>
      </c>
      <c r="AA14" s="448">
        <v>20786447.940000001</v>
      </c>
      <c r="AB14" s="403">
        <v>28409590.060000002</v>
      </c>
      <c r="AC14" s="390"/>
      <c r="AD14" s="457">
        <v>1784</v>
      </c>
      <c r="AE14" s="448"/>
      <c r="AF14" s="448"/>
    </row>
    <row r="15" spans="1:33" ht="14.5">
      <c r="A15" s="380" t="s">
        <v>215</v>
      </c>
      <c r="B15" s="380" t="s">
        <v>193</v>
      </c>
      <c r="C15" s="389" t="s">
        <v>216</v>
      </c>
      <c r="E15" s="381">
        <v>1</v>
      </c>
      <c r="F15" s="381">
        <v>0</v>
      </c>
      <c r="G15" s="381">
        <v>4109.76</v>
      </c>
      <c r="H15" s="381">
        <v>4109.76</v>
      </c>
      <c r="I15" s="390"/>
      <c r="J15" s="380">
        <v>1</v>
      </c>
      <c r="K15" s="381">
        <v>0</v>
      </c>
      <c r="L15" s="381">
        <v>7978.08</v>
      </c>
      <c r="M15" s="381">
        <v>7978.08</v>
      </c>
      <c r="N15" s="390"/>
      <c r="O15" s="380">
        <v>1</v>
      </c>
      <c r="P15" s="381">
        <v>0</v>
      </c>
      <c r="Q15" s="381">
        <v>3374.5</v>
      </c>
      <c r="R15" s="381">
        <v>3374.5</v>
      </c>
      <c r="S15" s="390"/>
      <c r="T15" s="380">
        <v>1</v>
      </c>
      <c r="U15" s="403">
        <v>0</v>
      </c>
      <c r="V15" s="403">
        <v>9299.5</v>
      </c>
      <c r="W15" s="403">
        <v>9299.5</v>
      </c>
      <c r="X15" s="390"/>
      <c r="Y15" s="380">
        <v>0</v>
      </c>
      <c r="Z15" s="448">
        <v>0</v>
      </c>
      <c r="AA15" s="448">
        <v>0</v>
      </c>
      <c r="AB15" s="403">
        <v>0</v>
      </c>
      <c r="AC15" s="390"/>
      <c r="AD15" s="457">
        <v>0</v>
      </c>
      <c r="AE15" s="448"/>
      <c r="AF15" s="448"/>
    </row>
    <row r="16" spans="1:33" ht="14.5">
      <c r="A16" s="380" t="s">
        <v>217</v>
      </c>
      <c r="B16" s="380" t="s">
        <v>204</v>
      </c>
      <c r="C16" s="389" t="s">
        <v>218</v>
      </c>
      <c r="E16" s="381">
        <v>2539</v>
      </c>
      <c r="F16" s="381">
        <v>4837391.76</v>
      </c>
      <c r="G16" s="381">
        <v>23147036.370000001</v>
      </c>
      <c r="H16" s="381">
        <v>27984428.130000003</v>
      </c>
      <c r="I16" s="390"/>
      <c r="J16" s="380">
        <v>2643</v>
      </c>
      <c r="K16" s="381">
        <v>2052994.52</v>
      </c>
      <c r="L16" s="381">
        <v>29019813.02</v>
      </c>
      <c r="M16" s="381">
        <v>31072807.539999999</v>
      </c>
      <c r="N16" s="390"/>
      <c r="O16" s="380">
        <v>2815</v>
      </c>
      <c r="P16" s="381">
        <v>787625.56</v>
      </c>
      <c r="Q16" s="381">
        <v>33251396.489999998</v>
      </c>
      <c r="R16" s="381">
        <v>34039022.049999997</v>
      </c>
      <c r="S16" s="390"/>
      <c r="T16" s="380">
        <v>2696</v>
      </c>
      <c r="U16" s="403">
        <v>4111161.8</v>
      </c>
      <c r="V16" s="403">
        <v>31905481.559999999</v>
      </c>
      <c r="W16" s="403">
        <v>36016643.359999999</v>
      </c>
      <c r="X16" s="390"/>
      <c r="Y16" s="380">
        <v>2746</v>
      </c>
      <c r="Z16" s="448">
        <v>3888785.54</v>
      </c>
      <c r="AA16" s="448">
        <v>32131420.690000001</v>
      </c>
      <c r="AB16" s="403">
        <v>36020206.230000004</v>
      </c>
      <c r="AC16" s="390"/>
      <c r="AD16" s="457">
        <v>2858</v>
      </c>
      <c r="AE16" s="448"/>
      <c r="AF16" s="448"/>
    </row>
    <row r="17" spans="1:32" ht="14.5">
      <c r="A17" s="380" t="s">
        <v>219</v>
      </c>
      <c r="B17" s="380" t="s">
        <v>220</v>
      </c>
      <c r="C17" s="389" t="s">
        <v>221</v>
      </c>
      <c r="D17" s="380" t="s">
        <v>818</v>
      </c>
      <c r="E17" s="381">
        <v>11</v>
      </c>
      <c r="F17" s="381">
        <v>0</v>
      </c>
      <c r="G17" s="381">
        <v>98297.4</v>
      </c>
      <c r="H17" s="381">
        <v>98297.4</v>
      </c>
      <c r="I17" s="390"/>
      <c r="J17" s="380">
        <v>11</v>
      </c>
      <c r="K17" s="381">
        <v>0</v>
      </c>
      <c r="L17" s="381">
        <v>120191.93</v>
      </c>
      <c r="M17" s="381">
        <v>120191.93</v>
      </c>
      <c r="N17" s="390"/>
      <c r="O17" s="380">
        <v>16</v>
      </c>
      <c r="P17" s="381">
        <v>0</v>
      </c>
      <c r="Q17" s="381">
        <v>124561.15</v>
      </c>
      <c r="R17" s="381">
        <v>124561.15</v>
      </c>
      <c r="S17" s="390"/>
      <c r="T17" s="380">
        <v>0</v>
      </c>
      <c r="U17" s="403">
        <v>0</v>
      </c>
      <c r="V17" s="403">
        <v>178889.17</v>
      </c>
      <c r="W17" s="403">
        <v>178889.17</v>
      </c>
      <c r="X17" s="390"/>
      <c r="Y17" s="380">
        <v>21</v>
      </c>
      <c r="Z17" s="448">
        <v>0</v>
      </c>
      <c r="AA17" s="448">
        <v>175546.63</v>
      </c>
      <c r="AB17" s="403">
        <v>175546.63</v>
      </c>
      <c r="AC17" s="390"/>
      <c r="AD17" s="457">
        <v>18</v>
      </c>
      <c r="AE17" s="448"/>
      <c r="AF17" s="448"/>
    </row>
    <row r="18" spans="1:32" ht="14.5">
      <c r="A18" s="380" t="s">
        <v>222</v>
      </c>
      <c r="B18" s="380" t="s">
        <v>196</v>
      </c>
      <c r="C18" s="389" t="s">
        <v>223</v>
      </c>
      <c r="E18" s="381">
        <v>361</v>
      </c>
      <c r="F18" s="381">
        <v>1012</v>
      </c>
      <c r="G18" s="381">
        <v>3458894.19</v>
      </c>
      <c r="H18" s="381">
        <v>3459906.19</v>
      </c>
      <c r="I18" s="390"/>
      <c r="J18" s="380">
        <v>371</v>
      </c>
      <c r="K18" s="381">
        <v>1013</v>
      </c>
      <c r="L18" s="381">
        <v>4441704.0199999996</v>
      </c>
      <c r="M18" s="381">
        <v>4442717.0199999996</v>
      </c>
      <c r="N18" s="390"/>
      <c r="O18" s="380">
        <v>366</v>
      </c>
      <c r="P18" s="381">
        <v>22494.27</v>
      </c>
      <c r="Q18" s="381">
        <v>4578909.28</v>
      </c>
      <c r="R18" s="381">
        <v>4601403.55</v>
      </c>
      <c r="S18" s="390"/>
      <c r="T18" s="380">
        <v>334</v>
      </c>
      <c r="U18" s="403">
        <v>0</v>
      </c>
      <c r="V18" s="403">
        <v>4548412.3899999997</v>
      </c>
      <c r="W18" s="403">
        <v>4548412.3899999997</v>
      </c>
      <c r="X18" s="390"/>
      <c r="Y18" s="380">
        <v>316</v>
      </c>
      <c r="Z18" s="448">
        <v>19093</v>
      </c>
      <c r="AA18" s="448">
        <v>5166212.97</v>
      </c>
      <c r="AB18" s="403">
        <v>5185305.97</v>
      </c>
      <c r="AC18" s="390"/>
      <c r="AD18" s="457">
        <v>327</v>
      </c>
      <c r="AE18" s="448"/>
      <c r="AF18" s="448"/>
    </row>
    <row r="19" spans="1:32" ht="14.5">
      <c r="A19" s="380" t="s">
        <v>224</v>
      </c>
      <c r="B19" s="380" t="s">
        <v>188</v>
      </c>
      <c r="C19" s="389" t="s">
        <v>225</v>
      </c>
      <c r="E19" s="381">
        <v>23</v>
      </c>
      <c r="F19" s="381">
        <v>0</v>
      </c>
      <c r="G19" s="381">
        <v>163213.73000000001</v>
      </c>
      <c r="H19" s="381">
        <v>163213.73000000001</v>
      </c>
      <c r="I19" s="390"/>
      <c r="J19" s="380">
        <v>27</v>
      </c>
      <c r="K19" s="381">
        <v>22128.639999999999</v>
      </c>
      <c r="L19" s="381">
        <v>176560.33</v>
      </c>
      <c r="M19" s="381">
        <v>198688.96999999997</v>
      </c>
      <c r="N19" s="390"/>
      <c r="O19" s="380">
        <v>20</v>
      </c>
      <c r="P19" s="381">
        <v>0</v>
      </c>
      <c r="Q19" s="381">
        <v>247785.02</v>
      </c>
      <c r="R19" s="381">
        <v>247785.02</v>
      </c>
      <c r="S19" s="390"/>
      <c r="T19" s="380">
        <v>19</v>
      </c>
      <c r="U19" s="403">
        <v>0</v>
      </c>
      <c r="V19" s="403">
        <v>342618.34</v>
      </c>
      <c r="W19" s="403">
        <v>342618.34</v>
      </c>
      <c r="X19" s="390"/>
      <c r="Y19" s="380">
        <v>21</v>
      </c>
      <c r="Z19" s="448">
        <v>0</v>
      </c>
      <c r="AA19" s="448">
        <v>346238.34</v>
      </c>
      <c r="AB19" s="403">
        <v>346238.34</v>
      </c>
      <c r="AC19" s="390"/>
      <c r="AD19" s="457">
        <v>21</v>
      </c>
      <c r="AE19" s="448"/>
      <c r="AF19" s="448"/>
    </row>
    <row r="20" spans="1:32" ht="14.5">
      <c r="A20" s="380" t="s">
        <v>226</v>
      </c>
      <c r="B20" s="380" t="s">
        <v>227</v>
      </c>
      <c r="C20" s="389" t="s">
        <v>228</v>
      </c>
      <c r="E20" s="381">
        <v>777</v>
      </c>
      <c r="F20" s="381">
        <v>2422.23</v>
      </c>
      <c r="G20" s="381">
        <v>7450841.6299999999</v>
      </c>
      <c r="H20" s="381">
        <v>7453263.8600000003</v>
      </c>
      <c r="I20" s="390"/>
      <c r="J20" s="380">
        <v>767</v>
      </c>
      <c r="K20" s="381">
        <v>0</v>
      </c>
      <c r="L20" s="381">
        <v>8535295.7699999996</v>
      </c>
      <c r="M20" s="381">
        <v>8535295.7699999996</v>
      </c>
      <c r="N20" s="390"/>
      <c r="O20" s="380">
        <v>731</v>
      </c>
      <c r="P20" s="381">
        <v>0</v>
      </c>
      <c r="Q20" s="381">
        <v>9621710.0800000001</v>
      </c>
      <c r="R20" s="381">
        <v>9621710.0800000001</v>
      </c>
      <c r="S20" s="390"/>
      <c r="T20" s="380">
        <v>727</v>
      </c>
      <c r="U20" s="403">
        <v>469.09</v>
      </c>
      <c r="V20" s="403">
        <v>9570000</v>
      </c>
      <c r="W20" s="403">
        <v>9570469.0899999999</v>
      </c>
      <c r="X20" s="390"/>
      <c r="Y20" s="380">
        <v>703</v>
      </c>
      <c r="Z20" s="448">
        <v>0</v>
      </c>
      <c r="AA20" s="448">
        <v>10066719.17</v>
      </c>
      <c r="AB20" s="403">
        <v>10066719.17</v>
      </c>
      <c r="AC20" s="390"/>
      <c r="AD20" s="457">
        <v>731</v>
      </c>
      <c r="AE20" s="448"/>
      <c r="AF20" s="448"/>
    </row>
    <row r="21" spans="1:32" ht="14.5">
      <c r="A21" s="380" t="s">
        <v>229</v>
      </c>
      <c r="B21" s="380" t="s">
        <v>230</v>
      </c>
      <c r="C21" s="389" t="s">
        <v>231</v>
      </c>
      <c r="E21" s="381">
        <v>110</v>
      </c>
      <c r="F21" s="381">
        <v>11000</v>
      </c>
      <c r="G21" s="381">
        <v>1101847.8</v>
      </c>
      <c r="H21" s="381">
        <v>1112847.8</v>
      </c>
      <c r="I21" s="390"/>
      <c r="J21" s="380">
        <v>101</v>
      </c>
      <c r="K21" s="381">
        <v>11010</v>
      </c>
      <c r="L21" s="381">
        <v>1201612.24</v>
      </c>
      <c r="M21" s="381">
        <v>1212622.24</v>
      </c>
      <c r="N21" s="390"/>
      <c r="O21" s="380">
        <v>113</v>
      </c>
      <c r="P21" s="381">
        <v>287551.35999999999</v>
      </c>
      <c r="Q21" s="381">
        <v>1096571.8799999999</v>
      </c>
      <c r="R21" s="381">
        <v>1384123.2399999998</v>
      </c>
      <c r="S21" s="390"/>
      <c r="T21" s="380">
        <v>103</v>
      </c>
      <c r="U21" s="403">
        <v>205549.8</v>
      </c>
      <c r="V21" s="403">
        <v>1066682.8600000001</v>
      </c>
      <c r="W21" s="403">
        <v>1272232.6600000001</v>
      </c>
      <c r="X21" s="390"/>
      <c r="Y21" s="380">
        <v>110</v>
      </c>
      <c r="Z21" s="448">
        <v>178040.32000000001</v>
      </c>
      <c r="AA21" s="448">
        <v>1104872.08</v>
      </c>
      <c r="AB21" s="403">
        <v>1282912.4000000001</v>
      </c>
      <c r="AC21" s="390"/>
      <c r="AD21" s="457">
        <v>110</v>
      </c>
      <c r="AE21" s="448"/>
      <c r="AF21" s="448"/>
    </row>
    <row r="22" spans="1:32" ht="14.5">
      <c r="A22" s="380" t="s">
        <v>232</v>
      </c>
      <c r="B22" s="380" t="s">
        <v>230</v>
      </c>
      <c r="C22" s="389" t="s">
        <v>233</v>
      </c>
      <c r="E22" s="381">
        <v>93</v>
      </c>
      <c r="F22" s="381">
        <v>26639</v>
      </c>
      <c r="G22" s="381">
        <v>722214.15</v>
      </c>
      <c r="H22" s="381">
        <v>748853.15</v>
      </c>
      <c r="I22" s="390"/>
      <c r="J22" s="380">
        <v>87</v>
      </c>
      <c r="K22" s="381">
        <v>45929.919999999998</v>
      </c>
      <c r="L22" s="381">
        <v>766977.46</v>
      </c>
      <c r="M22" s="381">
        <v>812907.38</v>
      </c>
      <c r="N22" s="390"/>
      <c r="O22" s="380">
        <v>73</v>
      </c>
      <c r="P22" s="381">
        <v>133484.91</v>
      </c>
      <c r="Q22" s="381">
        <v>705654.09</v>
      </c>
      <c r="R22" s="381">
        <v>839139</v>
      </c>
      <c r="S22" s="390"/>
      <c r="T22" s="380">
        <v>78</v>
      </c>
      <c r="U22" s="403">
        <v>39604.36</v>
      </c>
      <c r="V22" s="403">
        <v>804978.2</v>
      </c>
      <c r="W22" s="403">
        <v>844582.55999999994</v>
      </c>
      <c r="X22" s="390"/>
      <c r="Y22" s="380">
        <v>74</v>
      </c>
      <c r="Z22" s="448">
        <v>32607.79</v>
      </c>
      <c r="AA22" s="448">
        <v>757759.6</v>
      </c>
      <c r="AB22" s="403">
        <v>790367.39</v>
      </c>
      <c r="AC22" s="390"/>
      <c r="AD22" s="457">
        <v>83</v>
      </c>
      <c r="AE22" s="448"/>
      <c r="AF22" s="448"/>
    </row>
    <row r="23" spans="1:32" ht="14.5">
      <c r="A23" s="380" t="s">
        <v>234</v>
      </c>
      <c r="B23" s="380" t="s">
        <v>227</v>
      </c>
      <c r="C23" s="389" t="s">
        <v>235</v>
      </c>
      <c r="E23" s="381">
        <v>12</v>
      </c>
      <c r="F23" s="381">
        <v>1.0900000000000001</v>
      </c>
      <c r="G23" s="381">
        <v>74967.240000000005</v>
      </c>
      <c r="H23" s="381">
        <v>74968.33</v>
      </c>
      <c r="I23" s="390"/>
      <c r="J23" s="380">
        <v>16</v>
      </c>
      <c r="K23" s="381">
        <v>2</v>
      </c>
      <c r="L23" s="381">
        <v>87219.07</v>
      </c>
      <c r="M23" s="381">
        <v>87221.07</v>
      </c>
      <c r="N23" s="390"/>
      <c r="O23" s="380">
        <v>15</v>
      </c>
      <c r="P23" s="381">
        <v>0</v>
      </c>
      <c r="Q23" s="381">
        <v>101463.83</v>
      </c>
      <c r="R23" s="381">
        <v>101463.83</v>
      </c>
      <c r="S23" s="390"/>
      <c r="T23" s="380">
        <v>11</v>
      </c>
      <c r="U23" s="403">
        <v>2</v>
      </c>
      <c r="V23" s="403">
        <v>83799.98</v>
      </c>
      <c r="W23" s="403">
        <v>83801.98</v>
      </c>
      <c r="X23" s="390"/>
      <c r="Y23" s="380">
        <v>8</v>
      </c>
      <c r="Z23" s="448">
        <v>2</v>
      </c>
      <c r="AA23" s="448">
        <v>102375.48</v>
      </c>
      <c r="AB23" s="403">
        <v>102377.48</v>
      </c>
      <c r="AC23" s="390"/>
      <c r="AD23" s="457">
        <v>8</v>
      </c>
      <c r="AE23" s="448"/>
      <c r="AF23" s="448"/>
    </row>
    <row r="24" spans="1:32" ht="14.5">
      <c r="A24" s="380" t="s">
        <v>236</v>
      </c>
      <c r="B24" s="380" t="s">
        <v>196</v>
      </c>
      <c r="C24" s="389" t="s">
        <v>1187</v>
      </c>
      <c r="E24" s="381">
        <v>512</v>
      </c>
      <c r="F24" s="381">
        <v>23700</v>
      </c>
      <c r="G24" s="381">
        <v>5806503.4699999997</v>
      </c>
      <c r="H24" s="381">
        <v>5830203.4699999997</v>
      </c>
      <c r="I24" s="390"/>
      <c r="J24" s="380">
        <v>519</v>
      </c>
      <c r="K24" s="381">
        <v>0</v>
      </c>
      <c r="L24" s="381">
        <v>6722872.1100000003</v>
      </c>
      <c r="M24" s="381">
        <v>6722872.1100000003</v>
      </c>
      <c r="N24" s="390"/>
      <c r="O24" s="380">
        <v>525</v>
      </c>
      <c r="P24" s="381">
        <v>0</v>
      </c>
      <c r="Q24" s="381">
        <v>7214217.8600000003</v>
      </c>
      <c r="R24" s="381">
        <v>7214217.8600000003</v>
      </c>
      <c r="S24" s="390"/>
      <c r="T24" s="380">
        <v>506</v>
      </c>
      <c r="U24" s="403">
        <v>0</v>
      </c>
      <c r="V24" s="403">
        <v>7514100.2699999996</v>
      </c>
      <c r="W24" s="403">
        <v>7514100.2699999996</v>
      </c>
      <c r="X24" s="390"/>
      <c r="Y24" s="380">
        <v>510</v>
      </c>
      <c r="Z24" s="448">
        <v>0</v>
      </c>
      <c r="AA24" s="448">
        <v>7736881.7400000002</v>
      </c>
      <c r="AB24" s="403">
        <v>7736881.7400000002</v>
      </c>
      <c r="AC24" s="390"/>
      <c r="AD24" s="457">
        <v>553</v>
      </c>
      <c r="AE24" s="448"/>
      <c r="AF24" s="448"/>
    </row>
    <row r="25" spans="1:32" ht="14.5">
      <c r="A25" s="380" t="s">
        <v>238</v>
      </c>
      <c r="B25" s="380" t="s">
        <v>209</v>
      </c>
      <c r="C25" s="389" t="s">
        <v>239</v>
      </c>
      <c r="E25" s="381">
        <v>791</v>
      </c>
      <c r="F25" s="381">
        <v>2909382.37</v>
      </c>
      <c r="G25" s="381">
        <v>6895699.9199999999</v>
      </c>
      <c r="H25" s="381">
        <v>9805082.2899999991</v>
      </c>
      <c r="I25" s="390"/>
      <c r="J25" s="380">
        <v>775</v>
      </c>
      <c r="K25" s="381">
        <v>1737653.31</v>
      </c>
      <c r="L25" s="381">
        <v>8843265.6600000001</v>
      </c>
      <c r="M25" s="381">
        <v>10580918.970000001</v>
      </c>
      <c r="N25" s="390"/>
      <c r="O25" s="380">
        <v>793</v>
      </c>
      <c r="P25" s="381">
        <v>1770263.67</v>
      </c>
      <c r="Q25" s="381">
        <v>10035413</v>
      </c>
      <c r="R25" s="381">
        <v>11805676.67</v>
      </c>
      <c r="S25" s="390"/>
      <c r="T25" s="380">
        <v>783</v>
      </c>
      <c r="U25" s="403">
        <v>1776362.76</v>
      </c>
      <c r="V25" s="403">
        <v>9723837.3300000001</v>
      </c>
      <c r="W25" s="403">
        <v>11500200.09</v>
      </c>
      <c r="X25" s="390"/>
      <c r="Y25" s="380">
        <v>770</v>
      </c>
      <c r="Z25" s="448">
        <v>2169512.08</v>
      </c>
      <c r="AA25" s="448">
        <v>9898314.1500000004</v>
      </c>
      <c r="AB25" s="403">
        <v>12067826.23</v>
      </c>
      <c r="AC25" s="390"/>
      <c r="AD25" s="457">
        <v>859</v>
      </c>
      <c r="AE25" s="448"/>
      <c r="AF25" s="448"/>
    </row>
    <row r="26" spans="1:32" ht="14.5">
      <c r="A26" s="380" t="s">
        <v>240</v>
      </c>
      <c r="B26" s="380" t="s">
        <v>227</v>
      </c>
      <c r="C26" s="389" t="s">
        <v>241</v>
      </c>
      <c r="E26" s="381">
        <v>63</v>
      </c>
      <c r="F26" s="381">
        <v>0</v>
      </c>
      <c r="G26" s="381">
        <v>848439.34</v>
      </c>
      <c r="H26" s="381">
        <v>848439.34</v>
      </c>
      <c r="I26" s="390"/>
      <c r="J26" s="380">
        <v>67</v>
      </c>
      <c r="K26" s="381">
        <v>0</v>
      </c>
      <c r="L26" s="381">
        <v>1096533.2</v>
      </c>
      <c r="M26" s="381">
        <v>1096533.2</v>
      </c>
      <c r="N26" s="390"/>
      <c r="O26" s="380">
        <v>79</v>
      </c>
      <c r="P26" s="381">
        <v>0</v>
      </c>
      <c r="Q26" s="381">
        <v>1314538.57</v>
      </c>
      <c r="R26" s="381">
        <v>1314538.57</v>
      </c>
      <c r="S26" s="390"/>
      <c r="T26" s="380">
        <v>78</v>
      </c>
      <c r="U26" s="403">
        <v>0</v>
      </c>
      <c r="V26" s="403">
        <v>1322377.52</v>
      </c>
      <c r="W26" s="403">
        <v>1322377.52</v>
      </c>
      <c r="X26" s="390"/>
      <c r="Y26" s="380">
        <v>75</v>
      </c>
      <c r="Z26" s="448">
        <v>345228.24</v>
      </c>
      <c r="AA26" s="448">
        <v>862327.85</v>
      </c>
      <c r="AB26" s="403">
        <v>1207556.0899999999</v>
      </c>
      <c r="AC26" s="390"/>
      <c r="AD26" s="457">
        <v>78</v>
      </c>
      <c r="AE26" s="448"/>
      <c r="AF26" s="448"/>
    </row>
    <row r="27" spans="1:32" ht="14.5">
      <c r="A27" s="380" t="s">
        <v>242</v>
      </c>
      <c r="B27" s="380" t="s">
        <v>204</v>
      </c>
      <c r="C27" s="389" t="s">
        <v>1188</v>
      </c>
      <c r="E27" s="381">
        <v>24</v>
      </c>
      <c r="F27" s="381">
        <v>0</v>
      </c>
      <c r="G27" s="381">
        <v>280021.03999999998</v>
      </c>
      <c r="H27" s="381">
        <v>280021.03999999998</v>
      </c>
      <c r="I27" s="390"/>
      <c r="J27" s="380">
        <v>25</v>
      </c>
      <c r="K27" s="381">
        <v>0</v>
      </c>
      <c r="L27" s="381">
        <v>241538.08</v>
      </c>
      <c r="M27" s="381">
        <v>241538.08</v>
      </c>
      <c r="N27" s="390"/>
      <c r="O27" s="380">
        <v>24</v>
      </c>
      <c r="P27" s="381">
        <v>0</v>
      </c>
      <c r="Q27" s="381">
        <v>313511.59999999998</v>
      </c>
      <c r="R27" s="381">
        <v>313511.59999999998</v>
      </c>
      <c r="S27" s="390"/>
      <c r="T27" s="380">
        <v>29</v>
      </c>
      <c r="U27" s="403">
        <v>0</v>
      </c>
      <c r="V27" s="403">
        <v>266687.75</v>
      </c>
      <c r="W27" s="403">
        <v>266687.75</v>
      </c>
      <c r="X27" s="390"/>
      <c r="Y27" s="380">
        <v>27</v>
      </c>
      <c r="Z27" s="448">
        <v>0</v>
      </c>
      <c r="AA27" s="448">
        <v>226291.05</v>
      </c>
      <c r="AB27" s="403">
        <v>226291.05</v>
      </c>
      <c r="AC27" s="390"/>
      <c r="AD27" s="457">
        <v>29</v>
      </c>
      <c r="AE27" s="448"/>
      <c r="AF27" s="448"/>
    </row>
    <row r="28" spans="1:32" ht="14.5">
      <c r="A28" s="380" t="s">
        <v>244</v>
      </c>
      <c r="B28" s="380" t="s">
        <v>230</v>
      </c>
      <c r="C28" s="389" t="s">
        <v>245</v>
      </c>
      <c r="E28" s="381">
        <v>136</v>
      </c>
      <c r="F28" s="381">
        <v>0</v>
      </c>
      <c r="G28" s="381">
        <v>1347329.32</v>
      </c>
      <c r="H28" s="381">
        <v>1347329.32</v>
      </c>
      <c r="I28" s="390"/>
      <c r="J28" s="380">
        <v>134</v>
      </c>
      <c r="K28" s="381">
        <v>0</v>
      </c>
      <c r="L28" s="381">
        <v>1775796.74</v>
      </c>
      <c r="M28" s="381">
        <v>1775796.74</v>
      </c>
      <c r="N28" s="390"/>
      <c r="O28" s="380">
        <v>144</v>
      </c>
      <c r="P28" s="381">
        <v>0</v>
      </c>
      <c r="Q28" s="381">
        <v>1972042.95</v>
      </c>
      <c r="R28" s="381">
        <v>1972042.95</v>
      </c>
      <c r="S28" s="390"/>
      <c r="T28" s="380">
        <v>118</v>
      </c>
      <c r="U28" s="403">
        <v>23027.02</v>
      </c>
      <c r="V28" s="403">
        <v>1565835.18</v>
      </c>
      <c r="W28" s="403">
        <v>1588862.2</v>
      </c>
      <c r="X28" s="390"/>
      <c r="Y28" s="380">
        <v>110</v>
      </c>
      <c r="Z28" s="448">
        <v>50000</v>
      </c>
      <c r="AA28" s="448">
        <v>1700582.33</v>
      </c>
      <c r="AB28" s="403">
        <v>1750582.33</v>
      </c>
      <c r="AC28" s="390"/>
      <c r="AD28" s="457">
        <v>124</v>
      </c>
      <c r="AE28" s="448"/>
      <c r="AF28" s="448"/>
    </row>
    <row r="29" spans="1:32" ht="14.5">
      <c r="A29" s="380" t="s">
        <v>247</v>
      </c>
      <c r="B29" s="380" t="s">
        <v>230</v>
      </c>
      <c r="C29" s="389" t="s">
        <v>248</v>
      </c>
      <c r="E29" s="381">
        <v>176</v>
      </c>
      <c r="F29" s="381">
        <v>48629.75</v>
      </c>
      <c r="G29" s="381">
        <v>1443504.8</v>
      </c>
      <c r="H29" s="381">
        <v>1492134.55</v>
      </c>
      <c r="I29" s="390"/>
      <c r="J29" s="380">
        <v>198</v>
      </c>
      <c r="K29" s="381">
        <v>0</v>
      </c>
      <c r="L29" s="381">
        <v>1756936.27</v>
      </c>
      <c r="M29" s="381">
        <v>1756936.27</v>
      </c>
      <c r="N29" s="390"/>
      <c r="O29" s="380">
        <v>212</v>
      </c>
      <c r="P29" s="381">
        <v>0</v>
      </c>
      <c r="Q29" s="381">
        <v>2171219.31</v>
      </c>
      <c r="R29" s="381">
        <v>2171219.31</v>
      </c>
      <c r="S29" s="390"/>
      <c r="T29" s="380">
        <v>222</v>
      </c>
      <c r="U29" s="403">
        <v>0</v>
      </c>
      <c r="V29" s="403">
        <v>2179889.6</v>
      </c>
      <c r="W29" s="403">
        <v>2179889.6</v>
      </c>
      <c r="X29" s="390"/>
      <c r="Y29" s="380">
        <v>207</v>
      </c>
      <c r="Z29" s="448">
        <v>0</v>
      </c>
      <c r="AA29" s="448">
        <v>2374096.1800000002</v>
      </c>
      <c r="AB29" s="403">
        <v>2374096.1800000002</v>
      </c>
      <c r="AC29" s="390"/>
      <c r="AD29" s="457">
        <v>192</v>
      </c>
      <c r="AE29" s="448"/>
      <c r="AF29" s="448"/>
    </row>
    <row r="30" spans="1:32" ht="14.5">
      <c r="A30" s="380" t="s">
        <v>253</v>
      </c>
      <c r="B30" s="380" t="s">
        <v>209</v>
      </c>
      <c r="C30" s="389" t="s">
        <v>254</v>
      </c>
      <c r="D30" s="380" t="s">
        <v>818</v>
      </c>
      <c r="E30" s="381">
        <v>8</v>
      </c>
      <c r="F30" s="381">
        <v>0</v>
      </c>
      <c r="G30" s="381">
        <v>71776.320000000007</v>
      </c>
      <c r="H30" s="381">
        <v>71776.320000000007</v>
      </c>
      <c r="I30" s="390"/>
      <c r="J30" s="380">
        <v>7</v>
      </c>
      <c r="K30" s="381">
        <v>0</v>
      </c>
      <c r="L30" s="381">
        <v>59128.37</v>
      </c>
      <c r="M30" s="381">
        <v>59128.37</v>
      </c>
      <c r="N30" s="390"/>
      <c r="O30" s="380">
        <v>6</v>
      </c>
      <c r="P30" s="381">
        <v>0</v>
      </c>
      <c r="Q30" s="381">
        <v>58500.81</v>
      </c>
      <c r="R30" s="381">
        <v>58500.81</v>
      </c>
      <c r="S30" s="390"/>
      <c r="T30" s="380">
        <v>0</v>
      </c>
      <c r="U30" s="403">
        <v>0</v>
      </c>
      <c r="V30" s="403">
        <v>52981.96</v>
      </c>
      <c r="W30" s="403">
        <v>52981.96</v>
      </c>
      <c r="X30" s="390"/>
      <c r="Y30" s="380">
        <v>8</v>
      </c>
      <c r="Z30" s="448">
        <v>0</v>
      </c>
      <c r="AA30" s="448">
        <v>71552.3</v>
      </c>
      <c r="AB30" s="403">
        <v>71552.3</v>
      </c>
      <c r="AC30" s="390"/>
      <c r="AD30" s="457">
        <v>8</v>
      </c>
      <c r="AE30" s="448"/>
      <c r="AF30" s="448"/>
    </row>
    <row r="31" spans="1:32" ht="14.5">
      <c r="A31" s="380" t="s">
        <v>249</v>
      </c>
      <c r="B31" s="380" t="s">
        <v>209</v>
      </c>
      <c r="C31" s="389" t="s">
        <v>250</v>
      </c>
      <c r="E31" s="381">
        <v>226</v>
      </c>
      <c r="F31" s="381">
        <v>174655.67</v>
      </c>
      <c r="G31" s="381">
        <v>1571638.42</v>
      </c>
      <c r="H31" s="381">
        <v>1746294.0899999999</v>
      </c>
      <c r="I31" s="390"/>
      <c r="J31" s="380">
        <v>230</v>
      </c>
      <c r="K31" s="381">
        <v>160644.96</v>
      </c>
      <c r="L31" s="381">
        <v>2116920.91</v>
      </c>
      <c r="M31" s="381">
        <v>2277565.87</v>
      </c>
      <c r="N31" s="390"/>
      <c r="O31" s="380">
        <v>279</v>
      </c>
      <c r="P31" s="381">
        <v>416184.18</v>
      </c>
      <c r="Q31" s="381">
        <v>2489446.94</v>
      </c>
      <c r="R31" s="381">
        <v>2905631.12</v>
      </c>
      <c r="S31" s="390"/>
      <c r="T31" s="380">
        <v>271</v>
      </c>
      <c r="U31" s="403">
        <v>170277.34</v>
      </c>
      <c r="V31" s="403">
        <v>2415383.67</v>
      </c>
      <c r="W31" s="403">
        <v>2585661.0099999998</v>
      </c>
      <c r="X31" s="390"/>
      <c r="Y31" s="380">
        <v>241</v>
      </c>
      <c r="Z31" s="448">
        <v>397407.6</v>
      </c>
      <c r="AA31" s="448">
        <v>2326717.87</v>
      </c>
      <c r="AB31" s="403">
        <v>2724125.47</v>
      </c>
      <c r="AC31" s="390"/>
      <c r="AD31" s="457">
        <v>242</v>
      </c>
      <c r="AE31" s="448"/>
      <c r="AF31" s="448"/>
    </row>
    <row r="32" spans="1:32" ht="14.5">
      <c r="A32" s="380" t="s">
        <v>251</v>
      </c>
      <c r="C32" s="389" t="s">
        <v>1347</v>
      </c>
      <c r="E32" s="381">
        <v>0</v>
      </c>
      <c r="F32" s="381">
        <v>0</v>
      </c>
      <c r="G32" s="381">
        <v>0</v>
      </c>
      <c r="H32" s="381">
        <v>0</v>
      </c>
      <c r="I32" s="390"/>
      <c r="J32" s="380">
        <v>0</v>
      </c>
      <c r="K32" s="381">
        <v>0</v>
      </c>
      <c r="L32" s="381">
        <v>0</v>
      </c>
      <c r="M32" s="381">
        <v>0</v>
      </c>
      <c r="N32" s="390"/>
      <c r="O32" s="380">
        <v>0</v>
      </c>
      <c r="P32" s="381">
        <v>0</v>
      </c>
      <c r="Q32" s="381">
        <v>0</v>
      </c>
      <c r="R32" s="381">
        <v>0</v>
      </c>
      <c r="S32" s="390"/>
      <c r="T32" s="380">
        <v>13</v>
      </c>
      <c r="U32" s="403">
        <v>0</v>
      </c>
      <c r="V32" s="403">
        <v>153461.20000000001</v>
      </c>
      <c r="W32" s="403">
        <v>153461.20000000001</v>
      </c>
      <c r="X32" s="390"/>
      <c r="Y32" s="380">
        <v>32</v>
      </c>
      <c r="Z32" s="448">
        <v>0</v>
      </c>
      <c r="AA32" s="448">
        <v>542833.36</v>
      </c>
      <c r="AB32" s="403">
        <v>542833.36</v>
      </c>
      <c r="AC32" s="390"/>
      <c r="AD32" s="457">
        <v>52</v>
      </c>
      <c r="AE32" s="448"/>
      <c r="AF32" s="448"/>
    </row>
    <row r="33" spans="1:32" ht="14.5">
      <c r="A33" s="380" t="s">
        <v>255</v>
      </c>
      <c r="B33" s="380" t="s">
        <v>227</v>
      </c>
      <c r="C33" s="389" t="s">
        <v>256</v>
      </c>
      <c r="E33" s="381">
        <v>1748</v>
      </c>
      <c r="F33" s="381">
        <v>86428</v>
      </c>
      <c r="G33" s="381">
        <v>16961186.25</v>
      </c>
      <c r="H33" s="381">
        <v>17047614.25</v>
      </c>
      <c r="I33" s="390"/>
      <c r="J33" s="380">
        <v>1755</v>
      </c>
      <c r="K33" s="381">
        <v>13009.92</v>
      </c>
      <c r="L33" s="381">
        <v>21922050.050000001</v>
      </c>
      <c r="M33" s="381">
        <v>21935059.970000003</v>
      </c>
      <c r="N33" s="390"/>
      <c r="O33" s="380">
        <v>1833</v>
      </c>
      <c r="P33" s="381">
        <v>13010</v>
      </c>
      <c r="Q33" s="381">
        <v>23869247.82</v>
      </c>
      <c r="R33" s="381">
        <v>23882257.82</v>
      </c>
      <c r="S33" s="390"/>
      <c r="T33" s="380">
        <v>1702</v>
      </c>
      <c r="U33" s="403">
        <v>13011</v>
      </c>
      <c r="V33" s="403">
        <v>21854235.420000002</v>
      </c>
      <c r="W33" s="403">
        <v>21867246.420000002</v>
      </c>
      <c r="X33" s="390"/>
      <c r="Y33" s="380">
        <v>1689</v>
      </c>
      <c r="Z33" s="448">
        <v>148675.92000000001</v>
      </c>
      <c r="AA33" s="448">
        <v>21881353.940000001</v>
      </c>
      <c r="AB33" s="403">
        <v>22030029.860000003</v>
      </c>
      <c r="AC33" s="390"/>
      <c r="AD33" s="457">
        <v>1743</v>
      </c>
      <c r="AE33" s="448"/>
      <c r="AF33" s="448"/>
    </row>
    <row r="34" spans="1:32" ht="14.5">
      <c r="A34" s="380" t="s">
        <v>257</v>
      </c>
      <c r="B34" s="380" t="s">
        <v>193</v>
      </c>
      <c r="C34" s="389" t="s">
        <v>258</v>
      </c>
      <c r="E34" s="381">
        <v>1873</v>
      </c>
      <c r="F34" s="381">
        <v>4517015.2699999996</v>
      </c>
      <c r="G34" s="381">
        <v>17231072.34</v>
      </c>
      <c r="H34" s="381">
        <v>21748087.609999999</v>
      </c>
      <c r="I34" s="390"/>
      <c r="J34" s="380">
        <v>1983</v>
      </c>
      <c r="K34" s="381">
        <v>4250094.6100000003</v>
      </c>
      <c r="L34" s="381">
        <v>21025267.09</v>
      </c>
      <c r="M34" s="381">
        <v>25275361.699999999</v>
      </c>
      <c r="N34" s="390"/>
      <c r="O34" s="380">
        <v>2110</v>
      </c>
      <c r="P34" s="381">
        <v>2454249.9700000002</v>
      </c>
      <c r="Q34" s="381">
        <v>24075661.629999999</v>
      </c>
      <c r="R34" s="381">
        <v>26529911.599999998</v>
      </c>
      <c r="S34" s="390"/>
      <c r="T34" s="380">
        <v>2068</v>
      </c>
      <c r="U34" s="403">
        <v>4574099.55</v>
      </c>
      <c r="V34" s="403">
        <v>23925568.449999999</v>
      </c>
      <c r="W34" s="403">
        <v>28499668</v>
      </c>
      <c r="X34" s="390"/>
      <c r="Y34" s="380">
        <v>2146</v>
      </c>
      <c r="Z34" s="448">
        <v>3963561.35</v>
      </c>
      <c r="AA34" s="448">
        <v>25009838.309999999</v>
      </c>
      <c r="AB34" s="403">
        <v>28973399.66</v>
      </c>
      <c r="AC34" s="390"/>
      <c r="AD34" s="457">
        <v>2234</v>
      </c>
      <c r="AE34" s="448"/>
      <c r="AF34" s="448"/>
    </row>
    <row r="35" spans="1:32" ht="14.5">
      <c r="A35" s="380" t="s">
        <v>259</v>
      </c>
      <c r="B35" s="380" t="s">
        <v>188</v>
      </c>
      <c r="C35" s="389" t="s">
        <v>260</v>
      </c>
      <c r="E35" s="381">
        <v>549</v>
      </c>
      <c r="F35" s="381">
        <v>1587834.3</v>
      </c>
      <c r="G35" s="381">
        <v>4483493.75</v>
      </c>
      <c r="H35" s="381">
        <v>6071328.0499999998</v>
      </c>
      <c r="I35" s="390"/>
      <c r="J35" s="380">
        <v>564</v>
      </c>
      <c r="K35" s="381">
        <v>1389223.48</v>
      </c>
      <c r="L35" s="381">
        <v>5529895.9400000004</v>
      </c>
      <c r="M35" s="381">
        <v>6919119.4199999999</v>
      </c>
      <c r="N35" s="390"/>
      <c r="O35" s="380">
        <v>544</v>
      </c>
      <c r="P35" s="381">
        <v>1767834</v>
      </c>
      <c r="Q35" s="381">
        <v>5694900.5300000003</v>
      </c>
      <c r="R35" s="381">
        <v>7462734.5300000003</v>
      </c>
      <c r="S35" s="390"/>
      <c r="T35" s="380">
        <v>481</v>
      </c>
      <c r="U35" s="403">
        <v>1101110.04</v>
      </c>
      <c r="V35" s="403">
        <v>5136880.9800000004</v>
      </c>
      <c r="W35" s="403">
        <v>6237991.0200000005</v>
      </c>
      <c r="X35" s="390"/>
      <c r="Y35" s="380">
        <v>477</v>
      </c>
      <c r="Z35" s="448">
        <v>1101111.04</v>
      </c>
      <c r="AA35" s="448">
        <v>5409908.1900000004</v>
      </c>
      <c r="AB35" s="403">
        <v>6511019.2300000004</v>
      </c>
      <c r="AC35" s="390"/>
      <c r="AD35" s="457">
        <v>482</v>
      </c>
      <c r="AE35" s="448"/>
      <c r="AF35" s="448"/>
    </row>
    <row r="36" spans="1:32" ht="14.5">
      <c r="A36" s="380" t="s">
        <v>261</v>
      </c>
      <c r="B36" s="380" t="s">
        <v>188</v>
      </c>
      <c r="C36" s="389" t="s">
        <v>262</v>
      </c>
      <c r="E36" s="381">
        <v>460</v>
      </c>
      <c r="F36" s="381">
        <v>0</v>
      </c>
      <c r="G36" s="381">
        <v>4477941.99</v>
      </c>
      <c r="H36" s="381">
        <v>4477941.99</v>
      </c>
      <c r="I36" s="390"/>
      <c r="J36" s="380">
        <v>409</v>
      </c>
      <c r="K36" s="381">
        <v>467315.71</v>
      </c>
      <c r="L36" s="381">
        <v>4252361.75</v>
      </c>
      <c r="M36" s="381">
        <v>4719677.46</v>
      </c>
      <c r="N36" s="390"/>
      <c r="O36" s="380">
        <v>496</v>
      </c>
      <c r="P36" s="381">
        <v>514840.94</v>
      </c>
      <c r="Q36" s="381">
        <v>4677312.6900000004</v>
      </c>
      <c r="R36" s="381">
        <v>5192153.6300000008</v>
      </c>
      <c r="S36" s="390"/>
      <c r="T36" s="380">
        <v>429</v>
      </c>
      <c r="U36" s="403">
        <v>0</v>
      </c>
      <c r="V36" s="403">
        <v>5832450.0899999999</v>
      </c>
      <c r="W36" s="403">
        <v>5832450.0899999999</v>
      </c>
      <c r="X36" s="390"/>
      <c r="Y36" s="380">
        <v>419</v>
      </c>
      <c r="Z36" s="448">
        <v>0</v>
      </c>
      <c r="AA36" s="448">
        <v>6019460.9800000004</v>
      </c>
      <c r="AB36" s="403">
        <v>6019460.9800000004</v>
      </c>
      <c r="AC36" s="390"/>
      <c r="AD36" s="457">
        <v>391</v>
      </c>
      <c r="AE36" s="448"/>
      <c r="AF36" s="448"/>
    </row>
    <row r="37" spans="1:32" ht="14.5">
      <c r="A37" s="380" t="s">
        <v>263</v>
      </c>
      <c r="B37" s="380" t="s">
        <v>193</v>
      </c>
      <c r="C37" s="389" t="s">
        <v>264</v>
      </c>
      <c r="E37" s="381">
        <v>827</v>
      </c>
      <c r="F37" s="381">
        <v>2801894.46</v>
      </c>
      <c r="G37" s="381">
        <v>5991567.8399999999</v>
      </c>
      <c r="H37" s="381">
        <v>8793462.3000000007</v>
      </c>
      <c r="I37" s="390"/>
      <c r="J37" s="380">
        <v>901</v>
      </c>
      <c r="K37" s="381">
        <v>592336.03</v>
      </c>
      <c r="L37" s="381">
        <v>9781931.5299999993</v>
      </c>
      <c r="M37" s="381">
        <v>10374267.559999999</v>
      </c>
      <c r="N37" s="390"/>
      <c r="O37" s="380">
        <v>905</v>
      </c>
      <c r="P37" s="381">
        <v>2193290.44</v>
      </c>
      <c r="Q37" s="381">
        <v>8530135.5399999991</v>
      </c>
      <c r="R37" s="381">
        <v>10723425.979999999</v>
      </c>
      <c r="S37" s="390"/>
      <c r="T37" s="380">
        <v>838</v>
      </c>
      <c r="U37" s="403">
        <v>1719268.2</v>
      </c>
      <c r="V37" s="403">
        <v>8303260.75</v>
      </c>
      <c r="W37" s="403">
        <v>10022528.949999999</v>
      </c>
      <c r="X37" s="390"/>
      <c r="Y37" s="380">
        <v>871</v>
      </c>
      <c r="Z37" s="448">
        <v>2129292.94</v>
      </c>
      <c r="AA37" s="448">
        <v>8434504.0199999996</v>
      </c>
      <c r="AB37" s="403">
        <v>10563796.959999999</v>
      </c>
      <c r="AC37" s="390"/>
      <c r="AD37" s="457">
        <v>856</v>
      </c>
      <c r="AE37" s="448"/>
      <c r="AF37" s="448"/>
    </row>
    <row r="38" spans="1:32" ht="14.5">
      <c r="A38" s="380" t="s">
        <v>265</v>
      </c>
      <c r="B38" s="380" t="s">
        <v>193</v>
      </c>
      <c r="C38" s="389" t="s">
        <v>266</v>
      </c>
      <c r="E38" s="381">
        <v>100</v>
      </c>
      <c r="F38" s="381">
        <v>43561.1</v>
      </c>
      <c r="G38" s="381">
        <v>811856.22</v>
      </c>
      <c r="H38" s="381">
        <v>855417.32</v>
      </c>
      <c r="I38" s="390"/>
      <c r="J38" s="380">
        <v>115</v>
      </c>
      <c r="K38" s="381">
        <v>0</v>
      </c>
      <c r="L38" s="381">
        <v>961417.47</v>
      </c>
      <c r="M38" s="381">
        <v>961417.47</v>
      </c>
      <c r="N38" s="390"/>
      <c r="O38" s="380">
        <v>129</v>
      </c>
      <c r="P38" s="381">
        <v>2805.43</v>
      </c>
      <c r="Q38" s="381">
        <v>1098873.95</v>
      </c>
      <c r="R38" s="381">
        <v>1101679.3799999999</v>
      </c>
      <c r="S38" s="390"/>
      <c r="T38" s="380">
        <v>119</v>
      </c>
      <c r="U38" s="403">
        <v>2955</v>
      </c>
      <c r="V38" s="403">
        <v>1078147.5</v>
      </c>
      <c r="W38" s="403">
        <v>1081102.5</v>
      </c>
      <c r="X38" s="390"/>
      <c r="Y38" s="380">
        <v>137</v>
      </c>
      <c r="Z38" s="448">
        <v>3000</v>
      </c>
      <c r="AA38" s="448">
        <v>1123255.48</v>
      </c>
      <c r="AB38" s="403">
        <v>1126255.48</v>
      </c>
      <c r="AC38" s="390"/>
      <c r="AD38" s="457">
        <v>127</v>
      </c>
      <c r="AE38" s="448"/>
      <c r="AF38" s="448"/>
    </row>
    <row r="39" spans="1:32" ht="14.5">
      <c r="A39" s="380" t="s">
        <v>267</v>
      </c>
      <c r="B39" s="380" t="s">
        <v>227</v>
      </c>
      <c r="C39" s="389" t="s">
        <v>268</v>
      </c>
      <c r="E39" s="381">
        <v>134</v>
      </c>
      <c r="F39" s="381">
        <v>12525</v>
      </c>
      <c r="G39" s="381">
        <v>1272489.76</v>
      </c>
      <c r="H39" s="381">
        <v>1285014.76</v>
      </c>
      <c r="I39" s="390"/>
      <c r="J39" s="380">
        <v>131</v>
      </c>
      <c r="K39" s="381">
        <v>9070</v>
      </c>
      <c r="L39" s="381">
        <v>1435805.99</v>
      </c>
      <c r="M39" s="381">
        <v>1444875.99</v>
      </c>
      <c r="N39" s="390"/>
      <c r="O39" s="380">
        <v>142</v>
      </c>
      <c r="P39" s="381">
        <v>5510</v>
      </c>
      <c r="Q39" s="381">
        <v>1606777.12</v>
      </c>
      <c r="R39" s="381">
        <v>1612287.12</v>
      </c>
      <c r="S39" s="390"/>
      <c r="T39" s="380">
        <v>133</v>
      </c>
      <c r="U39" s="403">
        <v>0</v>
      </c>
      <c r="V39" s="403">
        <v>1669871.83</v>
      </c>
      <c r="W39" s="403">
        <v>1669871.83</v>
      </c>
      <c r="X39" s="390"/>
      <c r="Y39" s="380">
        <v>119</v>
      </c>
      <c r="Z39" s="448">
        <v>6800</v>
      </c>
      <c r="AA39" s="448">
        <v>1706744.45</v>
      </c>
      <c r="AB39" s="403">
        <v>1713544.45</v>
      </c>
      <c r="AC39" s="390"/>
      <c r="AD39" s="457">
        <v>122</v>
      </c>
      <c r="AE39" s="448"/>
      <c r="AF39" s="448"/>
    </row>
    <row r="40" spans="1:32" ht="14.5">
      <c r="A40" s="380" t="s">
        <v>269</v>
      </c>
      <c r="B40" s="380" t="s">
        <v>201</v>
      </c>
      <c r="C40" s="389" t="s">
        <v>270</v>
      </c>
      <c r="E40" s="381">
        <v>382</v>
      </c>
      <c r="F40" s="381">
        <v>115045.95</v>
      </c>
      <c r="G40" s="381">
        <v>3037612.01</v>
      </c>
      <c r="H40" s="381">
        <v>3152657.96</v>
      </c>
      <c r="I40" s="390"/>
      <c r="J40" s="380">
        <v>391</v>
      </c>
      <c r="K40" s="381">
        <v>0</v>
      </c>
      <c r="L40" s="381">
        <v>3700784.63</v>
      </c>
      <c r="M40" s="381">
        <v>3700784.63</v>
      </c>
      <c r="N40" s="390"/>
      <c r="O40" s="380">
        <v>433</v>
      </c>
      <c r="P40" s="381">
        <v>0</v>
      </c>
      <c r="Q40" s="381">
        <v>3851114.14</v>
      </c>
      <c r="R40" s="381">
        <v>3851114.14</v>
      </c>
      <c r="S40" s="390"/>
      <c r="T40" s="380">
        <v>408</v>
      </c>
      <c r="U40" s="403">
        <v>0</v>
      </c>
      <c r="V40" s="403">
        <v>3732380.28</v>
      </c>
      <c r="W40" s="403">
        <v>3732380.28</v>
      </c>
      <c r="X40" s="390"/>
      <c r="Y40" s="380">
        <v>409</v>
      </c>
      <c r="Z40" s="448">
        <v>0</v>
      </c>
      <c r="AA40" s="448">
        <v>3950554.4</v>
      </c>
      <c r="AB40" s="403">
        <v>3950554.4</v>
      </c>
      <c r="AC40" s="390"/>
      <c r="AD40" s="457">
        <v>473</v>
      </c>
      <c r="AE40" s="448"/>
      <c r="AF40" s="448"/>
    </row>
    <row r="41" spans="1:32" ht="14.5">
      <c r="A41" s="380" t="s">
        <v>271</v>
      </c>
      <c r="B41" s="380" t="s">
        <v>220</v>
      </c>
      <c r="C41" s="389" t="s">
        <v>272</v>
      </c>
      <c r="E41" s="381">
        <v>115</v>
      </c>
      <c r="F41" s="381">
        <v>22202.73</v>
      </c>
      <c r="G41" s="381">
        <v>978217.12</v>
      </c>
      <c r="H41" s="381">
        <v>1000419.85</v>
      </c>
      <c r="I41" s="390"/>
      <c r="J41" s="380">
        <v>123</v>
      </c>
      <c r="K41" s="381">
        <v>0</v>
      </c>
      <c r="L41" s="381">
        <v>1098369.94</v>
      </c>
      <c r="M41" s="381">
        <v>1098369.94</v>
      </c>
      <c r="N41" s="390"/>
      <c r="O41" s="380">
        <v>134</v>
      </c>
      <c r="P41" s="381">
        <v>0</v>
      </c>
      <c r="Q41" s="381">
        <v>1285558.71</v>
      </c>
      <c r="R41" s="381">
        <v>1285558.71</v>
      </c>
      <c r="S41" s="390"/>
      <c r="T41" s="380">
        <v>135</v>
      </c>
      <c r="U41" s="403">
        <v>0</v>
      </c>
      <c r="V41" s="403">
        <v>1234362.19</v>
      </c>
      <c r="W41" s="403">
        <v>1234362.19</v>
      </c>
      <c r="X41" s="390"/>
      <c r="Y41" s="380">
        <v>145</v>
      </c>
      <c r="Z41" s="448">
        <v>0</v>
      </c>
      <c r="AA41" s="448">
        <v>1298170.51</v>
      </c>
      <c r="AB41" s="403">
        <v>1298170.51</v>
      </c>
      <c r="AC41" s="390"/>
      <c r="AD41" s="457">
        <v>137</v>
      </c>
      <c r="AE41" s="448"/>
      <c r="AF41" s="448"/>
    </row>
    <row r="42" spans="1:32" ht="14.5">
      <c r="A42" s="380" t="s">
        <v>273</v>
      </c>
      <c r="B42" s="380" t="s">
        <v>204</v>
      </c>
      <c r="C42" s="389" t="s">
        <v>274</v>
      </c>
      <c r="E42" s="381">
        <v>1953</v>
      </c>
      <c r="F42" s="381">
        <v>3187402.3</v>
      </c>
      <c r="G42" s="381">
        <v>17087184.309999999</v>
      </c>
      <c r="H42" s="381">
        <v>20274586.609999999</v>
      </c>
      <c r="I42" s="390"/>
      <c r="J42" s="380">
        <v>1999</v>
      </c>
      <c r="K42" s="381">
        <v>1472717.06</v>
      </c>
      <c r="L42" s="381">
        <v>22724471.649999999</v>
      </c>
      <c r="M42" s="381">
        <v>24197188.709999997</v>
      </c>
      <c r="N42" s="390"/>
      <c r="O42" s="380">
        <v>2082</v>
      </c>
      <c r="P42" s="381">
        <v>2363928.2999999998</v>
      </c>
      <c r="Q42" s="381">
        <v>24587384.199999999</v>
      </c>
      <c r="R42" s="381">
        <v>26951312.5</v>
      </c>
      <c r="S42" s="390"/>
      <c r="T42" s="380">
        <v>1978</v>
      </c>
      <c r="U42" s="403">
        <v>2792479.34</v>
      </c>
      <c r="V42" s="403">
        <v>23877009.149999999</v>
      </c>
      <c r="W42" s="403">
        <v>26669488.489999998</v>
      </c>
      <c r="X42" s="390"/>
      <c r="Y42" s="380">
        <v>1976</v>
      </c>
      <c r="Z42" s="448">
        <v>2946536.76</v>
      </c>
      <c r="AA42" s="448">
        <v>24060415.699999999</v>
      </c>
      <c r="AB42" s="403">
        <v>27006952.460000001</v>
      </c>
      <c r="AC42" s="390"/>
      <c r="AD42" s="457">
        <v>2032</v>
      </c>
      <c r="AE42" s="448"/>
      <c r="AF42" s="448"/>
    </row>
    <row r="43" spans="1:32" ht="14.5">
      <c r="A43" s="380" t="s">
        <v>275</v>
      </c>
      <c r="B43" s="380" t="s">
        <v>193</v>
      </c>
      <c r="C43" s="389" t="s">
        <v>276</v>
      </c>
      <c r="E43" s="381">
        <v>75</v>
      </c>
      <c r="F43" s="381">
        <v>0</v>
      </c>
      <c r="G43" s="381">
        <v>531302.49</v>
      </c>
      <c r="H43" s="381">
        <v>531302.49</v>
      </c>
      <c r="I43" s="390"/>
      <c r="J43" s="380">
        <v>77</v>
      </c>
      <c r="K43" s="381">
        <v>0</v>
      </c>
      <c r="L43" s="381">
        <v>591290.18000000005</v>
      </c>
      <c r="M43" s="381">
        <v>591290.18000000005</v>
      </c>
      <c r="N43" s="390"/>
      <c r="O43" s="380">
        <v>77</v>
      </c>
      <c r="P43" s="381">
        <v>0</v>
      </c>
      <c r="Q43" s="381">
        <v>650660.06999999995</v>
      </c>
      <c r="R43" s="381">
        <v>650660.06999999995</v>
      </c>
      <c r="S43" s="390"/>
      <c r="T43" s="380">
        <v>76</v>
      </c>
      <c r="U43" s="403">
        <v>0</v>
      </c>
      <c r="V43" s="403">
        <v>732498.81</v>
      </c>
      <c r="W43" s="403">
        <v>732498.81</v>
      </c>
      <c r="X43" s="390"/>
      <c r="Y43" s="380">
        <v>83</v>
      </c>
      <c r="Z43" s="448">
        <v>0</v>
      </c>
      <c r="AA43" s="448">
        <v>753649</v>
      </c>
      <c r="AB43" s="403">
        <v>753649</v>
      </c>
      <c r="AC43" s="390"/>
      <c r="AD43" s="457">
        <v>78</v>
      </c>
      <c r="AE43" s="448"/>
      <c r="AF43" s="448"/>
    </row>
    <row r="44" spans="1:32" ht="14.5">
      <c r="A44" s="380" t="s">
        <v>277</v>
      </c>
      <c r="B44" s="380" t="s">
        <v>201</v>
      </c>
      <c r="C44" s="389" t="s">
        <v>278</v>
      </c>
      <c r="E44" s="381">
        <v>158</v>
      </c>
      <c r="F44" s="381">
        <v>222371.09</v>
      </c>
      <c r="G44" s="381">
        <v>1303456.52</v>
      </c>
      <c r="H44" s="381">
        <v>1525827.61</v>
      </c>
      <c r="I44" s="390"/>
      <c r="J44" s="380">
        <v>175</v>
      </c>
      <c r="K44" s="381">
        <v>77113.600000000006</v>
      </c>
      <c r="L44" s="381">
        <v>1871738.42</v>
      </c>
      <c r="M44" s="381">
        <v>1948852.02</v>
      </c>
      <c r="N44" s="390"/>
      <c r="O44" s="380">
        <v>205</v>
      </c>
      <c r="P44" s="381">
        <v>189203.29</v>
      </c>
      <c r="Q44" s="381">
        <v>2276065.25</v>
      </c>
      <c r="R44" s="381">
        <v>2465268.54</v>
      </c>
      <c r="S44" s="390"/>
      <c r="T44" s="380">
        <v>222</v>
      </c>
      <c r="U44" s="403">
        <v>198524.52</v>
      </c>
      <c r="V44" s="403">
        <v>2539017.2999999998</v>
      </c>
      <c r="W44" s="403">
        <v>2737541.82</v>
      </c>
      <c r="X44" s="390"/>
      <c r="Y44" s="380">
        <v>236</v>
      </c>
      <c r="Z44" s="448">
        <v>0</v>
      </c>
      <c r="AA44" s="448">
        <v>2579618.75</v>
      </c>
      <c r="AB44" s="403">
        <v>2579618.75</v>
      </c>
      <c r="AC44" s="390"/>
      <c r="AD44" s="457">
        <v>214</v>
      </c>
      <c r="AE44" s="448"/>
      <c r="AF44" s="448"/>
    </row>
    <row r="45" spans="1:32" ht="14.5">
      <c r="A45" s="380" t="s">
        <v>279</v>
      </c>
      <c r="B45" s="380" t="s">
        <v>193</v>
      </c>
      <c r="C45" s="389" t="s">
        <v>280</v>
      </c>
      <c r="E45" s="381">
        <v>25</v>
      </c>
      <c r="F45" s="381">
        <v>0</v>
      </c>
      <c r="G45" s="381">
        <v>156571.98000000001</v>
      </c>
      <c r="H45" s="381">
        <v>156571.98000000001</v>
      </c>
      <c r="I45" s="390"/>
      <c r="J45" s="380">
        <v>29</v>
      </c>
      <c r="K45" s="381">
        <v>0</v>
      </c>
      <c r="L45" s="381">
        <v>190261.04</v>
      </c>
      <c r="M45" s="381">
        <v>190261.04</v>
      </c>
      <c r="N45" s="390"/>
      <c r="O45" s="380">
        <v>29</v>
      </c>
      <c r="P45" s="381">
        <v>0</v>
      </c>
      <c r="Q45" s="381">
        <v>220094.43</v>
      </c>
      <c r="R45" s="381">
        <v>220094.43</v>
      </c>
      <c r="S45" s="390"/>
      <c r="T45" s="380">
        <v>26</v>
      </c>
      <c r="U45" s="403">
        <v>0</v>
      </c>
      <c r="V45" s="403">
        <v>212814.33</v>
      </c>
      <c r="W45" s="403">
        <v>212814.33</v>
      </c>
      <c r="X45" s="390"/>
      <c r="Y45" s="380">
        <v>29</v>
      </c>
      <c r="Z45" s="448">
        <v>0</v>
      </c>
      <c r="AA45" s="448">
        <v>229095.73</v>
      </c>
      <c r="AB45" s="403">
        <v>229095.73</v>
      </c>
      <c r="AC45" s="390"/>
      <c r="AD45" s="457">
        <v>28</v>
      </c>
      <c r="AE45" s="448"/>
      <c r="AF45" s="448"/>
    </row>
    <row r="46" spans="1:32" ht="14.5">
      <c r="A46" s="380" t="s">
        <v>281</v>
      </c>
      <c r="B46" s="380" t="s">
        <v>193</v>
      </c>
      <c r="C46" s="389" t="s">
        <v>1189</v>
      </c>
      <c r="E46" s="381">
        <v>20</v>
      </c>
      <c r="F46" s="381">
        <v>8500</v>
      </c>
      <c r="G46" s="381">
        <v>191619.84</v>
      </c>
      <c r="H46" s="381">
        <v>200119.84</v>
      </c>
      <c r="I46" s="390"/>
      <c r="J46" s="380">
        <v>24</v>
      </c>
      <c r="K46" s="381">
        <v>8501.68</v>
      </c>
      <c r="L46" s="381">
        <v>172273.68</v>
      </c>
      <c r="M46" s="381">
        <v>180775.36</v>
      </c>
      <c r="N46" s="390"/>
      <c r="O46" s="380">
        <v>21</v>
      </c>
      <c r="P46" s="381">
        <v>9119.42</v>
      </c>
      <c r="Q46" s="381">
        <v>198870.15</v>
      </c>
      <c r="R46" s="381">
        <v>207989.57</v>
      </c>
      <c r="S46" s="390"/>
      <c r="T46" s="380">
        <v>16</v>
      </c>
      <c r="U46" s="403">
        <v>9200</v>
      </c>
      <c r="V46" s="403">
        <v>140608.66</v>
      </c>
      <c r="W46" s="403">
        <v>149808.66</v>
      </c>
      <c r="X46" s="390"/>
      <c r="Y46" s="380">
        <v>16</v>
      </c>
      <c r="Z46" s="448">
        <v>9250</v>
      </c>
      <c r="AA46" s="448">
        <v>149675.20000000001</v>
      </c>
      <c r="AB46" s="403">
        <v>158925.20000000001</v>
      </c>
      <c r="AC46" s="390"/>
      <c r="AD46" s="457">
        <v>23</v>
      </c>
      <c r="AE46" s="448"/>
      <c r="AF46" s="448"/>
    </row>
    <row r="47" spans="1:32" ht="14.5">
      <c r="A47" s="380" t="s">
        <v>283</v>
      </c>
      <c r="B47" s="380" t="s">
        <v>201</v>
      </c>
      <c r="C47" s="389" t="s">
        <v>1190</v>
      </c>
      <c r="E47" s="381">
        <v>124</v>
      </c>
      <c r="F47" s="381">
        <v>0</v>
      </c>
      <c r="G47" s="381">
        <v>928248.11</v>
      </c>
      <c r="H47" s="381">
        <v>928248.11</v>
      </c>
      <c r="I47" s="390"/>
      <c r="J47" s="380">
        <v>114</v>
      </c>
      <c r="K47" s="381">
        <v>0</v>
      </c>
      <c r="L47" s="381">
        <v>1060953.28</v>
      </c>
      <c r="M47" s="381">
        <v>1060953.28</v>
      </c>
      <c r="N47" s="390"/>
      <c r="O47" s="380">
        <v>128</v>
      </c>
      <c r="P47" s="381">
        <v>0</v>
      </c>
      <c r="Q47" s="381">
        <v>1017666.68</v>
      </c>
      <c r="R47" s="381">
        <v>1017666.68</v>
      </c>
      <c r="S47" s="390"/>
      <c r="T47" s="380">
        <v>117</v>
      </c>
      <c r="U47" s="403">
        <v>24383.93</v>
      </c>
      <c r="V47" s="403">
        <v>1135330.92</v>
      </c>
      <c r="W47" s="403">
        <v>1159714.8499999999</v>
      </c>
      <c r="X47" s="390"/>
      <c r="Y47" s="380">
        <v>103</v>
      </c>
      <c r="Z47" s="448">
        <v>0</v>
      </c>
      <c r="AA47" s="448">
        <v>1150001.8999999999</v>
      </c>
      <c r="AB47" s="403">
        <v>1150001.8999999999</v>
      </c>
      <c r="AC47" s="390"/>
      <c r="AD47" s="457">
        <v>110</v>
      </c>
      <c r="AE47" s="448"/>
      <c r="AF47" s="448"/>
    </row>
    <row r="48" spans="1:32" ht="14.5">
      <c r="A48" s="380" t="s">
        <v>285</v>
      </c>
      <c r="B48" s="380" t="s">
        <v>193</v>
      </c>
      <c r="C48" s="389" t="s">
        <v>286</v>
      </c>
      <c r="E48" s="381">
        <v>299</v>
      </c>
      <c r="F48" s="381">
        <v>0</v>
      </c>
      <c r="G48" s="381">
        <v>2447464.23</v>
      </c>
      <c r="H48" s="381">
        <v>2447464.23</v>
      </c>
      <c r="I48" s="390"/>
      <c r="J48" s="380">
        <v>305</v>
      </c>
      <c r="K48" s="381">
        <v>0</v>
      </c>
      <c r="L48" s="381">
        <v>2886053.1</v>
      </c>
      <c r="M48" s="381">
        <v>2886053.1</v>
      </c>
      <c r="N48" s="390"/>
      <c r="O48" s="380">
        <v>275</v>
      </c>
      <c r="P48" s="381">
        <v>0</v>
      </c>
      <c r="Q48" s="381">
        <v>2758468.5</v>
      </c>
      <c r="R48" s="381">
        <v>2758468.5</v>
      </c>
      <c r="S48" s="390"/>
      <c r="T48" s="380">
        <v>248</v>
      </c>
      <c r="U48" s="403">
        <v>0</v>
      </c>
      <c r="V48" s="403">
        <v>2630266.7999999998</v>
      </c>
      <c r="W48" s="403">
        <v>2630266.7999999998</v>
      </c>
      <c r="X48" s="390"/>
      <c r="Y48" s="380">
        <v>255</v>
      </c>
      <c r="Z48" s="448">
        <v>0</v>
      </c>
      <c r="AA48" s="448">
        <v>2400556.1800000002</v>
      </c>
      <c r="AB48" s="403">
        <v>2400556.1800000002</v>
      </c>
      <c r="AC48" s="390"/>
      <c r="AD48" s="457">
        <v>280</v>
      </c>
      <c r="AE48" s="448"/>
      <c r="AF48" s="448"/>
    </row>
    <row r="49" spans="1:32" ht="14.5">
      <c r="A49" s="380" t="s">
        <v>287</v>
      </c>
      <c r="B49" s="380" t="s">
        <v>196</v>
      </c>
      <c r="C49" s="389" t="s">
        <v>288</v>
      </c>
      <c r="E49" s="381">
        <v>81</v>
      </c>
      <c r="F49" s="381">
        <v>2500</v>
      </c>
      <c r="G49" s="381">
        <v>772319.69</v>
      </c>
      <c r="H49" s="381">
        <v>774819.69</v>
      </c>
      <c r="I49" s="390"/>
      <c r="J49" s="380">
        <v>98</v>
      </c>
      <c r="K49" s="381">
        <v>2600</v>
      </c>
      <c r="L49" s="381">
        <v>1019307.02</v>
      </c>
      <c r="M49" s="381">
        <v>1021907.02</v>
      </c>
      <c r="N49" s="390"/>
      <c r="O49" s="380">
        <v>92</v>
      </c>
      <c r="P49" s="381">
        <v>2700</v>
      </c>
      <c r="Q49" s="381">
        <v>1081803.83</v>
      </c>
      <c r="R49" s="381">
        <v>1084503.83</v>
      </c>
      <c r="S49" s="390"/>
      <c r="T49" s="380">
        <v>86</v>
      </c>
      <c r="U49" s="403">
        <v>2800</v>
      </c>
      <c r="V49" s="403">
        <v>1046978.87</v>
      </c>
      <c r="W49" s="403">
        <v>1049778.8700000001</v>
      </c>
      <c r="X49" s="390"/>
      <c r="Y49" s="380">
        <v>86</v>
      </c>
      <c r="Z49" s="448">
        <v>2900</v>
      </c>
      <c r="AA49" s="448">
        <v>1373604.93</v>
      </c>
      <c r="AB49" s="403">
        <v>1376504.93</v>
      </c>
      <c r="AC49" s="390"/>
      <c r="AD49" s="457">
        <v>97</v>
      </c>
      <c r="AE49" s="448"/>
      <c r="AF49" s="448"/>
    </row>
    <row r="50" spans="1:32" ht="14.5">
      <c r="A50" s="380" t="s">
        <v>289</v>
      </c>
      <c r="B50" s="380" t="s">
        <v>196</v>
      </c>
      <c r="C50" s="389" t="s">
        <v>290</v>
      </c>
      <c r="E50" s="381">
        <v>43</v>
      </c>
      <c r="F50" s="381">
        <v>9922.61</v>
      </c>
      <c r="G50" s="381">
        <v>620837.63</v>
      </c>
      <c r="H50" s="381">
        <v>630760.24</v>
      </c>
      <c r="I50" s="390"/>
      <c r="J50" s="380">
        <v>46</v>
      </c>
      <c r="K50" s="381">
        <v>133821.89000000001</v>
      </c>
      <c r="L50" s="381">
        <v>434107.22</v>
      </c>
      <c r="M50" s="381">
        <v>567929.11</v>
      </c>
      <c r="N50" s="390"/>
      <c r="O50" s="380">
        <v>49</v>
      </c>
      <c r="P50" s="381">
        <v>0</v>
      </c>
      <c r="Q50" s="381">
        <v>724062.57</v>
      </c>
      <c r="R50" s="381">
        <v>724062.57</v>
      </c>
      <c r="S50" s="390"/>
      <c r="T50" s="380">
        <v>46</v>
      </c>
      <c r="U50" s="403">
        <v>0</v>
      </c>
      <c r="V50" s="403">
        <v>636065.31999999995</v>
      </c>
      <c r="W50" s="403">
        <v>636065.31999999995</v>
      </c>
      <c r="X50" s="390"/>
      <c r="Y50" s="380">
        <v>44</v>
      </c>
      <c r="Z50" s="448">
        <v>0</v>
      </c>
      <c r="AA50" s="448">
        <v>634372.84</v>
      </c>
      <c r="AB50" s="403">
        <v>634372.84</v>
      </c>
      <c r="AC50" s="390"/>
      <c r="AD50" s="457">
        <v>38</v>
      </c>
      <c r="AE50" s="448"/>
      <c r="AF50" s="448"/>
    </row>
    <row r="51" spans="1:32" ht="14.5">
      <c r="A51" s="380" t="s">
        <v>291</v>
      </c>
      <c r="B51" s="380" t="s">
        <v>188</v>
      </c>
      <c r="C51" s="389" t="s">
        <v>292</v>
      </c>
      <c r="E51" s="381">
        <v>30</v>
      </c>
      <c r="F51" s="381">
        <v>0</v>
      </c>
      <c r="G51" s="381">
        <v>184796.5</v>
      </c>
      <c r="H51" s="381">
        <v>184796.5</v>
      </c>
      <c r="I51" s="390"/>
      <c r="J51" s="380">
        <v>29</v>
      </c>
      <c r="K51" s="381">
        <v>0</v>
      </c>
      <c r="L51" s="381">
        <v>254548.73</v>
      </c>
      <c r="M51" s="381">
        <v>254548.73</v>
      </c>
      <c r="N51" s="390"/>
      <c r="O51" s="380">
        <v>34</v>
      </c>
      <c r="P51" s="381">
        <v>0</v>
      </c>
      <c r="Q51" s="381">
        <v>339798.49</v>
      </c>
      <c r="R51" s="381">
        <v>339798.49</v>
      </c>
      <c r="S51" s="390"/>
      <c r="T51" s="380">
        <v>22</v>
      </c>
      <c r="U51" s="403">
        <v>0</v>
      </c>
      <c r="V51" s="403">
        <v>273545.02</v>
      </c>
      <c r="W51" s="403">
        <v>273545.02</v>
      </c>
      <c r="X51" s="390"/>
      <c r="Y51" s="380">
        <v>24</v>
      </c>
      <c r="Z51" s="448">
        <v>0</v>
      </c>
      <c r="AA51" s="448">
        <v>252323.7</v>
      </c>
      <c r="AB51" s="403">
        <v>252323.7</v>
      </c>
      <c r="AC51" s="390"/>
      <c r="AD51" s="457">
        <v>20</v>
      </c>
      <c r="AE51" s="448"/>
      <c r="AF51" s="448"/>
    </row>
    <row r="52" spans="1:32" ht="14.5">
      <c r="A52" s="380" t="s">
        <v>293</v>
      </c>
      <c r="B52" s="380" t="s">
        <v>230</v>
      </c>
      <c r="C52" s="389" t="s">
        <v>294</v>
      </c>
      <c r="E52" s="381">
        <v>17</v>
      </c>
      <c r="F52" s="381">
        <v>1421.36</v>
      </c>
      <c r="G52" s="381">
        <v>155537.82999999999</v>
      </c>
      <c r="H52" s="381">
        <v>156959.18999999997</v>
      </c>
      <c r="I52" s="390"/>
      <c r="J52" s="380">
        <v>17</v>
      </c>
      <c r="K52" s="381">
        <v>0</v>
      </c>
      <c r="L52" s="381">
        <v>195145.94</v>
      </c>
      <c r="M52" s="381">
        <v>195145.94</v>
      </c>
      <c r="N52" s="390"/>
      <c r="O52" s="380">
        <v>19</v>
      </c>
      <c r="P52" s="381">
        <v>0</v>
      </c>
      <c r="Q52" s="381">
        <v>238921.44</v>
      </c>
      <c r="R52" s="381">
        <v>238921.44</v>
      </c>
      <c r="S52" s="390"/>
      <c r="T52" s="380">
        <v>17</v>
      </c>
      <c r="U52" s="403">
        <v>0</v>
      </c>
      <c r="V52" s="403">
        <v>212134.08</v>
      </c>
      <c r="W52" s="403">
        <v>212134.08</v>
      </c>
      <c r="X52" s="390"/>
      <c r="Y52" s="380">
        <v>17</v>
      </c>
      <c r="Z52" s="448">
        <v>0</v>
      </c>
      <c r="AA52" s="448">
        <v>248721.61</v>
      </c>
      <c r="AB52" s="403">
        <v>248721.61</v>
      </c>
      <c r="AC52" s="390"/>
      <c r="AD52" s="457">
        <v>16</v>
      </c>
      <c r="AE52" s="448"/>
      <c r="AF52" s="448"/>
    </row>
    <row r="53" spans="1:32" ht="14.5">
      <c r="A53" s="380" t="s">
        <v>295</v>
      </c>
      <c r="B53" s="380" t="s">
        <v>196</v>
      </c>
      <c r="C53" s="389" t="s">
        <v>296</v>
      </c>
      <c r="E53" s="381">
        <v>134</v>
      </c>
      <c r="F53" s="381">
        <v>0</v>
      </c>
      <c r="G53" s="381">
        <v>1164061.27</v>
      </c>
      <c r="H53" s="381">
        <v>1164061.27</v>
      </c>
      <c r="I53" s="390"/>
      <c r="J53" s="380">
        <v>138</v>
      </c>
      <c r="K53" s="381">
        <v>0</v>
      </c>
      <c r="L53" s="381">
        <v>1694308.84</v>
      </c>
      <c r="M53" s="381">
        <v>1694308.84</v>
      </c>
      <c r="N53" s="390"/>
      <c r="O53" s="380">
        <v>161</v>
      </c>
      <c r="P53" s="381">
        <v>10806.52</v>
      </c>
      <c r="Q53" s="381">
        <v>1784997.66</v>
      </c>
      <c r="R53" s="381">
        <v>1795804.18</v>
      </c>
      <c r="S53" s="390"/>
      <c r="T53" s="380">
        <v>147</v>
      </c>
      <c r="U53" s="403">
        <v>0</v>
      </c>
      <c r="V53" s="403">
        <v>1920186.98</v>
      </c>
      <c r="W53" s="403">
        <v>1920186.98</v>
      </c>
      <c r="X53" s="390"/>
      <c r="Y53" s="380">
        <v>151</v>
      </c>
      <c r="Z53" s="448">
        <v>0</v>
      </c>
      <c r="AA53" s="448">
        <v>2256900.02</v>
      </c>
      <c r="AB53" s="403">
        <v>2256900.02</v>
      </c>
      <c r="AC53" s="390"/>
      <c r="AD53" s="457">
        <v>162</v>
      </c>
      <c r="AE53" s="448"/>
      <c r="AF53" s="448"/>
    </row>
    <row r="54" spans="1:32" ht="14.5">
      <c r="A54" s="380" t="s">
        <v>297</v>
      </c>
      <c r="B54" s="380" t="s">
        <v>227</v>
      </c>
      <c r="C54" s="389" t="s">
        <v>298</v>
      </c>
      <c r="E54" s="381">
        <v>34</v>
      </c>
      <c r="F54" s="381">
        <v>1</v>
      </c>
      <c r="G54" s="381">
        <v>235352.06</v>
      </c>
      <c r="H54" s="381">
        <v>235353.06</v>
      </c>
      <c r="I54" s="390"/>
      <c r="J54" s="380">
        <v>37</v>
      </c>
      <c r="K54" s="381">
        <v>0</v>
      </c>
      <c r="L54" s="381">
        <v>300184.81</v>
      </c>
      <c r="M54" s="381">
        <v>300184.81</v>
      </c>
      <c r="N54" s="390"/>
      <c r="O54" s="380">
        <v>36</v>
      </c>
      <c r="P54" s="381">
        <v>0</v>
      </c>
      <c r="Q54" s="381">
        <v>488114.91</v>
      </c>
      <c r="R54" s="381">
        <v>488114.91</v>
      </c>
      <c r="S54" s="390"/>
      <c r="T54" s="380">
        <v>32</v>
      </c>
      <c r="U54" s="403">
        <v>104005.79</v>
      </c>
      <c r="V54" s="403">
        <v>295810.59000000003</v>
      </c>
      <c r="W54" s="403">
        <v>399816.38</v>
      </c>
      <c r="X54" s="390"/>
      <c r="Y54" s="380">
        <v>32</v>
      </c>
      <c r="Z54" s="448">
        <v>4133.46</v>
      </c>
      <c r="AA54" s="448">
        <v>407595.21</v>
      </c>
      <c r="AB54" s="403">
        <v>411728.67000000004</v>
      </c>
      <c r="AC54" s="390"/>
      <c r="AD54" s="457">
        <v>38</v>
      </c>
      <c r="AE54" s="448"/>
      <c r="AF54" s="448"/>
    </row>
    <row r="55" spans="1:32" ht="14.5">
      <c r="A55" s="380" t="s">
        <v>299</v>
      </c>
      <c r="B55" s="380" t="s">
        <v>193</v>
      </c>
      <c r="C55" s="389" t="s">
        <v>300</v>
      </c>
      <c r="E55" s="381">
        <v>14</v>
      </c>
      <c r="F55" s="381">
        <v>0</v>
      </c>
      <c r="G55" s="381">
        <v>177043.19</v>
      </c>
      <c r="H55" s="381">
        <v>177043.19</v>
      </c>
      <c r="I55" s="390"/>
      <c r="J55" s="380">
        <v>16</v>
      </c>
      <c r="K55" s="381">
        <v>40100</v>
      </c>
      <c r="L55" s="381">
        <v>121919.79</v>
      </c>
      <c r="M55" s="381">
        <v>162019.78999999998</v>
      </c>
      <c r="N55" s="390"/>
      <c r="O55" s="380">
        <v>13</v>
      </c>
      <c r="P55" s="381">
        <v>36000</v>
      </c>
      <c r="Q55" s="381">
        <v>163332.26999999999</v>
      </c>
      <c r="R55" s="381">
        <v>199332.27</v>
      </c>
      <c r="S55" s="390"/>
      <c r="T55" s="380">
        <v>17</v>
      </c>
      <c r="U55" s="403">
        <v>36000</v>
      </c>
      <c r="V55" s="403">
        <v>145471.87</v>
      </c>
      <c r="W55" s="403">
        <v>181471.87</v>
      </c>
      <c r="X55" s="390"/>
      <c r="Y55" s="380">
        <v>22</v>
      </c>
      <c r="Z55" s="448">
        <v>36000</v>
      </c>
      <c r="AA55" s="448">
        <v>148166.95000000001</v>
      </c>
      <c r="AB55" s="403">
        <v>184166.95</v>
      </c>
      <c r="AC55" s="390"/>
      <c r="AD55" s="457">
        <v>22</v>
      </c>
      <c r="AE55" s="448"/>
      <c r="AF55" s="448"/>
    </row>
    <row r="56" spans="1:32" ht="14.5">
      <c r="A56" s="380" t="s">
        <v>301</v>
      </c>
      <c r="B56" s="380" t="s">
        <v>193</v>
      </c>
      <c r="C56" s="389" t="s">
        <v>302</v>
      </c>
      <c r="E56" s="381">
        <v>23</v>
      </c>
      <c r="F56" s="381">
        <v>0</v>
      </c>
      <c r="G56" s="381">
        <v>169921.28</v>
      </c>
      <c r="H56" s="381">
        <v>169921.28</v>
      </c>
      <c r="I56" s="390"/>
      <c r="J56" s="380">
        <v>21</v>
      </c>
      <c r="K56" s="381">
        <v>0</v>
      </c>
      <c r="L56" s="381">
        <v>208183.9</v>
      </c>
      <c r="M56" s="381">
        <v>208183.9</v>
      </c>
      <c r="N56" s="390"/>
      <c r="O56" s="380">
        <v>22</v>
      </c>
      <c r="P56" s="381">
        <v>0</v>
      </c>
      <c r="Q56" s="381">
        <v>257235</v>
      </c>
      <c r="R56" s="381">
        <v>257235</v>
      </c>
      <c r="S56" s="390"/>
      <c r="T56" s="380">
        <v>26</v>
      </c>
      <c r="U56" s="403">
        <v>0</v>
      </c>
      <c r="V56" s="403">
        <v>289855.90999999997</v>
      </c>
      <c r="W56" s="403">
        <v>289855.90999999997</v>
      </c>
      <c r="X56" s="390"/>
      <c r="Y56" s="380">
        <v>31</v>
      </c>
      <c r="Z56" s="448">
        <v>0</v>
      </c>
      <c r="AA56" s="448">
        <v>255586.86</v>
      </c>
      <c r="AB56" s="403">
        <v>255586.86</v>
      </c>
      <c r="AC56" s="390"/>
      <c r="AD56" s="457">
        <v>31</v>
      </c>
      <c r="AE56" s="448"/>
      <c r="AF56" s="448"/>
    </row>
    <row r="57" spans="1:32" ht="14.5">
      <c r="A57" s="380" t="s">
        <v>303</v>
      </c>
      <c r="B57" s="380" t="s">
        <v>193</v>
      </c>
      <c r="C57" s="389" t="s">
        <v>304</v>
      </c>
      <c r="E57" s="381">
        <v>32</v>
      </c>
      <c r="F57" s="381">
        <v>0</v>
      </c>
      <c r="G57" s="381">
        <v>274648.09999999998</v>
      </c>
      <c r="H57" s="381">
        <v>274648.09999999998</v>
      </c>
      <c r="I57" s="390"/>
      <c r="J57" s="380">
        <v>40</v>
      </c>
      <c r="K57" s="381">
        <v>0</v>
      </c>
      <c r="L57" s="381">
        <v>315577.13</v>
      </c>
      <c r="M57" s="381">
        <v>315577.13</v>
      </c>
      <c r="N57" s="390"/>
      <c r="O57" s="380">
        <v>43</v>
      </c>
      <c r="P57" s="381">
        <v>1000</v>
      </c>
      <c r="Q57" s="381">
        <v>314248.36</v>
      </c>
      <c r="R57" s="381">
        <v>315248.36</v>
      </c>
      <c r="S57" s="390"/>
      <c r="T57" s="380">
        <v>49</v>
      </c>
      <c r="U57" s="403">
        <v>0</v>
      </c>
      <c r="V57" s="403">
        <v>337975.58</v>
      </c>
      <c r="W57" s="403">
        <v>337975.58</v>
      </c>
      <c r="X57" s="390"/>
      <c r="Y57" s="380">
        <v>51</v>
      </c>
      <c r="Z57" s="448">
        <v>0</v>
      </c>
      <c r="AA57" s="448">
        <v>368249.7</v>
      </c>
      <c r="AB57" s="403">
        <v>368249.7</v>
      </c>
      <c r="AC57" s="390"/>
      <c r="AD57" s="457">
        <v>52</v>
      </c>
      <c r="AE57" s="448"/>
      <c r="AF57" s="448"/>
    </row>
    <row r="58" spans="1:32" ht="14.5">
      <c r="A58" s="380" t="s">
        <v>305</v>
      </c>
      <c r="B58" s="380" t="s">
        <v>220</v>
      </c>
      <c r="C58" s="389" t="s">
        <v>306</v>
      </c>
      <c r="E58" s="381">
        <v>3</v>
      </c>
      <c r="F58" s="381">
        <v>0</v>
      </c>
      <c r="G58" s="381">
        <v>61795.49</v>
      </c>
      <c r="H58" s="381">
        <v>61795.49</v>
      </c>
      <c r="I58" s="390"/>
      <c r="J58" s="380">
        <v>5</v>
      </c>
      <c r="K58" s="381">
        <v>0</v>
      </c>
      <c r="L58" s="381">
        <v>80409.289999999994</v>
      </c>
      <c r="M58" s="381">
        <v>80409.289999999994</v>
      </c>
      <c r="N58" s="390"/>
      <c r="O58" s="380">
        <v>3</v>
      </c>
      <c r="P58" s="381">
        <v>0</v>
      </c>
      <c r="Q58" s="381">
        <v>16390.8</v>
      </c>
      <c r="R58" s="381">
        <v>16390.8</v>
      </c>
      <c r="S58" s="390"/>
      <c r="T58" s="380">
        <v>2</v>
      </c>
      <c r="U58" s="403">
        <v>21950.720000000001</v>
      </c>
      <c r="V58" s="403">
        <v>65777.279999999999</v>
      </c>
      <c r="W58" s="403">
        <v>87728</v>
      </c>
      <c r="X58" s="390"/>
      <c r="Y58" s="380">
        <v>4</v>
      </c>
      <c r="Z58" s="448">
        <v>0</v>
      </c>
      <c r="AA58" s="448">
        <v>54187.57</v>
      </c>
      <c r="AB58" s="403">
        <v>54187.57</v>
      </c>
      <c r="AC58" s="390"/>
      <c r="AD58" s="457">
        <v>8</v>
      </c>
      <c r="AE58" s="448"/>
      <c r="AF58" s="448"/>
    </row>
    <row r="59" spans="1:32" ht="14.5">
      <c r="A59" s="380" t="s">
        <v>311</v>
      </c>
      <c r="B59" s="380" t="s">
        <v>201</v>
      </c>
      <c r="C59" s="389" t="s">
        <v>312</v>
      </c>
      <c r="D59" s="380" t="s">
        <v>818</v>
      </c>
      <c r="E59" s="381">
        <v>59</v>
      </c>
      <c r="F59" s="381">
        <v>0</v>
      </c>
      <c r="G59" s="381">
        <v>451692.25</v>
      </c>
      <c r="H59" s="381">
        <v>451692.25</v>
      </c>
      <c r="I59" s="390"/>
      <c r="J59" s="380">
        <v>48</v>
      </c>
      <c r="K59" s="381">
        <v>0</v>
      </c>
      <c r="L59" s="381">
        <v>452709.13</v>
      </c>
      <c r="M59" s="381">
        <v>452709.13</v>
      </c>
      <c r="N59" s="390"/>
      <c r="O59" s="380">
        <v>61</v>
      </c>
      <c r="P59" s="381">
        <v>0</v>
      </c>
      <c r="Q59" s="381">
        <v>522873.07</v>
      </c>
      <c r="R59" s="381">
        <v>522873.07</v>
      </c>
      <c r="S59" s="390"/>
      <c r="T59" s="380">
        <v>0</v>
      </c>
      <c r="U59" s="403">
        <v>0</v>
      </c>
      <c r="V59" s="403">
        <v>476915.78</v>
      </c>
      <c r="W59" s="403">
        <v>476915.78</v>
      </c>
      <c r="X59" s="390"/>
      <c r="Y59" s="380">
        <v>51</v>
      </c>
      <c r="Z59" s="448">
        <v>0</v>
      </c>
      <c r="AA59" s="448">
        <v>487656.1</v>
      </c>
      <c r="AB59" s="403">
        <v>487656.1</v>
      </c>
      <c r="AC59" s="390"/>
      <c r="AD59" s="457">
        <v>51</v>
      </c>
      <c r="AE59" s="448"/>
      <c r="AF59" s="448"/>
    </row>
    <row r="60" spans="1:32" ht="14.5">
      <c r="A60" s="380" t="s">
        <v>307</v>
      </c>
      <c r="B60" s="380" t="s">
        <v>196</v>
      </c>
      <c r="C60" s="389" t="s">
        <v>308</v>
      </c>
      <c r="E60" s="381">
        <v>66</v>
      </c>
      <c r="F60" s="381">
        <v>120853.24</v>
      </c>
      <c r="G60" s="381">
        <v>505405.39</v>
      </c>
      <c r="H60" s="381">
        <v>626258.63</v>
      </c>
      <c r="I60" s="390"/>
      <c r="J60" s="380">
        <v>72</v>
      </c>
      <c r="K60" s="381">
        <v>14565.43</v>
      </c>
      <c r="L60" s="381">
        <v>659113.15</v>
      </c>
      <c r="M60" s="381">
        <v>673678.58000000007</v>
      </c>
      <c r="N60" s="390"/>
      <c r="O60" s="380">
        <v>73</v>
      </c>
      <c r="P60" s="381">
        <v>0</v>
      </c>
      <c r="Q60" s="381">
        <v>601615.43999999994</v>
      </c>
      <c r="R60" s="381">
        <v>601615.43999999994</v>
      </c>
      <c r="S60" s="390"/>
      <c r="T60" s="380">
        <v>73</v>
      </c>
      <c r="U60" s="403">
        <v>0</v>
      </c>
      <c r="V60" s="403">
        <v>706788.42</v>
      </c>
      <c r="W60" s="403">
        <v>706788.42</v>
      </c>
      <c r="X60" s="390"/>
      <c r="Y60" s="380">
        <v>76</v>
      </c>
      <c r="Z60" s="448">
        <v>0</v>
      </c>
      <c r="AA60" s="448">
        <v>682316.01</v>
      </c>
      <c r="AB60" s="403">
        <v>682316.01</v>
      </c>
      <c r="AC60" s="390"/>
      <c r="AD60" s="457">
        <v>69</v>
      </c>
      <c r="AE60" s="448"/>
      <c r="AF60" s="448"/>
    </row>
    <row r="61" spans="1:32" ht="14.5">
      <c r="A61" s="380" t="s">
        <v>309</v>
      </c>
      <c r="B61" s="380" t="s">
        <v>193</v>
      </c>
      <c r="C61" s="389" t="s">
        <v>310</v>
      </c>
      <c r="E61" s="381">
        <v>77</v>
      </c>
      <c r="F61" s="381">
        <v>0</v>
      </c>
      <c r="G61" s="381">
        <v>498669.81</v>
      </c>
      <c r="H61" s="381">
        <v>498669.81</v>
      </c>
      <c r="I61" s="390"/>
      <c r="J61" s="380">
        <v>78</v>
      </c>
      <c r="K61" s="381">
        <v>0</v>
      </c>
      <c r="L61" s="381">
        <v>617671.86</v>
      </c>
      <c r="M61" s="381">
        <v>617671.86</v>
      </c>
      <c r="N61" s="390"/>
      <c r="O61" s="380">
        <v>73</v>
      </c>
      <c r="P61" s="381">
        <v>2157.02</v>
      </c>
      <c r="Q61" s="381">
        <v>636002.15</v>
      </c>
      <c r="R61" s="381">
        <v>638159.17000000004</v>
      </c>
      <c r="S61" s="390"/>
      <c r="T61" s="380">
        <v>75</v>
      </c>
      <c r="U61" s="403">
        <v>6121.55</v>
      </c>
      <c r="V61" s="403">
        <v>620385.19999999995</v>
      </c>
      <c r="W61" s="403">
        <v>626506.75</v>
      </c>
      <c r="X61" s="390"/>
      <c r="Y61" s="380">
        <v>77</v>
      </c>
      <c r="Z61" s="448">
        <v>6121.55</v>
      </c>
      <c r="AA61" s="448">
        <v>793373.5</v>
      </c>
      <c r="AB61" s="403">
        <v>799495.05</v>
      </c>
      <c r="AC61" s="390"/>
      <c r="AD61" s="457">
        <v>76</v>
      </c>
      <c r="AE61" s="448"/>
      <c r="AF61" s="448"/>
    </row>
    <row r="62" spans="1:32" ht="14.5">
      <c r="A62" s="380" t="s">
        <v>317</v>
      </c>
      <c r="B62" s="380" t="s">
        <v>201</v>
      </c>
      <c r="C62" s="389" t="s">
        <v>318</v>
      </c>
      <c r="D62" s="380" t="s">
        <v>818</v>
      </c>
      <c r="E62" s="381">
        <v>3</v>
      </c>
      <c r="F62" s="381">
        <v>0</v>
      </c>
      <c r="G62" s="381">
        <v>31868.31</v>
      </c>
      <c r="H62" s="381">
        <v>31868.31</v>
      </c>
      <c r="I62" s="390"/>
      <c r="J62" s="380">
        <v>3</v>
      </c>
      <c r="K62" s="381">
        <v>0</v>
      </c>
      <c r="L62" s="381">
        <v>35130.69</v>
      </c>
      <c r="M62" s="381">
        <v>35130.69</v>
      </c>
      <c r="N62" s="390"/>
      <c r="O62" s="380">
        <v>4</v>
      </c>
      <c r="P62" s="381">
        <v>0</v>
      </c>
      <c r="Q62" s="381">
        <v>29097.69</v>
      </c>
      <c r="R62" s="381">
        <v>29097.69</v>
      </c>
      <c r="S62" s="390"/>
      <c r="T62" s="380">
        <v>0</v>
      </c>
      <c r="U62" s="403">
        <v>0</v>
      </c>
      <c r="V62" s="403">
        <v>24330.35</v>
      </c>
      <c r="W62" s="403">
        <v>24330.35</v>
      </c>
      <c r="X62" s="390"/>
      <c r="Y62" s="380">
        <v>2</v>
      </c>
      <c r="Z62" s="448">
        <v>0</v>
      </c>
      <c r="AA62" s="448">
        <v>18932.63</v>
      </c>
      <c r="AB62" s="403">
        <v>18932.63</v>
      </c>
      <c r="AC62" s="390"/>
      <c r="AD62" s="457">
        <v>3</v>
      </c>
      <c r="AE62" s="448"/>
      <c r="AF62" s="448"/>
    </row>
    <row r="63" spans="1:32" ht="14.5">
      <c r="A63" s="380" t="s">
        <v>313</v>
      </c>
      <c r="B63" s="380" t="s">
        <v>193</v>
      </c>
      <c r="C63" s="389" t="s">
        <v>314</v>
      </c>
      <c r="E63" s="381">
        <v>288</v>
      </c>
      <c r="F63" s="381">
        <v>0</v>
      </c>
      <c r="G63" s="381">
        <v>2348933.98</v>
      </c>
      <c r="H63" s="381">
        <v>2348933.98</v>
      </c>
      <c r="I63" s="390"/>
      <c r="J63" s="380">
        <v>315</v>
      </c>
      <c r="K63" s="381">
        <v>0</v>
      </c>
      <c r="L63" s="381">
        <v>2818953.13</v>
      </c>
      <c r="M63" s="381">
        <v>2818953.13</v>
      </c>
      <c r="N63" s="390"/>
      <c r="O63" s="380">
        <v>321</v>
      </c>
      <c r="P63" s="381">
        <v>0</v>
      </c>
      <c r="Q63" s="381">
        <v>3156127.81</v>
      </c>
      <c r="R63" s="381">
        <v>3156127.81</v>
      </c>
      <c r="S63" s="390"/>
      <c r="T63" s="380">
        <v>312</v>
      </c>
      <c r="U63" s="403">
        <v>0</v>
      </c>
      <c r="V63" s="403">
        <v>3178772.97</v>
      </c>
      <c r="W63" s="403">
        <v>3178772.97</v>
      </c>
      <c r="X63" s="390"/>
      <c r="Y63" s="380">
        <v>300</v>
      </c>
      <c r="Z63" s="448">
        <v>0</v>
      </c>
      <c r="AA63" s="448">
        <v>3041796.49</v>
      </c>
      <c r="AB63" s="403">
        <v>3041796.49</v>
      </c>
      <c r="AC63" s="390"/>
      <c r="AD63" s="457">
        <v>332</v>
      </c>
      <c r="AE63" s="448"/>
      <c r="AF63" s="448"/>
    </row>
    <row r="64" spans="1:32" ht="14.5">
      <c r="A64" s="380" t="s">
        <v>315</v>
      </c>
      <c r="B64" s="380" t="s">
        <v>204</v>
      </c>
      <c r="C64" s="389" t="s">
        <v>316</v>
      </c>
      <c r="E64" s="381">
        <v>187</v>
      </c>
      <c r="F64" s="381">
        <v>0</v>
      </c>
      <c r="G64" s="381">
        <v>3352603.41</v>
      </c>
      <c r="H64" s="381">
        <v>3352603.41</v>
      </c>
      <c r="I64" s="390"/>
      <c r="J64" s="380">
        <v>208</v>
      </c>
      <c r="K64" s="381">
        <v>1281750.02</v>
      </c>
      <c r="L64" s="381">
        <v>2173251.66</v>
      </c>
      <c r="M64" s="381">
        <v>3455001.68</v>
      </c>
      <c r="N64" s="390"/>
      <c r="O64" s="380">
        <v>200</v>
      </c>
      <c r="P64" s="381">
        <v>850005.97</v>
      </c>
      <c r="Q64" s="381">
        <v>2647154.56</v>
      </c>
      <c r="R64" s="381">
        <v>3497160.5300000003</v>
      </c>
      <c r="S64" s="390"/>
      <c r="T64" s="380">
        <v>180</v>
      </c>
      <c r="U64" s="403">
        <v>452209.37</v>
      </c>
      <c r="V64" s="403">
        <v>3034231.91</v>
      </c>
      <c r="W64" s="403">
        <v>3486441.2800000003</v>
      </c>
      <c r="X64" s="390"/>
      <c r="Y64" s="380">
        <v>174</v>
      </c>
      <c r="Z64" s="448">
        <v>402889.18</v>
      </c>
      <c r="AA64" s="448">
        <v>3055286.85</v>
      </c>
      <c r="AB64" s="403">
        <v>3458176.0300000003</v>
      </c>
      <c r="AC64" s="390"/>
      <c r="AD64" s="457">
        <v>176</v>
      </c>
      <c r="AE64" s="448"/>
      <c r="AF64" s="448"/>
    </row>
    <row r="65" spans="1:32" ht="14.5">
      <c r="A65" s="380" t="s">
        <v>319</v>
      </c>
      <c r="B65" s="380" t="s">
        <v>193</v>
      </c>
      <c r="C65" s="389" t="s">
        <v>1191</v>
      </c>
      <c r="E65" s="381">
        <v>649</v>
      </c>
      <c r="F65" s="381">
        <v>774573.26</v>
      </c>
      <c r="G65" s="381">
        <v>5343967.07</v>
      </c>
      <c r="H65" s="381">
        <v>6118540.3300000001</v>
      </c>
      <c r="I65" s="390"/>
      <c r="J65" s="380">
        <v>626</v>
      </c>
      <c r="K65" s="381">
        <v>554588.6</v>
      </c>
      <c r="L65" s="381">
        <v>6063427.5099999998</v>
      </c>
      <c r="M65" s="381">
        <v>6618016.1099999994</v>
      </c>
      <c r="N65" s="390"/>
      <c r="O65" s="380">
        <v>613</v>
      </c>
      <c r="P65" s="381">
        <v>591133.51</v>
      </c>
      <c r="Q65" s="381">
        <v>6506343.6500000004</v>
      </c>
      <c r="R65" s="381">
        <v>7097477.1600000001</v>
      </c>
      <c r="S65" s="390"/>
      <c r="T65" s="380">
        <v>553</v>
      </c>
      <c r="U65" s="403">
        <v>629542.47</v>
      </c>
      <c r="V65" s="403">
        <v>6763644.9299999997</v>
      </c>
      <c r="W65" s="403">
        <v>7393187.3999999994</v>
      </c>
      <c r="X65" s="390"/>
      <c r="Y65" s="380">
        <v>581</v>
      </c>
      <c r="Z65" s="448">
        <v>644793.81000000006</v>
      </c>
      <c r="AA65" s="448">
        <v>6751822.54</v>
      </c>
      <c r="AB65" s="403">
        <v>7396616.3499999996</v>
      </c>
      <c r="AC65" s="390"/>
      <c r="AD65" s="457">
        <v>602</v>
      </c>
      <c r="AE65" s="448"/>
      <c r="AF65" s="448"/>
    </row>
    <row r="66" spans="1:32" ht="14.5">
      <c r="A66" s="380" t="s">
        <v>321</v>
      </c>
      <c r="B66" s="380" t="s">
        <v>220</v>
      </c>
      <c r="C66" s="389" t="s">
        <v>1192</v>
      </c>
      <c r="E66" s="381">
        <v>381</v>
      </c>
      <c r="F66" s="381">
        <v>0</v>
      </c>
      <c r="G66" s="381">
        <v>3321445.91</v>
      </c>
      <c r="H66" s="381">
        <v>3321445.91</v>
      </c>
      <c r="I66" s="390"/>
      <c r="J66" s="380">
        <v>404</v>
      </c>
      <c r="K66" s="381">
        <v>0</v>
      </c>
      <c r="L66" s="381">
        <v>4097502.12</v>
      </c>
      <c r="M66" s="381">
        <v>4097502.12</v>
      </c>
      <c r="N66" s="390"/>
      <c r="O66" s="380">
        <v>413</v>
      </c>
      <c r="P66" s="381">
        <v>320000</v>
      </c>
      <c r="Q66" s="381">
        <v>4068098.47</v>
      </c>
      <c r="R66" s="381">
        <v>4388098.4700000007</v>
      </c>
      <c r="S66" s="390"/>
      <c r="T66" s="380">
        <v>418</v>
      </c>
      <c r="U66" s="403">
        <v>355000</v>
      </c>
      <c r="V66" s="403">
        <v>4335544.2</v>
      </c>
      <c r="W66" s="403">
        <v>4690544.2</v>
      </c>
      <c r="X66" s="390"/>
      <c r="Y66" s="380">
        <v>410</v>
      </c>
      <c r="Z66" s="448">
        <v>440000</v>
      </c>
      <c r="AA66" s="448">
        <v>4480804.91</v>
      </c>
      <c r="AB66" s="403">
        <v>4920804.91</v>
      </c>
      <c r="AC66" s="390"/>
      <c r="AD66" s="457">
        <v>436</v>
      </c>
      <c r="AE66" s="448"/>
      <c r="AF66" s="448"/>
    </row>
    <row r="67" spans="1:32" ht="14.5">
      <c r="A67" s="380" t="s">
        <v>323</v>
      </c>
      <c r="B67" s="380" t="s">
        <v>230</v>
      </c>
      <c r="C67" s="389" t="s">
        <v>324</v>
      </c>
      <c r="E67" s="381">
        <v>682</v>
      </c>
      <c r="F67" s="381">
        <v>737887.28</v>
      </c>
      <c r="G67" s="381">
        <v>5492420.1100000003</v>
      </c>
      <c r="H67" s="381">
        <v>6230307.3900000006</v>
      </c>
      <c r="I67" s="390"/>
      <c r="J67" s="380">
        <v>727</v>
      </c>
      <c r="K67" s="381">
        <v>868515.81</v>
      </c>
      <c r="L67" s="381">
        <v>6425284.9000000004</v>
      </c>
      <c r="M67" s="381">
        <v>7293800.7100000009</v>
      </c>
      <c r="N67" s="390"/>
      <c r="O67" s="380">
        <v>753</v>
      </c>
      <c r="P67" s="381">
        <v>966328.21</v>
      </c>
      <c r="Q67" s="381">
        <v>7161580.2199999997</v>
      </c>
      <c r="R67" s="381">
        <v>8127908.4299999997</v>
      </c>
      <c r="S67" s="390"/>
      <c r="T67" s="380">
        <v>735</v>
      </c>
      <c r="U67" s="403">
        <v>904395.18</v>
      </c>
      <c r="V67" s="403">
        <v>7462883.5999999996</v>
      </c>
      <c r="W67" s="403">
        <v>8367278.7799999993</v>
      </c>
      <c r="X67" s="390"/>
      <c r="Y67" s="380">
        <v>710</v>
      </c>
      <c r="Z67" s="448">
        <v>1818138.78</v>
      </c>
      <c r="AA67" s="448">
        <v>7387326.5300000003</v>
      </c>
      <c r="AB67" s="403">
        <v>9205465.3100000005</v>
      </c>
      <c r="AC67" s="390"/>
      <c r="AD67" s="457">
        <v>737</v>
      </c>
      <c r="AE67" s="448"/>
      <c r="AF67" s="448"/>
    </row>
    <row r="68" spans="1:32" ht="14.5">
      <c r="A68" s="380" t="s">
        <v>325</v>
      </c>
      <c r="B68" s="380" t="s">
        <v>220</v>
      </c>
      <c r="C68" s="389" t="s">
        <v>326</v>
      </c>
      <c r="E68" s="381">
        <v>16</v>
      </c>
      <c r="F68" s="381">
        <v>0</v>
      </c>
      <c r="G68" s="381">
        <v>115605.17</v>
      </c>
      <c r="H68" s="381">
        <v>115605.17</v>
      </c>
      <c r="I68" s="390"/>
      <c r="J68" s="380">
        <v>13</v>
      </c>
      <c r="K68" s="381">
        <v>0</v>
      </c>
      <c r="L68" s="381">
        <v>143315.24</v>
      </c>
      <c r="M68" s="381">
        <v>143315.24</v>
      </c>
      <c r="N68" s="390"/>
      <c r="O68" s="380">
        <v>16</v>
      </c>
      <c r="P68" s="381">
        <v>17268.830000000002</v>
      </c>
      <c r="Q68" s="381">
        <v>134281.92000000001</v>
      </c>
      <c r="R68" s="381">
        <v>151550.75</v>
      </c>
      <c r="S68" s="390"/>
      <c r="T68" s="380">
        <v>17</v>
      </c>
      <c r="U68" s="403">
        <v>27723.46</v>
      </c>
      <c r="V68" s="403">
        <v>129992.31</v>
      </c>
      <c r="W68" s="403">
        <v>157715.76999999999</v>
      </c>
      <c r="X68" s="390"/>
      <c r="Y68" s="380">
        <v>10</v>
      </c>
      <c r="Z68" s="448">
        <v>41378.46</v>
      </c>
      <c r="AA68" s="448">
        <v>118004.39</v>
      </c>
      <c r="AB68" s="403">
        <v>159382.85</v>
      </c>
      <c r="AC68" s="390"/>
      <c r="AD68" s="457">
        <v>15</v>
      </c>
      <c r="AE68" s="448"/>
      <c r="AF68" s="448"/>
    </row>
    <row r="69" spans="1:32" ht="14.5">
      <c r="A69" s="380" t="s">
        <v>327</v>
      </c>
      <c r="B69" s="380" t="s">
        <v>204</v>
      </c>
      <c r="C69" s="389" t="s">
        <v>328</v>
      </c>
      <c r="E69" s="381">
        <v>218</v>
      </c>
      <c r="F69" s="381">
        <v>0</v>
      </c>
      <c r="G69" s="381">
        <v>2266235.42</v>
      </c>
      <c r="H69" s="381">
        <v>2266235.42</v>
      </c>
      <c r="I69" s="390"/>
      <c r="J69" s="380">
        <v>210</v>
      </c>
      <c r="K69" s="381">
        <v>0</v>
      </c>
      <c r="L69" s="381">
        <v>2432012.4</v>
      </c>
      <c r="M69" s="381">
        <v>2432012.4</v>
      </c>
      <c r="N69" s="390"/>
      <c r="O69" s="380">
        <v>234</v>
      </c>
      <c r="P69" s="381">
        <v>0</v>
      </c>
      <c r="Q69" s="381">
        <v>2852827.46</v>
      </c>
      <c r="R69" s="381">
        <v>2852827.46</v>
      </c>
      <c r="S69" s="390"/>
      <c r="T69" s="380">
        <v>238</v>
      </c>
      <c r="U69" s="403">
        <v>0</v>
      </c>
      <c r="V69" s="403">
        <v>2789203.2</v>
      </c>
      <c r="W69" s="403">
        <v>2789203.2</v>
      </c>
      <c r="X69" s="390"/>
      <c r="Y69" s="380">
        <v>232</v>
      </c>
      <c r="Z69" s="448">
        <v>0</v>
      </c>
      <c r="AA69" s="448">
        <v>2850041.13</v>
      </c>
      <c r="AB69" s="403">
        <v>2850041.13</v>
      </c>
      <c r="AC69" s="390"/>
      <c r="AD69" s="457">
        <v>232</v>
      </c>
      <c r="AE69" s="448"/>
      <c r="AF69" s="448"/>
    </row>
    <row r="70" spans="1:32" ht="14.5">
      <c r="A70" s="380" t="s">
        <v>329</v>
      </c>
      <c r="B70" s="380" t="s">
        <v>196</v>
      </c>
      <c r="C70" s="389" t="s">
        <v>330</v>
      </c>
      <c r="E70" s="381">
        <v>2924</v>
      </c>
      <c r="F70" s="381">
        <v>2165000</v>
      </c>
      <c r="G70" s="381">
        <v>35960368.659999996</v>
      </c>
      <c r="H70" s="381">
        <v>38125368.659999996</v>
      </c>
      <c r="I70" s="390"/>
      <c r="J70" s="380">
        <v>3033</v>
      </c>
      <c r="K70" s="381">
        <v>7159635.71</v>
      </c>
      <c r="L70" s="381">
        <v>35396908.509999998</v>
      </c>
      <c r="M70" s="381">
        <v>42556544.219999999</v>
      </c>
      <c r="N70" s="390"/>
      <c r="O70" s="380">
        <v>3096</v>
      </c>
      <c r="P70" s="381">
        <v>3532542.92</v>
      </c>
      <c r="Q70" s="381">
        <v>41458831.579999998</v>
      </c>
      <c r="R70" s="381">
        <v>44991374.5</v>
      </c>
      <c r="S70" s="390"/>
      <c r="T70" s="380">
        <v>3044</v>
      </c>
      <c r="U70" s="403">
        <v>4614231.8499999996</v>
      </c>
      <c r="V70" s="403">
        <v>40368940.369999997</v>
      </c>
      <c r="W70" s="403">
        <v>44983172.219999999</v>
      </c>
      <c r="X70" s="390"/>
      <c r="Y70" s="380">
        <v>2979</v>
      </c>
      <c r="Z70" s="448">
        <v>6181499.3799999999</v>
      </c>
      <c r="AA70" s="448">
        <v>41367519.409999996</v>
      </c>
      <c r="AB70" s="403">
        <v>47549018.789999999</v>
      </c>
      <c r="AC70" s="390"/>
      <c r="AD70" s="457">
        <v>3062</v>
      </c>
      <c r="AE70" s="448"/>
      <c r="AF70" s="448"/>
    </row>
    <row r="71" spans="1:32" ht="14.5">
      <c r="A71" s="380" t="s">
        <v>331</v>
      </c>
      <c r="B71" s="380" t="s">
        <v>220</v>
      </c>
      <c r="C71" s="389" t="s">
        <v>332</v>
      </c>
      <c r="E71" s="381">
        <v>460</v>
      </c>
      <c r="F71" s="381">
        <v>589560.42000000004</v>
      </c>
      <c r="G71" s="381">
        <v>3828606.9</v>
      </c>
      <c r="H71" s="381">
        <v>4418167.32</v>
      </c>
      <c r="I71" s="390"/>
      <c r="J71" s="380">
        <v>449</v>
      </c>
      <c r="K71" s="381">
        <v>543602.06000000006</v>
      </c>
      <c r="L71" s="381">
        <v>4529693.87</v>
      </c>
      <c r="M71" s="381">
        <v>5073295.93</v>
      </c>
      <c r="N71" s="390"/>
      <c r="O71" s="380">
        <v>446</v>
      </c>
      <c r="P71" s="381">
        <v>350037.6</v>
      </c>
      <c r="Q71" s="381">
        <v>4777403.88</v>
      </c>
      <c r="R71" s="381">
        <v>5127441.4799999995</v>
      </c>
      <c r="S71" s="390"/>
      <c r="T71" s="380">
        <v>401</v>
      </c>
      <c r="U71" s="403">
        <v>735021.58</v>
      </c>
      <c r="V71" s="403">
        <v>4349020.1399999997</v>
      </c>
      <c r="W71" s="403">
        <v>5084041.72</v>
      </c>
      <c r="X71" s="390"/>
      <c r="Y71" s="380">
        <v>403</v>
      </c>
      <c r="Z71" s="448">
        <v>731166.5</v>
      </c>
      <c r="AA71" s="448">
        <v>4539525.75</v>
      </c>
      <c r="AB71" s="403">
        <v>5270692.25</v>
      </c>
      <c r="AC71" s="390"/>
      <c r="AD71" s="457">
        <v>415</v>
      </c>
      <c r="AE71" s="448"/>
      <c r="AF71" s="448"/>
    </row>
    <row r="72" spans="1:32" ht="14.5">
      <c r="A72" s="380" t="s">
        <v>333</v>
      </c>
      <c r="B72" s="380" t="s">
        <v>188</v>
      </c>
      <c r="C72" s="389" t="s">
        <v>334</v>
      </c>
      <c r="E72" s="381">
        <v>277</v>
      </c>
      <c r="F72" s="381">
        <v>0</v>
      </c>
      <c r="G72" s="381">
        <v>1861769.92</v>
      </c>
      <c r="H72" s="381">
        <v>1861769.92</v>
      </c>
      <c r="I72" s="390"/>
      <c r="J72" s="380">
        <v>269</v>
      </c>
      <c r="K72" s="381">
        <v>0</v>
      </c>
      <c r="L72" s="381">
        <v>2457008.56</v>
      </c>
      <c r="M72" s="381">
        <v>2457008.56</v>
      </c>
      <c r="N72" s="390"/>
      <c r="O72" s="380">
        <v>302</v>
      </c>
      <c r="P72" s="381">
        <v>0</v>
      </c>
      <c r="Q72" s="381">
        <v>2827158.65</v>
      </c>
      <c r="R72" s="381">
        <v>2827158.65</v>
      </c>
      <c r="S72" s="390"/>
      <c r="T72" s="380">
        <v>281</v>
      </c>
      <c r="U72" s="403">
        <v>0</v>
      </c>
      <c r="V72" s="403">
        <v>2903469.81</v>
      </c>
      <c r="W72" s="403">
        <v>2903469.81</v>
      </c>
      <c r="X72" s="390"/>
      <c r="Y72" s="380">
        <v>283</v>
      </c>
      <c r="Z72" s="448">
        <v>29681.45</v>
      </c>
      <c r="AA72" s="448">
        <v>2688292.4</v>
      </c>
      <c r="AB72" s="403">
        <v>2717973.85</v>
      </c>
      <c r="AC72" s="390"/>
      <c r="AD72" s="457">
        <v>270</v>
      </c>
      <c r="AE72" s="448"/>
      <c r="AF72" s="448"/>
    </row>
    <row r="73" spans="1:32" ht="14.5">
      <c r="A73" s="380" t="s">
        <v>335</v>
      </c>
      <c r="B73" s="380" t="s">
        <v>193</v>
      </c>
      <c r="C73" s="389" t="s">
        <v>336</v>
      </c>
      <c r="E73" s="381">
        <v>7</v>
      </c>
      <c r="F73" s="381">
        <v>0</v>
      </c>
      <c r="G73" s="381">
        <v>143956.07999999999</v>
      </c>
      <c r="H73" s="381">
        <v>143956.07999999999</v>
      </c>
      <c r="I73" s="390"/>
      <c r="J73" s="380">
        <v>10</v>
      </c>
      <c r="K73" s="381">
        <v>0</v>
      </c>
      <c r="L73" s="381">
        <v>178565.46</v>
      </c>
      <c r="M73" s="381">
        <v>178565.46</v>
      </c>
      <c r="N73" s="390"/>
      <c r="O73" s="380">
        <v>12</v>
      </c>
      <c r="P73" s="381">
        <v>0</v>
      </c>
      <c r="Q73" s="381">
        <v>170731.69</v>
      </c>
      <c r="R73" s="381">
        <v>170731.69</v>
      </c>
      <c r="S73" s="390"/>
      <c r="T73" s="380">
        <v>15</v>
      </c>
      <c r="U73" s="403">
        <v>0</v>
      </c>
      <c r="V73" s="403">
        <v>211307.29</v>
      </c>
      <c r="W73" s="403">
        <v>211307.29</v>
      </c>
      <c r="X73" s="390"/>
      <c r="Y73" s="380">
        <v>14</v>
      </c>
      <c r="Z73" s="448">
        <v>0</v>
      </c>
      <c r="AA73" s="448">
        <v>259655.67</v>
      </c>
      <c r="AB73" s="403">
        <v>259655.67</v>
      </c>
      <c r="AC73" s="390"/>
      <c r="AD73" s="457">
        <v>22</v>
      </c>
      <c r="AE73" s="448"/>
      <c r="AF73" s="448"/>
    </row>
    <row r="74" spans="1:32" ht="14.5">
      <c r="A74" s="380" t="s">
        <v>337</v>
      </c>
      <c r="B74" s="380" t="s">
        <v>230</v>
      </c>
      <c r="C74" s="389" t="s">
        <v>338</v>
      </c>
      <c r="E74" s="381">
        <v>32</v>
      </c>
      <c r="F74" s="381">
        <v>1256.4100000000001</v>
      </c>
      <c r="G74" s="381">
        <v>210590.77</v>
      </c>
      <c r="H74" s="381">
        <v>211847.18</v>
      </c>
      <c r="I74" s="390"/>
      <c r="J74" s="380">
        <v>33</v>
      </c>
      <c r="K74" s="381">
        <v>0</v>
      </c>
      <c r="L74" s="381">
        <v>233031.44</v>
      </c>
      <c r="M74" s="381">
        <v>233031.44</v>
      </c>
      <c r="N74" s="390"/>
      <c r="O74" s="380">
        <v>38</v>
      </c>
      <c r="P74" s="381">
        <v>0</v>
      </c>
      <c r="Q74" s="381">
        <v>308041.64</v>
      </c>
      <c r="R74" s="381">
        <v>308041.64</v>
      </c>
      <c r="S74" s="390"/>
      <c r="T74" s="380">
        <v>37</v>
      </c>
      <c r="U74" s="403">
        <v>0</v>
      </c>
      <c r="V74" s="403">
        <v>319369.55</v>
      </c>
      <c r="W74" s="403">
        <v>319369.55</v>
      </c>
      <c r="X74" s="390"/>
      <c r="Y74" s="380">
        <v>37</v>
      </c>
      <c r="Z74" s="448">
        <v>6075.51</v>
      </c>
      <c r="AA74" s="448">
        <v>385494.08</v>
      </c>
      <c r="AB74" s="403">
        <v>391569.59</v>
      </c>
      <c r="AC74" s="390"/>
      <c r="AD74" s="457">
        <v>23</v>
      </c>
      <c r="AE74" s="448"/>
      <c r="AF74" s="448"/>
    </row>
    <row r="75" spans="1:32" ht="14.5">
      <c r="A75" s="380" t="s">
        <v>339</v>
      </c>
      <c r="B75" s="380" t="s">
        <v>204</v>
      </c>
      <c r="C75" s="389" t="s">
        <v>340</v>
      </c>
      <c r="E75" s="381">
        <v>636</v>
      </c>
      <c r="F75" s="381">
        <v>5196.4399999999996</v>
      </c>
      <c r="G75" s="381">
        <v>6453775.8099999996</v>
      </c>
      <c r="H75" s="381">
        <v>6458972.25</v>
      </c>
      <c r="I75" s="390"/>
      <c r="J75" s="380">
        <v>647</v>
      </c>
      <c r="K75" s="381">
        <v>377461.63</v>
      </c>
      <c r="L75" s="381">
        <v>6934623.75</v>
      </c>
      <c r="M75" s="381">
        <v>7312085.3799999999</v>
      </c>
      <c r="N75" s="390"/>
      <c r="O75" s="380">
        <v>671</v>
      </c>
      <c r="P75" s="381">
        <v>0</v>
      </c>
      <c r="Q75" s="381">
        <v>7996223.75</v>
      </c>
      <c r="R75" s="381">
        <v>7996223.75</v>
      </c>
      <c r="S75" s="390"/>
      <c r="T75" s="380">
        <v>686</v>
      </c>
      <c r="U75" s="403">
        <v>0</v>
      </c>
      <c r="V75" s="403">
        <v>8281665.6399999997</v>
      </c>
      <c r="W75" s="403">
        <v>8281665.6399999997</v>
      </c>
      <c r="X75" s="390"/>
      <c r="Y75" s="380">
        <v>656</v>
      </c>
      <c r="Z75" s="448">
        <v>710270.96</v>
      </c>
      <c r="AA75" s="448">
        <v>8767284.0199999996</v>
      </c>
      <c r="AB75" s="403">
        <v>9477554.9800000004</v>
      </c>
      <c r="AC75" s="390"/>
      <c r="AD75" s="457">
        <v>712</v>
      </c>
      <c r="AE75" s="448"/>
      <c r="AF75" s="448"/>
    </row>
    <row r="76" spans="1:32" ht="14.5">
      <c r="A76" s="380" t="s">
        <v>341</v>
      </c>
      <c r="B76" s="380" t="s">
        <v>230</v>
      </c>
      <c r="C76" s="389" t="s">
        <v>342</v>
      </c>
      <c r="E76" s="381">
        <v>284</v>
      </c>
      <c r="F76" s="381">
        <v>0</v>
      </c>
      <c r="G76" s="381">
        <v>2193603.44</v>
      </c>
      <c r="H76" s="381">
        <v>2193603.44</v>
      </c>
      <c r="I76" s="390"/>
      <c r="J76" s="380">
        <v>290</v>
      </c>
      <c r="K76" s="381">
        <v>0</v>
      </c>
      <c r="L76" s="381">
        <v>2506819.09</v>
      </c>
      <c r="M76" s="381">
        <v>2506819.09</v>
      </c>
      <c r="N76" s="390"/>
      <c r="O76" s="380">
        <v>358</v>
      </c>
      <c r="P76" s="381">
        <v>0</v>
      </c>
      <c r="Q76" s="381">
        <v>3306426.94</v>
      </c>
      <c r="R76" s="381">
        <v>3306426.94</v>
      </c>
      <c r="S76" s="390"/>
      <c r="T76" s="380">
        <v>357</v>
      </c>
      <c r="U76" s="403">
        <v>0</v>
      </c>
      <c r="V76" s="403">
        <v>3387015.47</v>
      </c>
      <c r="W76" s="403">
        <v>3387015.47</v>
      </c>
      <c r="X76" s="390"/>
      <c r="Y76" s="380">
        <v>357</v>
      </c>
      <c r="Z76" s="448">
        <v>0</v>
      </c>
      <c r="AA76" s="448">
        <v>3221619.67</v>
      </c>
      <c r="AB76" s="403">
        <v>3221619.67</v>
      </c>
      <c r="AC76" s="390"/>
      <c r="AD76" s="457">
        <v>340</v>
      </c>
      <c r="AE76" s="448"/>
      <c r="AF76" s="448"/>
    </row>
    <row r="77" spans="1:32" ht="14.5">
      <c r="A77" s="380" t="s">
        <v>817</v>
      </c>
      <c r="B77" s="380" t="s">
        <v>209</v>
      </c>
      <c r="C77" s="391" t="s">
        <v>818</v>
      </c>
      <c r="D77" s="380" t="s">
        <v>818</v>
      </c>
      <c r="E77" s="381">
        <v>1524</v>
      </c>
      <c r="F77" s="381">
        <v>65224.49</v>
      </c>
      <c r="G77" s="381">
        <v>11063334.049999999</v>
      </c>
      <c r="H77" s="381">
        <v>11128558.539999999</v>
      </c>
      <c r="I77" s="390"/>
      <c r="J77" s="381">
        <v>1621</v>
      </c>
      <c r="K77" s="381">
        <v>282621.23000000004</v>
      </c>
      <c r="L77" s="381">
        <v>14385614.920000006</v>
      </c>
      <c r="M77" s="381">
        <v>14668236.150000004</v>
      </c>
      <c r="N77" s="390"/>
      <c r="O77" s="380">
        <v>0</v>
      </c>
      <c r="P77" s="381">
        <v>0</v>
      </c>
      <c r="Q77" s="381">
        <v>14261551.469999997</v>
      </c>
      <c r="R77" s="381">
        <v>14261551.469999997</v>
      </c>
      <c r="S77" s="390"/>
      <c r="T77" s="380">
        <v>0</v>
      </c>
      <c r="U77" s="403">
        <v>0</v>
      </c>
      <c r="V77" s="403">
        <v>0</v>
      </c>
      <c r="W77" s="403">
        <v>0</v>
      </c>
      <c r="X77" s="390"/>
      <c r="Y77" s="380">
        <v>0</v>
      </c>
      <c r="Z77" s="448">
        <v>0</v>
      </c>
      <c r="AA77" s="448">
        <v>0</v>
      </c>
      <c r="AB77" s="403">
        <v>0</v>
      </c>
      <c r="AC77" s="390"/>
      <c r="AD77" s="457">
        <v>1784</v>
      </c>
      <c r="AE77" s="448"/>
      <c r="AF77" s="448"/>
    </row>
    <row r="78" spans="1:32" ht="14.5">
      <c r="A78" s="380" t="s">
        <v>343</v>
      </c>
      <c r="B78" s="380" t="s">
        <v>188</v>
      </c>
      <c r="C78" s="389" t="s">
        <v>344</v>
      </c>
      <c r="E78" s="381">
        <v>14</v>
      </c>
      <c r="F78" s="381">
        <v>16704.560000000001</v>
      </c>
      <c r="G78" s="381">
        <v>84291.11</v>
      </c>
      <c r="H78" s="381">
        <v>100995.67</v>
      </c>
      <c r="I78" s="390"/>
      <c r="J78" s="380">
        <v>10</v>
      </c>
      <c r="K78" s="381">
        <v>29089.43</v>
      </c>
      <c r="L78" s="381">
        <v>72199.77</v>
      </c>
      <c r="M78" s="381">
        <v>101289.20000000001</v>
      </c>
      <c r="N78" s="390"/>
      <c r="O78" s="380">
        <v>11</v>
      </c>
      <c r="P78" s="381">
        <v>3964.71</v>
      </c>
      <c r="Q78" s="381">
        <v>81780.740000000005</v>
      </c>
      <c r="R78" s="381">
        <v>85745.450000000012</v>
      </c>
      <c r="S78" s="390"/>
      <c r="T78" s="380">
        <v>8</v>
      </c>
      <c r="U78" s="403">
        <v>2889</v>
      </c>
      <c r="V78" s="403">
        <v>84778.37</v>
      </c>
      <c r="W78" s="403">
        <v>87667.37</v>
      </c>
      <c r="X78" s="390"/>
      <c r="Y78" s="380">
        <v>8</v>
      </c>
      <c r="Z78" s="448">
        <v>2890</v>
      </c>
      <c r="AA78" s="448">
        <v>74530.990000000005</v>
      </c>
      <c r="AB78" s="403">
        <v>77420.990000000005</v>
      </c>
      <c r="AC78" s="390"/>
      <c r="AD78" s="457">
        <v>4</v>
      </c>
      <c r="AE78" s="448"/>
      <c r="AF78" s="448"/>
    </row>
    <row r="79" spans="1:32" ht="14.5">
      <c r="A79" s="380" t="s">
        <v>345</v>
      </c>
      <c r="B79" s="380" t="s">
        <v>196</v>
      </c>
      <c r="C79" s="389" t="s">
        <v>346</v>
      </c>
      <c r="E79" s="381">
        <v>2514</v>
      </c>
      <c r="F79" s="381">
        <v>1870509.39</v>
      </c>
      <c r="G79" s="381">
        <v>29965745.109999999</v>
      </c>
      <c r="H79" s="381">
        <v>31836254.5</v>
      </c>
      <c r="I79" s="390"/>
      <c r="J79" s="380">
        <v>2658</v>
      </c>
      <c r="K79" s="381">
        <v>807283.62</v>
      </c>
      <c r="L79" s="381">
        <v>37419393.299999997</v>
      </c>
      <c r="M79" s="381">
        <v>38226676.919999994</v>
      </c>
      <c r="N79" s="390"/>
      <c r="O79" s="380">
        <v>2690</v>
      </c>
      <c r="P79" s="381">
        <v>892221.14</v>
      </c>
      <c r="Q79" s="381">
        <v>40851596.460000001</v>
      </c>
      <c r="R79" s="381">
        <v>41743817.600000001</v>
      </c>
      <c r="S79" s="390"/>
      <c r="T79" s="380">
        <v>2648</v>
      </c>
      <c r="U79" s="403">
        <v>1238515.07</v>
      </c>
      <c r="V79" s="403">
        <v>43162388.399999999</v>
      </c>
      <c r="W79" s="403">
        <v>44400903.469999999</v>
      </c>
      <c r="X79" s="390"/>
      <c r="Y79" s="380">
        <v>2573</v>
      </c>
      <c r="Z79" s="448">
        <v>1241534.4099999999</v>
      </c>
      <c r="AA79" s="448">
        <v>44135087.899999999</v>
      </c>
      <c r="AB79" s="403">
        <v>45376622.309999995</v>
      </c>
      <c r="AC79" s="390"/>
      <c r="AD79" s="457">
        <v>2630</v>
      </c>
      <c r="AE79" s="448"/>
      <c r="AF79" s="448"/>
    </row>
    <row r="80" spans="1:32" ht="14.5">
      <c r="A80" s="380" t="s">
        <v>347</v>
      </c>
      <c r="B80" s="380" t="s">
        <v>209</v>
      </c>
      <c r="C80" s="389" t="s">
        <v>1193</v>
      </c>
      <c r="E80" s="381">
        <v>3471</v>
      </c>
      <c r="F80" s="381">
        <v>10317963.93</v>
      </c>
      <c r="G80" s="381">
        <v>28860960.329999998</v>
      </c>
      <c r="H80" s="381">
        <v>39178924.259999998</v>
      </c>
      <c r="I80" s="390"/>
      <c r="J80" s="380">
        <v>3465</v>
      </c>
      <c r="K80" s="381">
        <v>7462071.1600000001</v>
      </c>
      <c r="L80" s="381">
        <v>36038523.020000003</v>
      </c>
      <c r="M80" s="381">
        <v>43500594.180000007</v>
      </c>
      <c r="N80" s="390"/>
      <c r="O80" s="380">
        <v>3494</v>
      </c>
      <c r="P80" s="381">
        <v>7474633.1699999999</v>
      </c>
      <c r="Q80" s="381">
        <v>38809458.619999997</v>
      </c>
      <c r="R80" s="381">
        <v>46284091.789999999</v>
      </c>
      <c r="S80" s="390"/>
      <c r="T80" s="380">
        <v>3358</v>
      </c>
      <c r="U80" s="403">
        <v>7781327.3899999997</v>
      </c>
      <c r="V80" s="403">
        <v>40270277.810000002</v>
      </c>
      <c r="W80" s="403">
        <v>48051605.200000003</v>
      </c>
      <c r="X80" s="390"/>
      <c r="Y80" s="380">
        <v>3255</v>
      </c>
      <c r="Z80" s="448">
        <v>8070900.0999999996</v>
      </c>
      <c r="AA80" s="448">
        <v>42070805.329999998</v>
      </c>
      <c r="AB80" s="403">
        <v>50141705.43</v>
      </c>
      <c r="AC80" s="390"/>
      <c r="AD80" s="457">
        <v>3267</v>
      </c>
      <c r="AE80" s="448"/>
      <c r="AF80" s="448"/>
    </row>
    <row r="81" spans="1:32" ht="14.5">
      <c r="A81" s="380" t="s">
        <v>349</v>
      </c>
      <c r="B81" s="380" t="s">
        <v>193</v>
      </c>
      <c r="C81" s="389" t="s">
        <v>1194</v>
      </c>
      <c r="E81" s="381">
        <v>2</v>
      </c>
      <c r="F81" s="381">
        <v>0</v>
      </c>
      <c r="G81" s="381">
        <v>15942.9</v>
      </c>
      <c r="H81" s="381">
        <v>15942.9</v>
      </c>
      <c r="I81" s="390"/>
      <c r="J81" s="380">
        <v>3</v>
      </c>
      <c r="K81" s="381">
        <v>0</v>
      </c>
      <c r="L81" s="381">
        <v>22737.27</v>
      </c>
      <c r="M81" s="381">
        <v>22737.27</v>
      </c>
      <c r="N81" s="390"/>
      <c r="O81" s="380">
        <v>1</v>
      </c>
      <c r="P81" s="381">
        <v>0</v>
      </c>
      <c r="Q81" s="381">
        <v>31991.61</v>
      </c>
      <c r="R81" s="381">
        <v>31991.61</v>
      </c>
      <c r="S81" s="390"/>
      <c r="T81" s="380">
        <v>1</v>
      </c>
      <c r="U81" s="403">
        <v>0</v>
      </c>
      <c r="V81" s="403">
        <v>33281.99</v>
      </c>
      <c r="W81" s="403">
        <v>33281.99</v>
      </c>
      <c r="X81" s="390"/>
      <c r="Y81" s="380">
        <v>1</v>
      </c>
      <c r="Z81" s="448">
        <v>0</v>
      </c>
      <c r="AA81" s="448">
        <v>32684.11</v>
      </c>
      <c r="AB81" s="403">
        <v>32684.11</v>
      </c>
      <c r="AC81" s="390"/>
      <c r="AD81" s="457">
        <v>2</v>
      </c>
      <c r="AE81" s="448"/>
      <c r="AF81" s="448"/>
    </row>
    <row r="82" spans="1:32" ht="14.5">
      <c r="A82" s="380" t="s">
        <v>351</v>
      </c>
      <c r="B82" s="380" t="s">
        <v>204</v>
      </c>
      <c r="C82" s="389" t="s">
        <v>352</v>
      </c>
      <c r="E82" s="381">
        <v>3020</v>
      </c>
      <c r="F82" s="381">
        <v>0</v>
      </c>
      <c r="G82" s="381">
        <v>34098610.18</v>
      </c>
      <c r="H82" s="381">
        <v>34098610.18</v>
      </c>
      <c r="I82" s="390"/>
      <c r="J82" s="380">
        <v>3085</v>
      </c>
      <c r="K82" s="381">
        <v>0</v>
      </c>
      <c r="L82" s="381">
        <v>43945896.560000002</v>
      </c>
      <c r="M82" s="381">
        <v>43945896.560000002</v>
      </c>
      <c r="N82" s="390"/>
      <c r="O82" s="380">
        <v>3157</v>
      </c>
      <c r="P82" s="381">
        <v>0</v>
      </c>
      <c r="Q82" s="381">
        <v>44178341.93</v>
      </c>
      <c r="R82" s="381">
        <v>44178341.93</v>
      </c>
      <c r="S82" s="390"/>
      <c r="T82" s="380">
        <v>3049</v>
      </c>
      <c r="U82" s="403">
        <v>0</v>
      </c>
      <c r="V82" s="403">
        <v>43772852.810000002</v>
      </c>
      <c r="W82" s="403">
        <v>43772852.810000002</v>
      </c>
      <c r="X82" s="390"/>
      <c r="Y82" s="380">
        <v>2890</v>
      </c>
      <c r="Z82" s="448">
        <v>0</v>
      </c>
      <c r="AA82" s="448">
        <v>42890505.780000001</v>
      </c>
      <c r="AB82" s="403">
        <v>42890505.780000001</v>
      </c>
      <c r="AC82" s="390"/>
      <c r="AD82" s="457">
        <v>2879</v>
      </c>
      <c r="AE82" s="448"/>
      <c r="AF82" s="448"/>
    </row>
    <row r="83" spans="1:32" ht="14.5">
      <c r="A83" s="380" t="s">
        <v>353</v>
      </c>
      <c r="B83" s="380" t="s">
        <v>196</v>
      </c>
      <c r="C83" s="389" t="s">
        <v>354</v>
      </c>
      <c r="E83" s="381">
        <v>733</v>
      </c>
      <c r="F83" s="381">
        <v>225.5</v>
      </c>
      <c r="G83" s="381">
        <v>8423411.5</v>
      </c>
      <c r="H83" s="381">
        <v>8423637</v>
      </c>
      <c r="I83" s="390"/>
      <c r="J83" s="380">
        <v>732</v>
      </c>
      <c r="K83" s="381">
        <v>230</v>
      </c>
      <c r="L83" s="381">
        <v>9485314.3200000003</v>
      </c>
      <c r="M83" s="381">
        <v>9485544.3200000003</v>
      </c>
      <c r="N83" s="390"/>
      <c r="O83" s="380">
        <v>739</v>
      </c>
      <c r="P83" s="381">
        <v>217.75</v>
      </c>
      <c r="Q83" s="381">
        <v>10252703.93</v>
      </c>
      <c r="R83" s="381">
        <v>10252921.68</v>
      </c>
      <c r="S83" s="390"/>
      <c r="T83" s="380">
        <v>689</v>
      </c>
      <c r="U83" s="403">
        <v>0</v>
      </c>
      <c r="V83" s="403">
        <v>9156287.4700000007</v>
      </c>
      <c r="W83" s="403">
        <v>9156287.4700000007</v>
      </c>
      <c r="X83" s="390"/>
      <c r="Y83" s="380">
        <v>658</v>
      </c>
      <c r="Z83" s="448">
        <v>0</v>
      </c>
      <c r="AA83" s="448">
        <v>9740360.8699999992</v>
      </c>
      <c r="AB83" s="403">
        <v>9740360.8699999992</v>
      </c>
      <c r="AC83" s="390"/>
      <c r="AD83" s="457">
        <v>684</v>
      </c>
      <c r="AE83" s="448"/>
      <c r="AF83" s="448"/>
    </row>
    <row r="84" spans="1:32" ht="14.5">
      <c r="A84" s="380" t="s">
        <v>355</v>
      </c>
      <c r="B84" s="380" t="s">
        <v>204</v>
      </c>
      <c r="C84" s="389" t="s">
        <v>356</v>
      </c>
      <c r="E84" s="381">
        <v>395</v>
      </c>
      <c r="F84" s="381">
        <v>0</v>
      </c>
      <c r="G84" s="381">
        <v>4500331.72</v>
      </c>
      <c r="H84" s="381">
        <v>4500331.72</v>
      </c>
      <c r="I84" s="390"/>
      <c r="J84" s="380">
        <v>427</v>
      </c>
      <c r="K84" s="381">
        <v>0</v>
      </c>
      <c r="L84" s="381">
        <v>5637074.21</v>
      </c>
      <c r="M84" s="381">
        <v>5637074.21</v>
      </c>
      <c r="N84" s="390"/>
      <c r="O84" s="380">
        <v>465</v>
      </c>
      <c r="P84" s="381">
        <v>982034.2</v>
      </c>
      <c r="Q84" s="381">
        <v>5574858.8600000003</v>
      </c>
      <c r="R84" s="381">
        <v>6556893.0600000005</v>
      </c>
      <c r="S84" s="390"/>
      <c r="T84" s="380">
        <v>446</v>
      </c>
      <c r="U84" s="403">
        <v>0</v>
      </c>
      <c r="V84" s="403">
        <v>6836381.79</v>
      </c>
      <c r="W84" s="403">
        <v>6836381.79</v>
      </c>
      <c r="X84" s="390"/>
      <c r="Y84" s="380">
        <v>425</v>
      </c>
      <c r="Z84" s="448">
        <v>0</v>
      </c>
      <c r="AA84" s="448">
        <v>7507937.0700000003</v>
      </c>
      <c r="AB84" s="403">
        <v>7507937.0700000003</v>
      </c>
      <c r="AC84" s="390"/>
      <c r="AD84" s="457">
        <v>438</v>
      </c>
      <c r="AE84" s="448"/>
      <c r="AF84" s="448"/>
    </row>
    <row r="85" spans="1:32" ht="14.5">
      <c r="A85" s="380" t="s">
        <v>357</v>
      </c>
      <c r="B85" s="380" t="s">
        <v>201</v>
      </c>
      <c r="C85" s="389" t="s">
        <v>358</v>
      </c>
      <c r="E85" s="381">
        <v>144</v>
      </c>
      <c r="F85" s="381">
        <v>7040.17</v>
      </c>
      <c r="G85" s="381">
        <v>1121687.05</v>
      </c>
      <c r="H85" s="381">
        <v>1128727.22</v>
      </c>
      <c r="I85" s="390"/>
      <c r="J85" s="380">
        <v>142</v>
      </c>
      <c r="K85" s="381">
        <v>0</v>
      </c>
      <c r="L85" s="381">
        <v>1267030.72</v>
      </c>
      <c r="M85" s="381">
        <v>1267030.72</v>
      </c>
      <c r="N85" s="390"/>
      <c r="O85" s="380">
        <v>126</v>
      </c>
      <c r="P85" s="381">
        <v>0</v>
      </c>
      <c r="Q85" s="381">
        <v>1257846.6000000001</v>
      </c>
      <c r="R85" s="381">
        <v>1257846.6000000001</v>
      </c>
      <c r="S85" s="390"/>
      <c r="T85" s="380">
        <v>122</v>
      </c>
      <c r="U85" s="403">
        <v>222280.12</v>
      </c>
      <c r="V85" s="403">
        <v>1156512.78</v>
      </c>
      <c r="W85" s="403">
        <v>1378792.9</v>
      </c>
      <c r="X85" s="390"/>
      <c r="Y85" s="380">
        <v>113</v>
      </c>
      <c r="Z85" s="448">
        <v>482687.13</v>
      </c>
      <c r="AA85" s="448">
        <v>854645.92</v>
      </c>
      <c r="AB85" s="403">
        <v>1337333.05</v>
      </c>
      <c r="AC85" s="390"/>
      <c r="AD85" s="457">
        <v>115</v>
      </c>
      <c r="AE85" s="448"/>
      <c r="AF85" s="448"/>
    </row>
    <row r="86" spans="1:32" ht="14.5">
      <c r="A86" s="380" t="s">
        <v>359</v>
      </c>
      <c r="B86" s="380" t="s">
        <v>204</v>
      </c>
      <c r="C86" s="389" t="s">
        <v>360</v>
      </c>
      <c r="E86" s="381">
        <v>1107</v>
      </c>
      <c r="F86" s="381">
        <v>0</v>
      </c>
      <c r="G86" s="381">
        <v>13898428.75</v>
      </c>
      <c r="H86" s="381">
        <v>13898428.75</v>
      </c>
      <c r="I86" s="390"/>
      <c r="J86" s="380">
        <v>1143</v>
      </c>
      <c r="K86" s="381">
        <v>0</v>
      </c>
      <c r="L86" s="381">
        <v>16223497.800000001</v>
      </c>
      <c r="M86" s="381">
        <v>16223497.800000001</v>
      </c>
      <c r="N86" s="390"/>
      <c r="O86" s="380">
        <v>1158</v>
      </c>
      <c r="P86" s="381">
        <v>0</v>
      </c>
      <c r="Q86" s="381">
        <v>17834420.52</v>
      </c>
      <c r="R86" s="381">
        <v>17834420.52</v>
      </c>
      <c r="S86" s="390"/>
      <c r="T86" s="380">
        <v>1002</v>
      </c>
      <c r="U86" s="403">
        <v>0</v>
      </c>
      <c r="V86" s="403">
        <v>17486215.199999999</v>
      </c>
      <c r="W86" s="403">
        <v>17486215.199999999</v>
      </c>
      <c r="X86" s="390"/>
      <c r="Y86" s="380">
        <v>1016</v>
      </c>
      <c r="Z86" s="448">
        <v>0</v>
      </c>
      <c r="AA86" s="448">
        <v>17935754.699999999</v>
      </c>
      <c r="AB86" s="403">
        <v>17935754.699999999</v>
      </c>
      <c r="AC86" s="390"/>
      <c r="AD86" s="457">
        <v>1027</v>
      </c>
      <c r="AE86" s="448"/>
      <c r="AF86" s="448"/>
    </row>
    <row r="87" spans="1:32" ht="14.5">
      <c r="A87" s="380" t="s">
        <v>365</v>
      </c>
      <c r="B87" s="380" t="s">
        <v>209</v>
      </c>
      <c r="C87" s="389" t="s">
        <v>366</v>
      </c>
      <c r="D87" s="380" t="s">
        <v>818</v>
      </c>
      <c r="E87" s="381">
        <v>8</v>
      </c>
      <c r="F87" s="381">
        <v>0</v>
      </c>
      <c r="G87" s="381">
        <v>65088</v>
      </c>
      <c r="H87" s="381">
        <v>65088</v>
      </c>
      <c r="I87" s="390"/>
      <c r="J87" s="380">
        <v>11</v>
      </c>
      <c r="K87" s="381">
        <v>0</v>
      </c>
      <c r="L87" s="381">
        <v>90634.36</v>
      </c>
      <c r="M87" s="381">
        <v>90634.36</v>
      </c>
      <c r="N87" s="390"/>
      <c r="O87" s="380">
        <v>12</v>
      </c>
      <c r="P87" s="381">
        <v>0</v>
      </c>
      <c r="Q87" s="381">
        <v>117990.8</v>
      </c>
      <c r="R87" s="381">
        <v>117990.8</v>
      </c>
      <c r="S87" s="390"/>
      <c r="T87" s="380">
        <v>0</v>
      </c>
      <c r="U87" s="403">
        <v>0</v>
      </c>
      <c r="V87" s="403">
        <v>122245.78</v>
      </c>
      <c r="W87" s="403">
        <v>122245.78</v>
      </c>
      <c r="X87" s="390"/>
      <c r="Y87" s="380">
        <v>12</v>
      </c>
      <c r="Z87" s="448">
        <v>0</v>
      </c>
      <c r="AA87" s="448">
        <v>100066.66</v>
      </c>
      <c r="AB87" s="403">
        <v>100066.66</v>
      </c>
      <c r="AC87" s="390"/>
      <c r="AD87" s="457">
        <v>11</v>
      </c>
      <c r="AE87" s="448"/>
      <c r="AF87" s="448"/>
    </row>
    <row r="88" spans="1:32" ht="14.5">
      <c r="A88" s="380" t="s">
        <v>367</v>
      </c>
      <c r="B88" s="380" t="s">
        <v>220</v>
      </c>
      <c r="C88" s="389" t="s">
        <v>368</v>
      </c>
      <c r="D88" s="380" t="s">
        <v>818</v>
      </c>
      <c r="E88" s="381">
        <v>117</v>
      </c>
      <c r="F88" s="381">
        <v>0</v>
      </c>
      <c r="G88" s="381">
        <v>920706.04</v>
      </c>
      <c r="H88" s="381">
        <v>920706.04</v>
      </c>
      <c r="I88" s="390"/>
      <c r="J88" s="380">
        <v>119</v>
      </c>
      <c r="K88" s="381">
        <v>0</v>
      </c>
      <c r="L88" s="381">
        <v>1102798.8700000001</v>
      </c>
      <c r="M88" s="381">
        <v>1102798.8700000001</v>
      </c>
      <c r="N88" s="390"/>
      <c r="O88" s="380">
        <v>122</v>
      </c>
      <c r="P88" s="381">
        <v>0</v>
      </c>
      <c r="Q88" s="381">
        <v>1158150.1599999999</v>
      </c>
      <c r="R88" s="381">
        <v>1158150.1599999999</v>
      </c>
      <c r="S88" s="390"/>
      <c r="T88" s="380">
        <v>0</v>
      </c>
      <c r="U88" s="403">
        <v>0</v>
      </c>
      <c r="V88" s="403">
        <v>2534143.91</v>
      </c>
      <c r="W88" s="403">
        <v>2534143.91</v>
      </c>
      <c r="X88" s="390"/>
      <c r="Y88" s="380">
        <v>310</v>
      </c>
      <c r="Z88" s="448">
        <v>0</v>
      </c>
      <c r="AA88" s="448">
        <v>3007033.3</v>
      </c>
      <c r="AB88" s="403">
        <v>3007033.3</v>
      </c>
      <c r="AC88" s="390"/>
      <c r="AD88" s="457">
        <v>420</v>
      </c>
      <c r="AE88" s="448"/>
      <c r="AF88" s="448"/>
    </row>
    <row r="89" spans="1:32" ht="14.5">
      <c r="A89" s="380" t="s">
        <v>361</v>
      </c>
      <c r="B89" s="380" t="s">
        <v>193</v>
      </c>
      <c r="C89" s="389" t="s">
        <v>362</v>
      </c>
      <c r="E89" s="381">
        <v>93</v>
      </c>
      <c r="F89" s="381">
        <v>58855.64</v>
      </c>
      <c r="G89" s="381">
        <v>838091</v>
      </c>
      <c r="H89" s="381">
        <v>896946.64</v>
      </c>
      <c r="I89" s="390"/>
      <c r="J89" s="380">
        <v>98</v>
      </c>
      <c r="K89" s="381">
        <v>0</v>
      </c>
      <c r="L89" s="381">
        <v>964325.17</v>
      </c>
      <c r="M89" s="381">
        <v>964325.17</v>
      </c>
      <c r="N89" s="390"/>
      <c r="O89" s="380">
        <v>113</v>
      </c>
      <c r="P89" s="381">
        <v>0</v>
      </c>
      <c r="Q89" s="381">
        <v>1030632.24</v>
      </c>
      <c r="R89" s="381">
        <v>1030632.24</v>
      </c>
      <c r="S89" s="390"/>
      <c r="T89" s="380">
        <v>113</v>
      </c>
      <c r="U89" s="403">
        <v>0</v>
      </c>
      <c r="V89" s="403">
        <v>966394.72</v>
      </c>
      <c r="W89" s="403">
        <v>966394.72</v>
      </c>
      <c r="X89" s="390"/>
      <c r="Y89" s="380">
        <v>113</v>
      </c>
      <c r="Z89" s="448">
        <v>0</v>
      </c>
      <c r="AA89" s="448">
        <v>1166295.9099999999</v>
      </c>
      <c r="AB89" s="403">
        <v>1166295.9099999999</v>
      </c>
      <c r="AC89" s="390"/>
      <c r="AD89" s="457">
        <v>111</v>
      </c>
      <c r="AE89" s="448"/>
      <c r="AF89" s="448"/>
    </row>
    <row r="90" spans="1:32" ht="14.5">
      <c r="A90" s="380" t="s">
        <v>363</v>
      </c>
      <c r="B90" s="380" t="s">
        <v>193</v>
      </c>
      <c r="C90" s="389" t="s">
        <v>364</v>
      </c>
      <c r="E90" s="381">
        <v>20</v>
      </c>
      <c r="F90" s="381">
        <v>0</v>
      </c>
      <c r="G90" s="381">
        <v>231174.39999999999</v>
      </c>
      <c r="H90" s="381">
        <v>231174.39999999999</v>
      </c>
      <c r="I90" s="390"/>
      <c r="J90" s="380">
        <v>19</v>
      </c>
      <c r="K90" s="381">
        <v>0</v>
      </c>
      <c r="L90" s="381">
        <v>246338.1</v>
      </c>
      <c r="M90" s="381">
        <v>246338.1</v>
      </c>
      <c r="N90" s="390"/>
      <c r="O90" s="380">
        <v>15</v>
      </c>
      <c r="P90" s="381">
        <v>0</v>
      </c>
      <c r="Q90" s="381">
        <v>227562.34</v>
      </c>
      <c r="R90" s="381">
        <v>227562.34</v>
      </c>
      <c r="S90" s="390"/>
      <c r="T90" s="380">
        <v>18</v>
      </c>
      <c r="U90" s="403">
        <v>2913.78</v>
      </c>
      <c r="V90" s="403">
        <v>160000</v>
      </c>
      <c r="W90" s="403">
        <v>162913.78</v>
      </c>
      <c r="X90" s="390"/>
      <c r="Y90" s="380">
        <v>14</v>
      </c>
      <c r="Z90" s="448">
        <v>2706.94</v>
      </c>
      <c r="AA90" s="448">
        <v>151021.28</v>
      </c>
      <c r="AB90" s="403">
        <v>153728.22</v>
      </c>
      <c r="AC90" s="390"/>
      <c r="AD90" s="457">
        <v>15</v>
      </c>
      <c r="AE90" s="448"/>
      <c r="AF90" s="448"/>
    </row>
    <row r="91" spans="1:32" ht="14.5">
      <c r="A91" s="380" t="s">
        <v>369</v>
      </c>
      <c r="B91" s="380" t="s">
        <v>230</v>
      </c>
      <c r="C91" s="389" t="s">
        <v>370</v>
      </c>
      <c r="E91" s="381">
        <v>101</v>
      </c>
      <c r="F91" s="381">
        <v>170000</v>
      </c>
      <c r="G91" s="381">
        <v>786743.71</v>
      </c>
      <c r="H91" s="381">
        <v>956743.71</v>
      </c>
      <c r="I91" s="390"/>
      <c r="J91" s="380">
        <v>112</v>
      </c>
      <c r="K91" s="381">
        <v>16384.87</v>
      </c>
      <c r="L91" s="381">
        <v>1022932.12</v>
      </c>
      <c r="M91" s="381">
        <v>1039316.99</v>
      </c>
      <c r="N91" s="390"/>
      <c r="O91" s="380">
        <v>113</v>
      </c>
      <c r="P91" s="381">
        <v>43872.62</v>
      </c>
      <c r="Q91" s="381">
        <v>1089791.1599999999</v>
      </c>
      <c r="R91" s="381">
        <v>1133663.78</v>
      </c>
      <c r="S91" s="390"/>
      <c r="T91" s="380">
        <v>110</v>
      </c>
      <c r="U91" s="403">
        <v>121860.49</v>
      </c>
      <c r="V91" s="403">
        <v>986633.48</v>
      </c>
      <c r="W91" s="403">
        <v>1108493.97</v>
      </c>
      <c r="X91" s="390"/>
      <c r="Y91" s="380">
        <v>107</v>
      </c>
      <c r="Z91" s="448">
        <v>104299.01</v>
      </c>
      <c r="AA91" s="448">
        <v>991976.21</v>
      </c>
      <c r="AB91" s="403">
        <v>1096275.22</v>
      </c>
      <c r="AC91" s="390"/>
      <c r="AD91" s="457">
        <v>106</v>
      </c>
      <c r="AE91" s="448"/>
      <c r="AF91" s="448"/>
    </row>
    <row r="92" spans="1:32" ht="14.5">
      <c r="A92" s="380" t="s">
        <v>371</v>
      </c>
      <c r="B92" s="380" t="s">
        <v>220</v>
      </c>
      <c r="C92" s="389" t="s">
        <v>372</v>
      </c>
      <c r="E92" s="381">
        <v>490</v>
      </c>
      <c r="F92" s="381">
        <v>0</v>
      </c>
      <c r="G92" s="381">
        <v>3489331.15</v>
      </c>
      <c r="H92" s="381">
        <v>3489331.15</v>
      </c>
      <c r="I92" s="390"/>
      <c r="J92" s="380">
        <v>478</v>
      </c>
      <c r="K92" s="381">
        <v>0</v>
      </c>
      <c r="L92" s="381">
        <v>4311370.88</v>
      </c>
      <c r="M92" s="381">
        <v>4311370.88</v>
      </c>
      <c r="N92" s="390"/>
      <c r="O92" s="380">
        <v>513</v>
      </c>
      <c r="P92" s="381">
        <v>0</v>
      </c>
      <c r="Q92" s="381">
        <v>5304574.3</v>
      </c>
      <c r="R92" s="381">
        <v>5304574.3</v>
      </c>
      <c r="S92" s="390"/>
      <c r="T92" s="380">
        <v>524</v>
      </c>
      <c r="U92" s="403">
        <v>0</v>
      </c>
      <c r="V92" s="403">
        <v>5621644.7300000004</v>
      </c>
      <c r="W92" s="403">
        <v>5621644.7300000004</v>
      </c>
      <c r="X92" s="390"/>
      <c r="Y92" s="380">
        <v>528</v>
      </c>
      <c r="Z92" s="448">
        <v>0</v>
      </c>
      <c r="AA92" s="448">
        <v>5775391.6100000003</v>
      </c>
      <c r="AB92" s="403">
        <v>5775391.6100000003</v>
      </c>
      <c r="AC92" s="390"/>
      <c r="AD92" s="457">
        <v>546</v>
      </c>
      <c r="AE92" s="448"/>
      <c r="AF92" s="448"/>
    </row>
    <row r="93" spans="1:32" ht="14.5">
      <c r="A93" s="380" t="s">
        <v>373</v>
      </c>
      <c r="B93" s="380" t="s">
        <v>220</v>
      </c>
      <c r="C93" s="389" t="s">
        <v>374</v>
      </c>
      <c r="E93" s="381">
        <v>192</v>
      </c>
      <c r="F93" s="381">
        <v>0</v>
      </c>
      <c r="G93" s="381">
        <v>1389077.72</v>
      </c>
      <c r="H93" s="381">
        <v>1389077.72</v>
      </c>
      <c r="I93" s="390"/>
      <c r="J93" s="380">
        <v>201</v>
      </c>
      <c r="K93" s="381">
        <v>0</v>
      </c>
      <c r="L93" s="381">
        <v>1582358.89</v>
      </c>
      <c r="M93" s="381">
        <v>1582358.89</v>
      </c>
      <c r="N93" s="390"/>
      <c r="O93" s="380">
        <v>213</v>
      </c>
      <c r="P93" s="381">
        <v>0</v>
      </c>
      <c r="Q93" s="381">
        <v>1786085.03</v>
      </c>
      <c r="R93" s="381">
        <v>1786085.03</v>
      </c>
      <c r="S93" s="390"/>
      <c r="T93" s="380">
        <v>201</v>
      </c>
      <c r="U93" s="403">
        <v>0</v>
      </c>
      <c r="V93" s="403">
        <v>1935371.76</v>
      </c>
      <c r="W93" s="403">
        <v>1935371.76</v>
      </c>
      <c r="X93" s="390"/>
      <c r="Y93" s="380">
        <v>207</v>
      </c>
      <c r="Z93" s="448">
        <v>0</v>
      </c>
      <c r="AA93" s="448">
        <v>1965377.29</v>
      </c>
      <c r="AB93" s="403">
        <v>1965377.29</v>
      </c>
      <c r="AC93" s="390"/>
      <c r="AD93" s="457">
        <v>214</v>
      </c>
      <c r="AE93" s="448"/>
      <c r="AF93" s="448"/>
    </row>
    <row r="94" spans="1:32" ht="14.5">
      <c r="A94" s="380" t="s">
        <v>375</v>
      </c>
      <c r="B94" s="380" t="s">
        <v>196</v>
      </c>
      <c r="C94" s="389" t="s">
        <v>376</v>
      </c>
      <c r="E94" s="381">
        <v>366</v>
      </c>
      <c r="F94" s="381">
        <v>0</v>
      </c>
      <c r="G94" s="381">
        <v>4179311.38</v>
      </c>
      <c r="H94" s="381">
        <v>4179311.38</v>
      </c>
      <c r="I94" s="390"/>
      <c r="J94" s="380">
        <v>371</v>
      </c>
      <c r="K94" s="381">
        <v>0</v>
      </c>
      <c r="L94" s="381">
        <v>4872194.04</v>
      </c>
      <c r="M94" s="381">
        <v>4872194.04</v>
      </c>
      <c r="N94" s="390"/>
      <c r="O94" s="380">
        <v>370</v>
      </c>
      <c r="P94" s="381">
        <v>0</v>
      </c>
      <c r="Q94" s="381">
        <v>5434670.6299999999</v>
      </c>
      <c r="R94" s="381">
        <v>5434670.6299999999</v>
      </c>
      <c r="S94" s="390"/>
      <c r="T94" s="380">
        <v>400</v>
      </c>
      <c r="U94" s="403">
        <v>0</v>
      </c>
      <c r="V94" s="403">
        <v>5880700.21</v>
      </c>
      <c r="W94" s="403">
        <v>5880700.21</v>
      </c>
      <c r="X94" s="390"/>
      <c r="Y94" s="380">
        <v>391</v>
      </c>
      <c r="Z94" s="448">
        <v>0</v>
      </c>
      <c r="AA94" s="448">
        <v>6324214.1600000001</v>
      </c>
      <c r="AB94" s="403">
        <v>6324214.1600000001</v>
      </c>
      <c r="AC94" s="390"/>
      <c r="AD94" s="457">
        <v>408</v>
      </c>
      <c r="AE94" s="448"/>
      <c r="AF94" s="448"/>
    </row>
    <row r="95" spans="1:32" ht="14.5">
      <c r="A95" s="380" t="s">
        <v>377</v>
      </c>
      <c r="B95" s="380" t="s">
        <v>188</v>
      </c>
      <c r="C95" s="389" t="s">
        <v>378</v>
      </c>
      <c r="E95" s="381">
        <v>21</v>
      </c>
      <c r="F95" s="381">
        <v>18643.919999999998</v>
      </c>
      <c r="G95" s="381">
        <v>164154.01999999999</v>
      </c>
      <c r="H95" s="381">
        <v>182797.94</v>
      </c>
      <c r="I95" s="390"/>
      <c r="J95" s="380">
        <v>22</v>
      </c>
      <c r="K95" s="381">
        <v>47900.09</v>
      </c>
      <c r="L95" s="381">
        <v>250733.93</v>
      </c>
      <c r="M95" s="381">
        <v>298634.02</v>
      </c>
      <c r="N95" s="390"/>
      <c r="O95" s="380">
        <v>29</v>
      </c>
      <c r="P95" s="381">
        <v>19003.919999999998</v>
      </c>
      <c r="Q95" s="381">
        <v>270233.46000000002</v>
      </c>
      <c r="R95" s="381">
        <v>289237.38</v>
      </c>
      <c r="S95" s="390"/>
      <c r="T95" s="380">
        <v>26</v>
      </c>
      <c r="U95" s="403">
        <v>5825.71</v>
      </c>
      <c r="V95" s="403">
        <v>241380.82</v>
      </c>
      <c r="W95" s="403">
        <v>247206.53</v>
      </c>
      <c r="X95" s="390"/>
      <c r="Y95" s="380">
        <v>24</v>
      </c>
      <c r="Z95" s="448">
        <v>54560.54</v>
      </c>
      <c r="AA95" s="448">
        <v>304368.59000000003</v>
      </c>
      <c r="AB95" s="403">
        <v>358929.13</v>
      </c>
      <c r="AC95" s="390"/>
      <c r="AD95" s="457">
        <v>30</v>
      </c>
      <c r="AE95" s="448"/>
      <c r="AF95" s="448"/>
    </row>
    <row r="96" spans="1:32" ht="14.5">
      <c r="A96" s="380" t="s">
        <v>383</v>
      </c>
      <c r="B96" s="380" t="s">
        <v>209</v>
      </c>
      <c r="C96" s="389" t="s">
        <v>384</v>
      </c>
      <c r="D96" s="380" t="s">
        <v>818</v>
      </c>
      <c r="E96" s="381">
        <v>20</v>
      </c>
      <c r="F96" s="381">
        <v>0</v>
      </c>
      <c r="G96" s="381">
        <v>147916.10999999999</v>
      </c>
      <c r="H96" s="381">
        <v>147916.10999999999</v>
      </c>
      <c r="I96" s="390"/>
      <c r="J96" s="380">
        <v>13</v>
      </c>
      <c r="K96" s="381">
        <v>0</v>
      </c>
      <c r="L96" s="381">
        <v>121049.47</v>
      </c>
      <c r="M96" s="381">
        <v>121049.47</v>
      </c>
      <c r="N96" s="390"/>
      <c r="O96" s="380">
        <v>19</v>
      </c>
      <c r="P96" s="381">
        <v>0</v>
      </c>
      <c r="Q96" s="381">
        <v>183280.16</v>
      </c>
      <c r="R96" s="381">
        <v>183280.16</v>
      </c>
      <c r="S96" s="390"/>
      <c r="T96" s="380">
        <v>0</v>
      </c>
      <c r="U96" s="403">
        <v>0</v>
      </c>
      <c r="V96" s="403">
        <v>189322.61</v>
      </c>
      <c r="W96" s="403">
        <v>189322.61</v>
      </c>
      <c r="X96" s="390"/>
      <c r="Y96" s="380">
        <v>20</v>
      </c>
      <c r="Z96" s="448">
        <v>0</v>
      </c>
      <c r="AA96" s="448">
        <v>194224.95</v>
      </c>
      <c r="AB96" s="403">
        <v>194224.95</v>
      </c>
      <c r="AC96" s="390"/>
      <c r="AD96" s="457">
        <v>20</v>
      </c>
      <c r="AE96" s="448"/>
      <c r="AF96" s="448"/>
    </row>
    <row r="97" spans="1:32" ht="14.5">
      <c r="A97" s="380" t="s">
        <v>379</v>
      </c>
      <c r="B97" s="380" t="s">
        <v>193</v>
      </c>
      <c r="C97" s="389" t="s">
        <v>380</v>
      </c>
      <c r="E97" s="381">
        <v>8</v>
      </c>
      <c r="F97" s="381">
        <v>1091.94</v>
      </c>
      <c r="G97" s="381">
        <v>55939.22</v>
      </c>
      <c r="H97" s="381">
        <v>57031.16</v>
      </c>
      <c r="I97" s="390"/>
      <c r="J97" s="380">
        <v>6</v>
      </c>
      <c r="K97" s="381">
        <v>3975.88</v>
      </c>
      <c r="L97" s="381">
        <v>37702.269999999997</v>
      </c>
      <c r="M97" s="381">
        <v>41678.149999999994</v>
      </c>
      <c r="N97" s="390"/>
      <c r="O97" s="380">
        <v>5</v>
      </c>
      <c r="P97" s="381">
        <v>0</v>
      </c>
      <c r="Q97" s="381">
        <v>61792.62</v>
      </c>
      <c r="R97" s="381">
        <v>61792.62</v>
      </c>
      <c r="S97" s="390"/>
      <c r="T97" s="380">
        <v>7</v>
      </c>
      <c r="U97" s="403">
        <v>0</v>
      </c>
      <c r="V97" s="403">
        <v>65931.03</v>
      </c>
      <c r="W97" s="403">
        <v>65931.03</v>
      </c>
      <c r="X97" s="390"/>
      <c r="Y97" s="380">
        <v>2</v>
      </c>
      <c r="Z97" s="448">
        <v>0</v>
      </c>
      <c r="AA97" s="448">
        <v>51044.639999999999</v>
      </c>
      <c r="AB97" s="403">
        <v>51044.639999999999</v>
      </c>
      <c r="AC97" s="390"/>
      <c r="AD97" s="457">
        <v>5</v>
      </c>
      <c r="AE97" s="448"/>
      <c r="AF97" s="448"/>
    </row>
    <row r="98" spans="1:32" ht="14.5">
      <c r="A98" s="380" t="s">
        <v>385</v>
      </c>
      <c r="B98" s="380" t="s">
        <v>188</v>
      </c>
      <c r="C98" s="389" t="s">
        <v>386</v>
      </c>
      <c r="E98" s="381">
        <v>100</v>
      </c>
      <c r="F98" s="381">
        <v>3823.66</v>
      </c>
      <c r="G98" s="381">
        <v>893645.2</v>
      </c>
      <c r="H98" s="381">
        <v>897468.86</v>
      </c>
      <c r="I98" s="390"/>
      <c r="J98" s="380">
        <v>106</v>
      </c>
      <c r="K98" s="381">
        <v>75946.320000000007</v>
      </c>
      <c r="L98" s="381">
        <v>807627.88</v>
      </c>
      <c r="M98" s="381">
        <v>883574.2</v>
      </c>
      <c r="N98" s="390"/>
      <c r="O98" s="380">
        <v>94</v>
      </c>
      <c r="P98" s="381">
        <v>0</v>
      </c>
      <c r="Q98" s="381">
        <v>1075365.2</v>
      </c>
      <c r="R98" s="381">
        <v>1075365.2</v>
      </c>
      <c r="S98" s="390"/>
      <c r="T98" s="380">
        <v>97</v>
      </c>
      <c r="U98" s="403">
        <v>0</v>
      </c>
      <c r="V98" s="403">
        <v>1003449.28</v>
      </c>
      <c r="W98" s="403">
        <v>1003449.28</v>
      </c>
      <c r="X98" s="390"/>
      <c r="Y98" s="380">
        <v>88</v>
      </c>
      <c r="Z98" s="448">
        <v>0</v>
      </c>
      <c r="AA98" s="448">
        <v>1071346.52</v>
      </c>
      <c r="AB98" s="403">
        <v>1071346.52</v>
      </c>
      <c r="AC98" s="390"/>
      <c r="AD98" s="457">
        <v>89</v>
      </c>
      <c r="AE98" s="448"/>
      <c r="AF98" s="448"/>
    </row>
    <row r="99" spans="1:32" ht="14.5">
      <c r="A99" s="380" t="s">
        <v>387</v>
      </c>
      <c r="B99" s="380" t="s">
        <v>193</v>
      </c>
      <c r="C99" s="389" t="s">
        <v>388</v>
      </c>
      <c r="E99" s="381">
        <v>18</v>
      </c>
      <c r="F99" s="381">
        <v>9694.75</v>
      </c>
      <c r="G99" s="381">
        <v>177531.93</v>
      </c>
      <c r="H99" s="381">
        <v>187226.68</v>
      </c>
      <c r="I99" s="390"/>
      <c r="J99" s="380">
        <v>23</v>
      </c>
      <c r="K99" s="381">
        <v>0</v>
      </c>
      <c r="L99" s="381">
        <v>226276.21</v>
      </c>
      <c r="M99" s="381">
        <v>226276.21</v>
      </c>
      <c r="N99" s="390"/>
      <c r="O99" s="380">
        <v>24</v>
      </c>
      <c r="P99" s="381">
        <v>5207.41</v>
      </c>
      <c r="Q99" s="381">
        <v>230236.57</v>
      </c>
      <c r="R99" s="381">
        <v>235443.98</v>
      </c>
      <c r="S99" s="390"/>
      <c r="T99" s="380">
        <v>23</v>
      </c>
      <c r="U99" s="403">
        <v>5207.42</v>
      </c>
      <c r="V99" s="403">
        <v>218017.76</v>
      </c>
      <c r="W99" s="403">
        <v>223225.18000000002</v>
      </c>
      <c r="X99" s="390"/>
      <c r="Y99" s="380">
        <v>23</v>
      </c>
      <c r="Z99" s="448">
        <v>5300</v>
      </c>
      <c r="AA99" s="448">
        <v>208591.12</v>
      </c>
      <c r="AB99" s="403">
        <v>213891.12</v>
      </c>
      <c r="AC99" s="390"/>
      <c r="AD99" s="457">
        <v>26</v>
      </c>
      <c r="AE99" s="448"/>
      <c r="AF99" s="448"/>
    </row>
    <row r="100" spans="1:32" ht="14.5">
      <c r="A100" s="380" t="s">
        <v>389</v>
      </c>
      <c r="B100" s="380" t="s">
        <v>220</v>
      </c>
      <c r="C100" s="389" t="s">
        <v>390</v>
      </c>
      <c r="E100" s="381">
        <v>146</v>
      </c>
      <c r="F100" s="381">
        <v>0</v>
      </c>
      <c r="G100" s="381">
        <v>1171507.3999999999</v>
      </c>
      <c r="H100" s="381">
        <v>1171507.3999999999</v>
      </c>
      <c r="I100" s="390"/>
      <c r="J100" s="380">
        <v>138</v>
      </c>
      <c r="K100" s="381">
        <v>0</v>
      </c>
      <c r="L100" s="381">
        <v>1242461.5900000001</v>
      </c>
      <c r="M100" s="381">
        <v>1242461.5900000001</v>
      </c>
      <c r="N100" s="390"/>
      <c r="O100" s="380">
        <v>139</v>
      </c>
      <c r="P100" s="381">
        <v>0</v>
      </c>
      <c r="Q100" s="381">
        <v>1327237.92</v>
      </c>
      <c r="R100" s="381">
        <v>1327237.92</v>
      </c>
      <c r="S100" s="390"/>
      <c r="T100" s="380">
        <v>141</v>
      </c>
      <c r="U100" s="403">
        <v>0</v>
      </c>
      <c r="V100" s="403">
        <v>1356056.94</v>
      </c>
      <c r="W100" s="403">
        <v>1356056.94</v>
      </c>
      <c r="X100" s="390"/>
      <c r="Y100" s="380">
        <v>131</v>
      </c>
      <c r="Z100" s="448">
        <v>117184.58</v>
      </c>
      <c r="AA100" s="448">
        <v>1252669.99</v>
      </c>
      <c r="AB100" s="403">
        <v>1369854.57</v>
      </c>
      <c r="AC100" s="390"/>
      <c r="AD100" s="457">
        <v>144</v>
      </c>
      <c r="AE100" s="448"/>
      <c r="AF100" s="448"/>
    </row>
    <row r="101" spans="1:32" ht="14.5">
      <c r="A101" s="380" t="s">
        <v>391</v>
      </c>
      <c r="B101" s="380" t="s">
        <v>204</v>
      </c>
      <c r="C101" s="389" t="s">
        <v>392</v>
      </c>
      <c r="E101" s="381">
        <v>2804</v>
      </c>
      <c r="F101" s="381">
        <v>5470024.2300000004</v>
      </c>
      <c r="G101" s="381">
        <v>23032860.34</v>
      </c>
      <c r="H101" s="381">
        <v>28502884.57</v>
      </c>
      <c r="I101" s="390"/>
      <c r="J101" s="380">
        <v>2745</v>
      </c>
      <c r="K101" s="381">
        <v>6159787.4699999997</v>
      </c>
      <c r="L101" s="381">
        <v>31365060.140000001</v>
      </c>
      <c r="M101" s="381">
        <v>37524847.609999999</v>
      </c>
      <c r="N101" s="390"/>
      <c r="O101" s="380">
        <v>2800</v>
      </c>
      <c r="P101" s="381">
        <v>6299226.71</v>
      </c>
      <c r="Q101" s="381">
        <v>34614457.950000003</v>
      </c>
      <c r="R101" s="381">
        <v>40913684.660000004</v>
      </c>
      <c r="S101" s="390"/>
      <c r="T101" s="380">
        <v>2782</v>
      </c>
      <c r="U101" s="403">
        <v>9601210.7400000002</v>
      </c>
      <c r="V101" s="403">
        <v>33874873.439999998</v>
      </c>
      <c r="W101" s="403">
        <v>43476084.18</v>
      </c>
      <c r="X101" s="390"/>
      <c r="Y101" s="380">
        <v>2674</v>
      </c>
      <c r="Z101" s="448">
        <v>10578962.119999999</v>
      </c>
      <c r="AA101" s="448">
        <v>33724666.939999998</v>
      </c>
      <c r="AB101" s="403">
        <v>44303629.059999995</v>
      </c>
      <c r="AC101" s="390"/>
      <c r="AD101" s="457">
        <v>2676</v>
      </c>
      <c r="AE101" s="448"/>
      <c r="AF101" s="448"/>
    </row>
    <row r="102" spans="1:32" ht="14.5">
      <c r="A102" s="380" t="s">
        <v>393</v>
      </c>
      <c r="B102" s="380" t="s">
        <v>209</v>
      </c>
      <c r="C102" s="389" t="s">
        <v>394</v>
      </c>
      <c r="E102" s="381">
        <v>174</v>
      </c>
      <c r="F102" s="381">
        <v>611661.32999999996</v>
      </c>
      <c r="G102" s="381">
        <v>1603527.75</v>
      </c>
      <c r="H102" s="381">
        <v>2215189.08</v>
      </c>
      <c r="I102" s="390"/>
      <c r="J102" s="380">
        <v>172</v>
      </c>
      <c r="K102" s="381">
        <v>605517.29</v>
      </c>
      <c r="L102" s="381">
        <v>1903579.13</v>
      </c>
      <c r="M102" s="381">
        <v>2509096.42</v>
      </c>
      <c r="N102" s="390"/>
      <c r="O102" s="380">
        <v>178</v>
      </c>
      <c r="P102" s="381">
        <v>329156.21999999997</v>
      </c>
      <c r="Q102" s="381">
        <v>2260254.08</v>
      </c>
      <c r="R102" s="381">
        <v>2589410.2999999998</v>
      </c>
      <c r="S102" s="390"/>
      <c r="T102" s="380">
        <v>161</v>
      </c>
      <c r="U102" s="403">
        <v>328751.65999999997</v>
      </c>
      <c r="V102" s="403">
        <v>2137671.23</v>
      </c>
      <c r="W102" s="403">
        <v>2466422.89</v>
      </c>
      <c r="X102" s="390"/>
      <c r="Y102" s="380">
        <v>188</v>
      </c>
      <c r="Z102" s="448">
        <v>558569.05000000005</v>
      </c>
      <c r="AA102" s="448">
        <v>2219944.15</v>
      </c>
      <c r="AB102" s="403">
        <v>2778513.2</v>
      </c>
      <c r="AC102" s="390"/>
      <c r="AD102" s="457">
        <v>202</v>
      </c>
      <c r="AE102" s="448"/>
      <c r="AF102" s="448"/>
    </row>
    <row r="103" spans="1:32" ht="14.5">
      <c r="A103" s="380" t="s">
        <v>395</v>
      </c>
      <c r="B103" s="380" t="s">
        <v>188</v>
      </c>
      <c r="C103" s="389" t="s">
        <v>396</v>
      </c>
      <c r="E103" s="381">
        <v>51</v>
      </c>
      <c r="F103" s="381">
        <v>0</v>
      </c>
      <c r="G103" s="381">
        <v>723525.01</v>
      </c>
      <c r="H103" s="381">
        <v>723525.01</v>
      </c>
      <c r="I103" s="390"/>
      <c r="J103" s="380">
        <v>43</v>
      </c>
      <c r="K103" s="381">
        <v>0</v>
      </c>
      <c r="L103" s="381">
        <v>398317.25</v>
      </c>
      <c r="M103" s="381">
        <v>398317.25</v>
      </c>
      <c r="N103" s="390"/>
      <c r="O103" s="380">
        <v>49</v>
      </c>
      <c r="P103" s="381">
        <v>0</v>
      </c>
      <c r="Q103" s="381">
        <v>810584.2</v>
      </c>
      <c r="R103" s="381">
        <v>810584.2</v>
      </c>
      <c r="S103" s="390"/>
      <c r="T103" s="380">
        <v>42</v>
      </c>
      <c r="U103" s="403">
        <v>0</v>
      </c>
      <c r="V103" s="403">
        <v>740819.86</v>
      </c>
      <c r="W103" s="403">
        <v>740819.86</v>
      </c>
      <c r="X103" s="390"/>
      <c r="Y103" s="380">
        <v>38</v>
      </c>
      <c r="Z103" s="448">
        <v>0</v>
      </c>
      <c r="AA103" s="448">
        <v>791057.47</v>
      </c>
      <c r="AB103" s="403">
        <v>791057.47</v>
      </c>
      <c r="AC103" s="390"/>
      <c r="AD103" s="457">
        <v>43</v>
      </c>
      <c r="AE103" s="448"/>
      <c r="AF103" s="448"/>
    </row>
    <row r="104" spans="1:32" ht="14.5">
      <c r="A104" s="380" t="s">
        <v>397</v>
      </c>
      <c r="B104" s="380" t="s">
        <v>188</v>
      </c>
      <c r="C104" s="389" t="s">
        <v>398</v>
      </c>
      <c r="E104" s="381">
        <v>286</v>
      </c>
      <c r="F104" s="381">
        <v>0</v>
      </c>
      <c r="G104" s="381">
        <v>1968792.64</v>
      </c>
      <c r="H104" s="381">
        <v>1968792.64</v>
      </c>
      <c r="I104" s="390"/>
      <c r="J104" s="380">
        <v>269</v>
      </c>
      <c r="K104" s="381">
        <v>17562</v>
      </c>
      <c r="L104" s="381">
        <v>1888384.9</v>
      </c>
      <c r="M104" s="381">
        <v>1905946.9</v>
      </c>
      <c r="N104" s="390"/>
      <c r="O104" s="380">
        <v>263</v>
      </c>
      <c r="P104" s="381">
        <v>0</v>
      </c>
      <c r="Q104" s="381">
        <v>2625485.61</v>
      </c>
      <c r="R104" s="381">
        <v>2625485.61</v>
      </c>
      <c r="S104" s="390"/>
      <c r="T104" s="380">
        <v>274</v>
      </c>
      <c r="U104" s="403">
        <v>0</v>
      </c>
      <c r="V104" s="403">
        <v>2427327.34</v>
      </c>
      <c r="W104" s="403">
        <v>2427327.34</v>
      </c>
      <c r="X104" s="390"/>
      <c r="Y104" s="380">
        <v>235</v>
      </c>
      <c r="Z104" s="448">
        <v>0</v>
      </c>
      <c r="AA104" s="448">
        <v>2621035.7200000002</v>
      </c>
      <c r="AB104" s="403">
        <v>2621035.7200000002</v>
      </c>
      <c r="AC104" s="390"/>
      <c r="AD104" s="457">
        <v>252</v>
      </c>
      <c r="AE104" s="448"/>
      <c r="AF104" s="448"/>
    </row>
    <row r="105" spans="1:32" ht="14.5">
      <c r="A105" s="380" t="s">
        <v>1160</v>
      </c>
      <c r="C105" s="389" t="s">
        <v>1349</v>
      </c>
      <c r="I105" s="390"/>
      <c r="N105" s="390"/>
      <c r="O105" s="380">
        <v>0</v>
      </c>
      <c r="S105" s="390"/>
      <c r="T105" s="380">
        <v>0</v>
      </c>
      <c r="U105" s="403">
        <v>0</v>
      </c>
      <c r="V105" s="403">
        <v>0</v>
      </c>
      <c r="W105" s="403">
        <v>0</v>
      </c>
      <c r="X105" s="390"/>
      <c r="Y105" s="380">
        <v>9</v>
      </c>
      <c r="Z105" s="448">
        <v>0</v>
      </c>
      <c r="AA105" s="448">
        <v>160829.82</v>
      </c>
      <c r="AB105" s="403">
        <v>160829.82</v>
      </c>
      <c r="AC105" s="390"/>
      <c r="AD105" s="457">
        <v>22</v>
      </c>
      <c r="AE105" s="448"/>
      <c r="AF105" s="448"/>
    </row>
    <row r="106" spans="1:32" ht="14.5">
      <c r="A106" s="380" t="s">
        <v>399</v>
      </c>
      <c r="C106" s="389" t="s">
        <v>1195</v>
      </c>
      <c r="E106" s="381">
        <v>0</v>
      </c>
      <c r="F106" s="381">
        <v>0</v>
      </c>
      <c r="G106" s="381">
        <v>0</v>
      </c>
      <c r="H106" s="381">
        <v>0</v>
      </c>
      <c r="I106" s="390"/>
      <c r="J106" s="380">
        <v>2</v>
      </c>
      <c r="K106" s="381">
        <v>0</v>
      </c>
      <c r="L106" s="381">
        <v>101526.62</v>
      </c>
      <c r="M106" s="381">
        <v>101526.62</v>
      </c>
      <c r="N106" s="390"/>
      <c r="O106" s="380">
        <v>13</v>
      </c>
      <c r="P106" s="381">
        <v>0</v>
      </c>
      <c r="Q106" s="381">
        <v>204323.62</v>
      </c>
      <c r="R106" s="381">
        <v>204323.62</v>
      </c>
      <c r="S106" s="390"/>
      <c r="T106" s="380">
        <v>17</v>
      </c>
      <c r="U106" s="403">
        <v>0</v>
      </c>
      <c r="V106" s="403">
        <v>208479.7</v>
      </c>
      <c r="W106" s="403">
        <v>208479.7</v>
      </c>
      <c r="X106" s="390"/>
      <c r="Y106" s="380">
        <v>21</v>
      </c>
      <c r="Z106" s="448">
        <v>0</v>
      </c>
      <c r="AA106" s="448">
        <v>278257.78999999998</v>
      </c>
      <c r="AB106" s="403">
        <v>278257.78999999998</v>
      </c>
      <c r="AC106" s="390"/>
      <c r="AD106" s="457">
        <v>28</v>
      </c>
      <c r="AE106" s="448"/>
      <c r="AF106" s="448"/>
    </row>
    <row r="107" spans="1:32" ht="14.5">
      <c r="A107" s="380" t="s">
        <v>400</v>
      </c>
      <c r="C107" s="389" t="s">
        <v>401</v>
      </c>
      <c r="E107" s="381">
        <v>0</v>
      </c>
      <c r="F107" s="381">
        <v>0</v>
      </c>
      <c r="G107" s="381">
        <v>0</v>
      </c>
      <c r="H107" s="381">
        <v>0</v>
      </c>
      <c r="I107" s="390"/>
      <c r="J107" s="380">
        <v>0</v>
      </c>
      <c r="K107" s="381">
        <v>0</v>
      </c>
      <c r="L107" s="381">
        <v>0</v>
      </c>
      <c r="M107" s="381">
        <v>0</v>
      </c>
      <c r="N107" s="390"/>
      <c r="O107" s="380">
        <v>0</v>
      </c>
      <c r="P107" s="381">
        <v>0</v>
      </c>
      <c r="Q107" s="381">
        <v>0</v>
      </c>
      <c r="R107" s="381">
        <v>0</v>
      </c>
      <c r="S107" s="390"/>
      <c r="T107" s="380">
        <v>3</v>
      </c>
      <c r="U107" s="403">
        <v>975.01</v>
      </c>
      <c r="V107" s="403">
        <v>14305.84</v>
      </c>
      <c r="W107" s="403">
        <v>15280.85</v>
      </c>
      <c r="X107" s="390"/>
      <c r="Y107" s="380">
        <v>8</v>
      </c>
      <c r="Z107" s="448">
        <v>0</v>
      </c>
      <c r="AA107" s="448">
        <v>119056.03</v>
      </c>
      <c r="AB107" s="403">
        <v>119056.03</v>
      </c>
      <c r="AC107" s="390"/>
      <c r="AD107" s="457">
        <v>14</v>
      </c>
      <c r="AE107" s="448"/>
      <c r="AF107" s="448"/>
    </row>
    <row r="108" spans="1:32" ht="14.5">
      <c r="A108" s="380" t="s">
        <v>408</v>
      </c>
      <c r="B108" s="380" t="s">
        <v>201</v>
      </c>
      <c r="C108" s="389" t="s">
        <v>409</v>
      </c>
      <c r="D108" s="380" t="s">
        <v>818</v>
      </c>
      <c r="E108" s="381">
        <v>6</v>
      </c>
      <c r="F108" s="381">
        <v>0</v>
      </c>
      <c r="G108" s="381">
        <v>45690.95</v>
      </c>
      <c r="H108" s="381">
        <v>45690.95</v>
      </c>
      <c r="I108" s="390"/>
      <c r="J108" s="380">
        <v>6</v>
      </c>
      <c r="K108" s="381">
        <v>0</v>
      </c>
      <c r="L108" s="381">
        <v>46154.85</v>
      </c>
      <c r="M108" s="381">
        <v>46154.85</v>
      </c>
      <c r="N108" s="390"/>
      <c r="O108" s="380">
        <v>4</v>
      </c>
      <c r="P108" s="381">
        <v>0</v>
      </c>
      <c r="Q108" s="381">
        <v>59369.09</v>
      </c>
      <c r="R108" s="381">
        <v>59369.09</v>
      </c>
      <c r="S108" s="390"/>
      <c r="T108" s="380">
        <v>0</v>
      </c>
      <c r="U108" s="403">
        <v>0</v>
      </c>
      <c r="V108" s="403">
        <v>55051.61</v>
      </c>
      <c r="W108" s="403">
        <v>55051.61</v>
      </c>
      <c r="X108" s="390"/>
      <c r="Y108" s="380">
        <v>5</v>
      </c>
      <c r="Z108" s="448">
        <v>0</v>
      </c>
      <c r="AA108" s="448">
        <v>73202.64</v>
      </c>
      <c r="AB108" s="403">
        <v>73202.64</v>
      </c>
      <c r="AC108" s="390"/>
      <c r="AD108" s="457">
        <v>8</v>
      </c>
      <c r="AE108" s="448"/>
      <c r="AF108" s="448"/>
    </row>
    <row r="109" spans="1:32" ht="14.5">
      <c r="A109" s="380" t="s">
        <v>410</v>
      </c>
      <c r="B109" s="380" t="s">
        <v>209</v>
      </c>
      <c r="C109" s="389" t="s">
        <v>411</v>
      </c>
      <c r="D109" s="380" t="s">
        <v>818</v>
      </c>
      <c r="E109" s="381">
        <v>143</v>
      </c>
      <c r="F109" s="381">
        <v>0</v>
      </c>
      <c r="G109" s="381">
        <v>198272.14</v>
      </c>
      <c r="H109" s="381">
        <v>198272.14</v>
      </c>
      <c r="I109" s="390"/>
      <c r="J109" s="380">
        <v>175</v>
      </c>
      <c r="K109" s="381">
        <v>0</v>
      </c>
      <c r="L109" s="381">
        <v>1633587.98</v>
      </c>
      <c r="M109" s="381">
        <v>1633587.98</v>
      </c>
      <c r="N109" s="390"/>
      <c r="O109" s="380">
        <v>179</v>
      </c>
      <c r="P109" s="381">
        <v>0</v>
      </c>
      <c r="Q109" s="381">
        <v>274533.03000000003</v>
      </c>
      <c r="R109" s="381">
        <v>274533.03000000003</v>
      </c>
      <c r="S109" s="390"/>
      <c r="T109" s="380">
        <v>0</v>
      </c>
      <c r="U109" s="403">
        <v>0</v>
      </c>
      <c r="V109" s="403">
        <v>1835839.1</v>
      </c>
      <c r="W109" s="403">
        <v>1835839.1</v>
      </c>
      <c r="X109" s="390"/>
      <c r="Y109" s="380">
        <v>193</v>
      </c>
      <c r="Z109" s="448">
        <v>0</v>
      </c>
      <c r="AA109" s="448">
        <v>1902289.02</v>
      </c>
      <c r="AB109" s="403">
        <v>1902289.02</v>
      </c>
      <c r="AC109" s="390"/>
      <c r="AD109" s="457">
        <v>196</v>
      </c>
      <c r="AE109" s="448"/>
      <c r="AF109" s="448"/>
    </row>
    <row r="110" spans="1:32" ht="14.5">
      <c r="A110" s="380" t="s">
        <v>402</v>
      </c>
      <c r="B110" s="380" t="s">
        <v>193</v>
      </c>
      <c r="C110" s="389" t="s">
        <v>403</v>
      </c>
      <c r="E110" s="381">
        <v>23</v>
      </c>
      <c r="F110" s="381">
        <v>0</v>
      </c>
      <c r="G110" s="381">
        <v>366668.98</v>
      </c>
      <c r="H110" s="381">
        <v>366668.98</v>
      </c>
      <c r="I110" s="390"/>
      <c r="J110" s="380">
        <v>31</v>
      </c>
      <c r="K110" s="381">
        <v>0</v>
      </c>
      <c r="L110" s="381">
        <v>335797.5</v>
      </c>
      <c r="M110" s="381">
        <v>335797.5</v>
      </c>
      <c r="N110" s="390"/>
      <c r="O110" s="380">
        <v>24</v>
      </c>
      <c r="P110" s="381">
        <v>0</v>
      </c>
      <c r="Q110" s="381">
        <v>338468.73</v>
      </c>
      <c r="R110" s="381">
        <v>338468.73</v>
      </c>
      <c r="S110" s="390"/>
      <c r="T110" s="380">
        <v>24</v>
      </c>
      <c r="U110" s="403">
        <v>0</v>
      </c>
      <c r="V110" s="403">
        <v>341731.04</v>
      </c>
      <c r="W110" s="403">
        <v>341731.04</v>
      </c>
      <c r="X110" s="390"/>
      <c r="Y110" s="380">
        <v>25</v>
      </c>
      <c r="Z110" s="448">
        <v>0</v>
      </c>
      <c r="AA110" s="448">
        <v>368862.91</v>
      </c>
      <c r="AB110" s="403">
        <v>368862.91</v>
      </c>
      <c r="AC110" s="390"/>
      <c r="AD110" s="457">
        <v>27</v>
      </c>
      <c r="AE110" s="448"/>
      <c r="AF110" s="448"/>
    </row>
    <row r="111" spans="1:32" ht="14.5">
      <c r="A111" s="380" t="s">
        <v>404</v>
      </c>
      <c r="B111" s="380" t="s">
        <v>196</v>
      </c>
      <c r="C111" s="389" t="s">
        <v>405</v>
      </c>
      <c r="E111" s="381">
        <v>6</v>
      </c>
      <c r="F111" s="381">
        <v>0</v>
      </c>
      <c r="G111" s="381">
        <v>36314.15</v>
      </c>
      <c r="H111" s="381">
        <v>36314.15</v>
      </c>
      <c r="I111" s="390"/>
      <c r="J111" s="380">
        <v>5</v>
      </c>
      <c r="K111" s="381">
        <v>0</v>
      </c>
      <c r="L111" s="381">
        <v>37302.980000000003</v>
      </c>
      <c r="M111" s="381">
        <v>37302.980000000003</v>
      </c>
      <c r="N111" s="390"/>
      <c r="O111" s="380">
        <v>7</v>
      </c>
      <c r="P111" s="381">
        <v>0</v>
      </c>
      <c r="Q111" s="381">
        <v>53171.26</v>
      </c>
      <c r="R111" s="381">
        <v>53171.26</v>
      </c>
      <c r="S111" s="390"/>
      <c r="T111" s="380">
        <v>5</v>
      </c>
      <c r="U111" s="403">
        <v>0</v>
      </c>
      <c r="V111" s="403">
        <v>32330.15</v>
      </c>
      <c r="W111" s="403">
        <v>32330.15</v>
      </c>
      <c r="X111" s="390"/>
      <c r="Y111" s="380">
        <v>4</v>
      </c>
      <c r="Z111" s="448">
        <v>0</v>
      </c>
      <c r="AA111" s="448">
        <v>37255.51</v>
      </c>
      <c r="AB111" s="403">
        <v>37255.51</v>
      </c>
      <c r="AC111" s="390"/>
      <c r="AD111" s="457">
        <v>5</v>
      </c>
      <c r="AE111" s="448"/>
      <c r="AF111" s="448"/>
    </row>
    <row r="112" spans="1:32" ht="14.5">
      <c r="A112" s="380" t="s">
        <v>406</v>
      </c>
      <c r="B112" s="380" t="s">
        <v>204</v>
      </c>
      <c r="C112" s="389" t="s">
        <v>407</v>
      </c>
      <c r="E112" s="381">
        <v>1636</v>
      </c>
      <c r="F112" s="381">
        <v>136455.70000000001</v>
      </c>
      <c r="G112" s="381">
        <v>19885094.02</v>
      </c>
      <c r="H112" s="381">
        <v>20021549.719999999</v>
      </c>
      <c r="I112" s="390"/>
      <c r="J112" s="380">
        <v>1642</v>
      </c>
      <c r="K112" s="381">
        <v>146157.57999999999</v>
      </c>
      <c r="L112" s="381">
        <v>25589205.27</v>
      </c>
      <c r="M112" s="381">
        <v>25735362.849999998</v>
      </c>
      <c r="N112" s="390"/>
      <c r="O112" s="380">
        <v>1707</v>
      </c>
      <c r="P112" s="381">
        <v>157310.82</v>
      </c>
      <c r="Q112" s="381">
        <v>29325482.84</v>
      </c>
      <c r="R112" s="381">
        <v>29482793.66</v>
      </c>
      <c r="S112" s="390"/>
      <c r="T112" s="380">
        <v>1661</v>
      </c>
      <c r="U112" s="403">
        <v>172959.73</v>
      </c>
      <c r="V112" s="403">
        <v>31248956.539999999</v>
      </c>
      <c r="W112" s="403">
        <v>31421916.27</v>
      </c>
      <c r="X112" s="390"/>
      <c r="Y112" s="380">
        <v>1661</v>
      </c>
      <c r="Z112" s="448">
        <v>8175715.2400000002</v>
      </c>
      <c r="AA112" s="448">
        <v>24671388.850000001</v>
      </c>
      <c r="AB112" s="403">
        <v>32847104.090000004</v>
      </c>
      <c r="AC112" s="390"/>
      <c r="AD112" s="457">
        <v>1767</v>
      </c>
      <c r="AE112" s="448"/>
      <c r="AF112" s="448"/>
    </row>
    <row r="113" spans="1:32" ht="14.5">
      <c r="A113" s="380" t="s">
        <v>412</v>
      </c>
      <c r="B113" s="380" t="s">
        <v>193</v>
      </c>
      <c r="C113" s="389" t="s">
        <v>413</v>
      </c>
      <c r="E113" s="381">
        <v>1</v>
      </c>
      <c r="F113" s="381">
        <v>0</v>
      </c>
      <c r="G113" s="381">
        <v>26396.54</v>
      </c>
      <c r="H113" s="381">
        <v>26396.54</v>
      </c>
      <c r="I113" s="390"/>
      <c r="J113" s="380">
        <v>1</v>
      </c>
      <c r="K113" s="381">
        <v>0</v>
      </c>
      <c r="L113" s="381">
        <v>28159.09</v>
      </c>
      <c r="M113" s="381">
        <v>28159.09</v>
      </c>
      <c r="N113" s="390"/>
      <c r="O113" s="380">
        <v>4</v>
      </c>
      <c r="P113" s="381">
        <v>0</v>
      </c>
      <c r="Q113" s="381">
        <v>31023.5</v>
      </c>
      <c r="R113" s="381">
        <v>31023.5</v>
      </c>
      <c r="S113" s="390"/>
      <c r="T113" s="380">
        <v>3</v>
      </c>
      <c r="U113" s="403">
        <v>0</v>
      </c>
      <c r="V113" s="403">
        <v>38421</v>
      </c>
      <c r="W113" s="403">
        <v>38421</v>
      </c>
      <c r="X113" s="390"/>
      <c r="Y113" s="380">
        <v>4</v>
      </c>
      <c r="Z113" s="448">
        <v>0</v>
      </c>
      <c r="AA113" s="448">
        <v>27386.44</v>
      </c>
      <c r="AB113" s="403">
        <v>27386.44</v>
      </c>
      <c r="AC113" s="390"/>
      <c r="AD113" s="457">
        <v>5</v>
      </c>
      <c r="AE113" s="448"/>
      <c r="AF113" s="448"/>
    </row>
    <row r="114" spans="1:32" ht="14.5">
      <c r="A114" s="380" t="s">
        <v>414</v>
      </c>
      <c r="B114" s="380" t="s">
        <v>209</v>
      </c>
      <c r="C114" s="389" t="s">
        <v>415</v>
      </c>
      <c r="E114" s="381">
        <v>699</v>
      </c>
      <c r="F114" s="381">
        <v>865283.8</v>
      </c>
      <c r="G114" s="381">
        <v>6134609.0099999998</v>
      </c>
      <c r="H114" s="381">
        <v>6999892.8099999996</v>
      </c>
      <c r="I114" s="390"/>
      <c r="J114" s="380">
        <v>711</v>
      </c>
      <c r="K114" s="381">
        <v>690152.54</v>
      </c>
      <c r="L114" s="381">
        <v>7422422.0099999998</v>
      </c>
      <c r="M114" s="381">
        <v>8112574.5499999998</v>
      </c>
      <c r="N114" s="390"/>
      <c r="O114" s="380">
        <v>744</v>
      </c>
      <c r="P114" s="381">
        <v>196482.85</v>
      </c>
      <c r="Q114" s="381">
        <v>8339694.8399999999</v>
      </c>
      <c r="R114" s="381">
        <v>8536177.6899999995</v>
      </c>
      <c r="S114" s="390"/>
      <c r="T114" s="380">
        <v>722</v>
      </c>
      <c r="U114" s="403">
        <v>432881.6</v>
      </c>
      <c r="V114" s="403">
        <v>8032247.8499999996</v>
      </c>
      <c r="W114" s="403">
        <v>8465129.4499999993</v>
      </c>
      <c r="X114" s="390"/>
      <c r="Y114" s="380">
        <v>720</v>
      </c>
      <c r="Z114" s="448">
        <v>301940.51</v>
      </c>
      <c r="AA114" s="448">
        <v>8315786.5899999999</v>
      </c>
      <c r="AB114" s="403">
        <v>8617727.0999999996</v>
      </c>
      <c r="AC114" s="390"/>
      <c r="AD114" s="457">
        <v>806</v>
      </c>
      <c r="AE114" s="448"/>
      <c r="AF114" s="448"/>
    </row>
    <row r="115" spans="1:32" ht="14.5">
      <c r="A115" s="380" t="s">
        <v>416</v>
      </c>
      <c r="B115" s="380" t="s">
        <v>201</v>
      </c>
      <c r="C115" s="389" t="s">
        <v>417</v>
      </c>
      <c r="E115" s="381">
        <v>2162</v>
      </c>
      <c r="F115" s="381">
        <v>1967409.26</v>
      </c>
      <c r="G115" s="381">
        <v>18641541.579999998</v>
      </c>
      <c r="H115" s="381">
        <v>20608950.84</v>
      </c>
      <c r="I115" s="390"/>
      <c r="J115" s="380">
        <v>2233</v>
      </c>
      <c r="K115" s="381">
        <v>0</v>
      </c>
      <c r="L115" s="381">
        <v>23025180.440000001</v>
      </c>
      <c r="M115" s="381">
        <v>23025180.440000001</v>
      </c>
      <c r="N115" s="390"/>
      <c r="O115" s="380">
        <v>2358</v>
      </c>
      <c r="P115" s="381">
        <v>2562038.54</v>
      </c>
      <c r="Q115" s="381">
        <v>22971506.530000001</v>
      </c>
      <c r="R115" s="381">
        <v>25533545.07</v>
      </c>
      <c r="S115" s="390"/>
      <c r="T115" s="380">
        <v>2225</v>
      </c>
      <c r="U115" s="403">
        <v>2473460.41</v>
      </c>
      <c r="V115" s="403">
        <v>24329232.579999998</v>
      </c>
      <c r="W115" s="403">
        <v>26802692.989999998</v>
      </c>
      <c r="X115" s="390"/>
      <c r="Y115" s="380">
        <v>2329</v>
      </c>
      <c r="Z115" s="448">
        <v>3293872.64</v>
      </c>
      <c r="AA115" s="448">
        <v>23379721.66</v>
      </c>
      <c r="AB115" s="403">
        <v>26673594.300000001</v>
      </c>
      <c r="AC115" s="390"/>
      <c r="AD115" s="457">
        <v>2579</v>
      </c>
      <c r="AE115" s="448"/>
      <c r="AF115" s="448"/>
    </row>
    <row r="116" spans="1:32" ht="14.5">
      <c r="A116" s="380" t="s">
        <v>418</v>
      </c>
      <c r="B116" s="380" t="s">
        <v>204</v>
      </c>
      <c r="C116" s="389" t="s">
        <v>419</v>
      </c>
      <c r="E116" s="381">
        <v>2775</v>
      </c>
      <c r="F116" s="381">
        <v>4813240.68</v>
      </c>
      <c r="G116" s="381">
        <v>35947672.039999999</v>
      </c>
      <c r="H116" s="381">
        <v>40760912.719999999</v>
      </c>
      <c r="I116" s="390"/>
      <c r="J116" s="380">
        <v>2744</v>
      </c>
      <c r="K116" s="381">
        <v>9998141.4199999999</v>
      </c>
      <c r="L116" s="381">
        <v>35500965.659999996</v>
      </c>
      <c r="M116" s="381">
        <v>45499107.079999998</v>
      </c>
      <c r="N116" s="390"/>
      <c r="O116" s="380">
        <v>3005</v>
      </c>
      <c r="P116" s="381">
        <v>13824192.48</v>
      </c>
      <c r="Q116" s="381">
        <v>35500965.659999996</v>
      </c>
      <c r="R116" s="381">
        <v>49325158.140000001</v>
      </c>
      <c r="S116" s="390"/>
      <c r="T116" s="380">
        <v>2880</v>
      </c>
      <c r="U116" s="403">
        <v>15912635.1</v>
      </c>
      <c r="V116" s="403">
        <v>40823977.780000001</v>
      </c>
      <c r="W116" s="403">
        <v>56736612.880000003</v>
      </c>
      <c r="X116" s="390"/>
      <c r="Y116" s="380">
        <v>2869</v>
      </c>
      <c r="Z116" s="448">
        <v>17103903.690000001</v>
      </c>
      <c r="AA116" s="448">
        <v>40821000.700000003</v>
      </c>
      <c r="AB116" s="403">
        <v>57924904.390000001</v>
      </c>
      <c r="AC116" s="390"/>
      <c r="AD116" s="457">
        <v>3114</v>
      </c>
      <c r="AE116" s="448"/>
      <c r="AF116" s="448"/>
    </row>
    <row r="117" spans="1:32" ht="14.5">
      <c r="A117" s="380" t="s">
        <v>426</v>
      </c>
      <c r="B117" s="380" t="s">
        <v>209</v>
      </c>
      <c r="C117" s="389" t="s">
        <v>427</v>
      </c>
      <c r="D117" s="380" t="s">
        <v>818</v>
      </c>
      <c r="E117" s="381">
        <v>8</v>
      </c>
      <c r="F117" s="381">
        <v>0</v>
      </c>
      <c r="G117" s="381">
        <v>75622.09</v>
      </c>
      <c r="H117" s="381">
        <v>75622.09</v>
      </c>
      <c r="I117" s="390"/>
      <c r="J117" s="380">
        <v>8</v>
      </c>
      <c r="K117" s="381">
        <v>6887.4</v>
      </c>
      <c r="L117" s="381">
        <v>79062.44</v>
      </c>
      <c r="M117" s="381">
        <v>85949.84</v>
      </c>
      <c r="N117" s="390"/>
      <c r="O117" s="380">
        <v>8</v>
      </c>
      <c r="P117" s="381">
        <v>0</v>
      </c>
      <c r="Q117" s="381">
        <v>65254.04</v>
      </c>
      <c r="R117" s="381">
        <v>65254.04</v>
      </c>
      <c r="S117" s="390"/>
      <c r="T117" s="380">
        <v>0</v>
      </c>
      <c r="U117" s="403">
        <v>0</v>
      </c>
      <c r="V117" s="403">
        <v>77443.41</v>
      </c>
      <c r="W117" s="403">
        <v>77443.41</v>
      </c>
      <c r="X117" s="390"/>
      <c r="Y117" s="380">
        <v>12</v>
      </c>
      <c r="Z117" s="448">
        <v>0</v>
      </c>
      <c r="AA117" s="448">
        <v>124227.42</v>
      </c>
      <c r="AB117" s="403">
        <v>124227.42</v>
      </c>
      <c r="AC117" s="390"/>
      <c r="AD117" s="457">
        <v>15</v>
      </c>
      <c r="AE117" s="448"/>
      <c r="AF117" s="448"/>
    </row>
    <row r="118" spans="1:32" ht="14.5">
      <c r="A118" s="380" t="s">
        <v>420</v>
      </c>
      <c r="B118" s="380" t="s">
        <v>193</v>
      </c>
      <c r="C118" s="389" t="s">
        <v>421</v>
      </c>
      <c r="E118" s="381">
        <v>133</v>
      </c>
      <c r="F118" s="381">
        <v>0</v>
      </c>
      <c r="G118" s="381">
        <v>956818.65</v>
      </c>
      <c r="H118" s="381">
        <v>956818.65</v>
      </c>
      <c r="I118" s="390"/>
      <c r="J118" s="380">
        <v>138</v>
      </c>
      <c r="K118" s="381">
        <v>0</v>
      </c>
      <c r="L118" s="381">
        <v>1191585.6599999999</v>
      </c>
      <c r="M118" s="381">
        <v>1191585.6599999999</v>
      </c>
      <c r="N118" s="390"/>
      <c r="O118" s="380">
        <v>149</v>
      </c>
      <c r="P118" s="381">
        <v>0</v>
      </c>
      <c r="Q118" s="381">
        <v>1226364.78</v>
      </c>
      <c r="R118" s="381">
        <v>1226364.78</v>
      </c>
      <c r="S118" s="390"/>
      <c r="T118" s="380">
        <v>153</v>
      </c>
      <c r="U118" s="403">
        <v>0</v>
      </c>
      <c r="V118" s="403">
        <v>1429631.72</v>
      </c>
      <c r="W118" s="403">
        <v>1429631.72</v>
      </c>
      <c r="X118" s="390"/>
      <c r="Y118" s="380">
        <v>149</v>
      </c>
      <c r="Z118" s="448">
        <v>0</v>
      </c>
      <c r="AA118" s="448">
        <v>1363041.61</v>
      </c>
      <c r="AB118" s="403">
        <v>1363041.61</v>
      </c>
      <c r="AC118" s="390"/>
      <c r="AD118" s="457">
        <v>150</v>
      </c>
      <c r="AE118" s="448"/>
      <c r="AF118" s="448"/>
    </row>
    <row r="119" spans="1:32" ht="14.5">
      <c r="A119" s="380" t="s">
        <v>422</v>
      </c>
      <c r="B119" s="380" t="s">
        <v>201</v>
      </c>
      <c r="C119" s="389" t="s">
        <v>1196</v>
      </c>
      <c r="E119" s="381">
        <v>178</v>
      </c>
      <c r="F119" s="381">
        <v>283562.84000000003</v>
      </c>
      <c r="G119" s="381">
        <v>1619144.15</v>
      </c>
      <c r="H119" s="381">
        <v>1902706.99</v>
      </c>
      <c r="I119" s="390"/>
      <c r="J119" s="380">
        <v>190</v>
      </c>
      <c r="K119" s="381">
        <v>11529.36</v>
      </c>
      <c r="L119" s="381">
        <v>2021775.16</v>
      </c>
      <c r="M119" s="381">
        <v>2033304.52</v>
      </c>
      <c r="N119" s="390"/>
      <c r="O119" s="380">
        <v>196</v>
      </c>
      <c r="P119" s="381">
        <v>0</v>
      </c>
      <c r="Q119" s="381">
        <v>2094399.88</v>
      </c>
      <c r="R119" s="381">
        <v>2094399.88</v>
      </c>
      <c r="S119" s="390"/>
      <c r="T119" s="380">
        <v>183</v>
      </c>
      <c r="U119" s="403">
        <v>0</v>
      </c>
      <c r="V119" s="403">
        <v>2037964.32</v>
      </c>
      <c r="W119" s="403">
        <v>2037964.32</v>
      </c>
      <c r="X119" s="390"/>
      <c r="Y119" s="380">
        <v>184</v>
      </c>
      <c r="Z119" s="448">
        <v>0</v>
      </c>
      <c r="AA119" s="448">
        <v>1747505.62</v>
      </c>
      <c r="AB119" s="403">
        <v>1747505.62</v>
      </c>
      <c r="AC119" s="390"/>
      <c r="AD119" s="457">
        <v>171</v>
      </c>
      <c r="AE119" s="448"/>
      <c r="AF119" s="448"/>
    </row>
    <row r="120" spans="1:32" ht="14.5">
      <c r="A120" s="380" t="s">
        <v>424</v>
      </c>
      <c r="B120" s="380" t="s">
        <v>220</v>
      </c>
      <c r="C120" s="389" t="s">
        <v>425</v>
      </c>
      <c r="E120" s="381">
        <v>96</v>
      </c>
      <c r="F120" s="381">
        <v>0</v>
      </c>
      <c r="G120" s="381">
        <v>826052.98</v>
      </c>
      <c r="H120" s="381">
        <v>826052.98</v>
      </c>
      <c r="I120" s="390"/>
      <c r="J120" s="380">
        <v>109</v>
      </c>
      <c r="K120" s="381">
        <v>0</v>
      </c>
      <c r="L120" s="381">
        <v>987888.49</v>
      </c>
      <c r="M120" s="381">
        <v>987888.49</v>
      </c>
      <c r="N120" s="390"/>
      <c r="O120" s="380">
        <v>105</v>
      </c>
      <c r="P120" s="381">
        <v>0</v>
      </c>
      <c r="Q120" s="381">
        <v>1003300.09</v>
      </c>
      <c r="R120" s="381">
        <v>1003300.09</v>
      </c>
      <c r="S120" s="390"/>
      <c r="T120" s="380">
        <v>95</v>
      </c>
      <c r="U120" s="403">
        <v>0</v>
      </c>
      <c r="V120" s="403">
        <v>1010854.24</v>
      </c>
      <c r="W120" s="403">
        <v>1010854.24</v>
      </c>
      <c r="X120" s="390"/>
      <c r="Y120" s="380">
        <v>86</v>
      </c>
      <c r="Z120" s="448">
        <v>0</v>
      </c>
      <c r="AA120" s="448">
        <v>1177933.48</v>
      </c>
      <c r="AB120" s="403">
        <v>1177933.48</v>
      </c>
      <c r="AC120" s="390"/>
      <c r="AD120" s="457">
        <v>77</v>
      </c>
      <c r="AE120" s="448"/>
      <c r="AF120" s="448"/>
    </row>
    <row r="121" spans="1:32" ht="14.5">
      <c r="A121" s="380" t="s">
        <v>428</v>
      </c>
      <c r="B121" s="380" t="s">
        <v>209</v>
      </c>
      <c r="C121" s="389" t="s">
        <v>429</v>
      </c>
      <c r="E121" s="381">
        <v>211</v>
      </c>
      <c r="F121" s="381">
        <v>522104.18</v>
      </c>
      <c r="G121" s="381">
        <v>1879547.91</v>
      </c>
      <c r="H121" s="381">
        <v>2401652.09</v>
      </c>
      <c r="I121" s="390"/>
      <c r="J121" s="380">
        <v>215</v>
      </c>
      <c r="K121" s="381">
        <v>308669.92</v>
      </c>
      <c r="L121" s="381">
        <v>2188628.2799999998</v>
      </c>
      <c r="M121" s="381">
        <v>2497298.1999999997</v>
      </c>
      <c r="N121" s="390"/>
      <c r="O121" s="380">
        <v>207</v>
      </c>
      <c r="P121" s="381">
        <v>198620.5</v>
      </c>
      <c r="Q121" s="381">
        <v>2506648.66</v>
      </c>
      <c r="R121" s="381">
        <v>2705269.16</v>
      </c>
      <c r="S121" s="390"/>
      <c r="T121" s="380">
        <v>220</v>
      </c>
      <c r="U121" s="403">
        <v>0</v>
      </c>
      <c r="V121" s="403">
        <v>2692562.08</v>
      </c>
      <c r="W121" s="403">
        <v>2692562.08</v>
      </c>
      <c r="X121" s="390"/>
      <c r="Y121" s="380">
        <v>224</v>
      </c>
      <c r="Z121" s="448">
        <v>268730.81</v>
      </c>
      <c r="AA121" s="448">
        <v>2833742.04</v>
      </c>
      <c r="AB121" s="403">
        <v>3102472.85</v>
      </c>
      <c r="AC121" s="390"/>
      <c r="AD121" s="457">
        <v>262</v>
      </c>
      <c r="AE121" s="448"/>
      <c r="AF121" s="448"/>
    </row>
    <row r="122" spans="1:32" ht="14.5">
      <c r="A122" s="380" t="s">
        <v>436</v>
      </c>
      <c r="B122" s="380" t="s">
        <v>188</v>
      </c>
      <c r="C122" s="389" t="s">
        <v>437</v>
      </c>
      <c r="D122" s="380" t="s">
        <v>818</v>
      </c>
      <c r="E122" s="381">
        <v>23</v>
      </c>
      <c r="F122" s="381">
        <v>65224.49</v>
      </c>
      <c r="G122" s="381">
        <v>203993.33</v>
      </c>
      <c r="H122" s="381">
        <v>269217.82</v>
      </c>
      <c r="I122" s="390"/>
      <c r="J122" s="380">
        <v>40</v>
      </c>
      <c r="K122" s="381">
        <v>48090.23</v>
      </c>
      <c r="L122" s="381">
        <v>318403.78999999998</v>
      </c>
      <c r="M122" s="381">
        <v>366494.01999999996</v>
      </c>
      <c r="N122" s="390"/>
      <c r="O122" s="380">
        <v>38</v>
      </c>
      <c r="P122" s="381">
        <v>0</v>
      </c>
      <c r="Q122" s="381">
        <v>343584.66</v>
      </c>
      <c r="R122" s="381">
        <v>343584.66</v>
      </c>
      <c r="S122" s="390"/>
      <c r="T122" s="380">
        <v>0</v>
      </c>
      <c r="U122" s="403">
        <v>0</v>
      </c>
      <c r="V122" s="403">
        <v>293938.23</v>
      </c>
      <c r="W122" s="403">
        <v>293938.23</v>
      </c>
      <c r="X122" s="390"/>
      <c r="Y122" s="380">
        <v>32</v>
      </c>
      <c r="Z122" s="448">
        <v>0</v>
      </c>
      <c r="AA122" s="448">
        <v>318397.19</v>
      </c>
      <c r="AB122" s="403">
        <v>318397.19</v>
      </c>
      <c r="AC122" s="390"/>
      <c r="AD122" s="457">
        <v>32</v>
      </c>
      <c r="AE122" s="448"/>
      <c r="AF122" s="448"/>
    </row>
    <row r="123" spans="1:32" ht="14.5">
      <c r="A123" s="380" t="s">
        <v>430</v>
      </c>
      <c r="B123" s="380" t="s">
        <v>196</v>
      </c>
      <c r="C123" s="389" t="s">
        <v>431</v>
      </c>
      <c r="E123" s="381">
        <v>89</v>
      </c>
      <c r="F123" s="381">
        <v>341280.41</v>
      </c>
      <c r="G123" s="381">
        <v>721380.28</v>
      </c>
      <c r="H123" s="381">
        <v>1062660.69</v>
      </c>
      <c r="I123" s="390"/>
      <c r="J123" s="380">
        <v>89</v>
      </c>
      <c r="K123" s="381">
        <v>25307.26</v>
      </c>
      <c r="L123" s="381">
        <v>926918.07</v>
      </c>
      <c r="M123" s="381">
        <v>952225.33</v>
      </c>
      <c r="N123" s="390"/>
      <c r="O123" s="380">
        <v>107</v>
      </c>
      <c r="P123" s="381">
        <v>148346.5</v>
      </c>
      <c r="Q123" s="381">
        <v>1066802.1200000001</v>
      </c>
      <c r="R123" s="381">
        <v>1215148.6200000001</v>
      </c>
      <c r="S123" s="390"/>
      <c r="T123" s="380">
        <v>92</v>
      </c>
      <c r="U123" s="403">
        <v>71427.87</v>
      </c>
      <c r="V123" s="403">
        <v>1016543.84</v>
      </c>
      <c r="W123" s="403">
        <v>1087971.71</v>
      </c>
      <c r="X123" s="390"/>
      <c r="Y123" s="380">
        <v>92</v>
      </c>
      <c r="Z123" s="448">
        <v>39521</v>
      </c>
      <c r="AA123" s="448">
        <v>1126819.3700000001</v>
      </c>
      <c r="AB123" s="403">
        <v>1166340.3700000001</v>
      </c>
      <c r="AC123" s="390"/>
      <c r="AD123" s="457">
        <v>90</v>
      </c>
      <c r="AE123" s="448"/>
      <c r="AF123" s="448"/>
    </row>
    <row r="124" spans="1:32" ht="14.5">
      <c r="A124" s="380" t="s">
        <v>432</v>
      </c>
      <c r="B124" s="380" t="s">
        <v>193</v>
      </c>
      <c r="C124" s="389" t="s">
        <v>1197</v>
      </c>
      <c r="E124" s="381">
        <v>8</v>
      </c>
      <c r="F124" s="381">
        <v>29190.12</v>
      </c>
      <c r="G124" s="381">
        <v>55687.22</v>
      </c>
      <c r="H124" s="381">
        <v>84877.34</v>
      </c>
      <c r="I124" s="390"/>
      <c r="J124" s="380">
        <v>6</v>
      </c>
      <c r="K124" s="381">
        <v>19098.080000000002</v>
      </c>
      <c r="L124" s="381">
        <v>70244.800000000003</v>
      </c>
      <c r="M124" s="381">
        <v>89342.88</v>
      </c>
      <c r="N124" s="390"/>
      <c r="O124" s="380">
        <v>10</v>
      </c>
      <c r="P124" s="381">
        <v>0</v>
      </c>
      <c r="Q124" s="381">
        <v>140008.98000000001</v>
      </c>
      <c r="R124" s="381">
        <v>140008.98000000001</v>
      </c>
      <c r="S124" s="390"/>
      <c r="T124" s="380">
        <v>10</v>
      </c>
      <c r="U124" s="403">
        <v>0</v>
      </c>
      <c r="V124" s="403">
        <v>171868.16</v>
      </c>
      <c r="W124" s="403">
        <v>171868.16</v>
      </c>
      <c r="X124" s="390"/>
      <c r="Y124" s="380">
        <v>12</v>
      </c>
      <c r="Z124" s="448">
        <v>0</v>
      </c>
      <c r="AA124" s="448">
        <v>133159.66</v>
      </c>
      <c r="AB124" s="403">
        <v>133159.66</v>
      </c>
      <c r="AC124" s="390"/>
      <c r="AD124" s="457">
        <v>16</v>
      </c>
      <c r="AE124" s="448"/>
      <c r="AF124" s="448"/>
    </row>
    <row r="125" spans="1:32" ht="14.5">
      <c r="A125" s="380" t="s">
        <v>434</v>
      </c>
      <c r="B125" s="380" t="s">
        <v>230</v>
      </c>
      <c r="C125" s="389" t="s">
        <v>435</v>
      </c>
      <c r="E125" s="381">
        <v>140</v>
      </c>
      <c r="F125" s="381">
        <v>317769.83</v>
      </c>
      <c r="G125" s="381">
        <v>1044514.84</v>
      </c>
      <c r="H125" s="381">
        <v>1362284.67</v>
      </c>
      <c r="I125" s="390"/>
      <c r="J125" s="380">
        <v>134</v>
      </c>
      <c r="K125" s="381">
        <v>386652.46</v>
      </c>
      <c r="L125" s="381">
        <v>1250320.6200000001</v>
      </c>
      <c r="M125" s="381">
        <v>1636973.08</v>
      </c>
      <c r="N125" s="390"/>
      <c r="O125" s="380">
        <v>140</v>
      </c>
      <c r="P125" s="381">
        <v>422162.77</v>
      </c>
      <c r="Q125" s="381">
        <v>1334175.8899999999</v>
      </c>
      <c r="R125" s="381">
        <v>1756338.66</v>
      </c>
      <c r="S125" s="390"/>
      <c r="T125" s="380">
        <v>131</v>
      </c>
      <c r="U125" s="403">
        <v>221633.47</v>
      </c>
      <c r="V125" s="403">
        <v>1353257.24</v>
      </c>
      <c r="W125" s="403">
        <v>1574890.71</v>
      </c>
      <c r="X125" s="390"/>
      <c r="Y125" s="380">
        <v>134</v>
      </c>
      <c r="Z125" s="448">
        <v>229758.88</v>
      </c>
      <c r="AA125" s="448">
        <v>1353118.29</v>
      </c>
      <c r="AB125" s="403">
        <v>1582877.17</v>
      </c>
      <c r="AC125" s="390"/>
      <c r="AD125" s="457">
        <v>136</v>
      </c>
      <c r="AE125" s="448"/>
      <c r="AF125" s="448"/>
    </row>
    <row r="126" spans="1:32" ht="14.5">
      <c r="A126" s="380" t="s">
        <v>438</v>
      </c>
      <c r="B126" s="380" t="s">
        <v>196</v>
      </c>
      <c r="C126" s="389" t="s">
        <v>439</v>
      </c>
      <c r="E126" s="381">
        <v>1393</v>
      </c>
      <c r="F126" s="381">
        <v>0</v>
      </c>
      <c r="G126" s="381">
        <v>13411541.869999999</v>
      </c>
      <c r="H126" s="381">
        <v>13411541.869999999</v>
      </c>
      <c r="I126" s="390"/>
      <c r="J126" s="380">
        <v>1493</v>
      </c>
      <c r="K126" s="381">
        <v>0</v>
      </c>
      <c r="L126" s="381">
        <v>16489361.630000001</v>
      </c>
      <c r="M126" s="381">
        <v>16489361.630000001</v>
      </c>
      <c r="N126" s="390"/>
      <c r="O126" s="380">
        <v>1498</v>
      </c>
      <c r="P126" s="381">
        <v>0</v>
      </c>
      <c r="Q126" s="381">
        <v>17511941.649999999</v>
      </c>
      <c r="R126" s="381">
        <v>17511941.649999999</v>
      </c>
      <c r="S126" s="390"/>
      <c r="T126" s="380">
        <v>1368</v>
      </c>
      <c r="U126" s="403">
        <v>0</v>
      </c>
      <c r="V126" s="403">
        <v>18207624.390000001</v>
      </c>
      <c r="W126" s="403">
        <v>18207624.390000001</v>
      </c>
      <c r="X126" s="390"/>
      <c r="Y126" s="380">
        <v>1379</v>
      </c>
      <c r="Z126" s="448">
        <v>0</v>
      </c>
      <c r="AA126" s="448">
        <v>19564225.460000001</v>
      </c>
      <c r="AB126" s="403">
        <v>19564225.460000001</v>
      </c>
      <c r="AC126" s="390"/>
      <c r="AD126" s="457">
        <v>1503</v>
      </c>
      <c r="AE126" s="448"/>
      <c r="AF126" s="448"/>
    </row>
    <row r="127" spans="1:32" ht="14.5">
      <c r="A127" s="380" t="s">
        <v>440</v>
      </c>
      <c r="B127" s="380" t="s">
        <v>204</v>
      </c>
      <c r="C127" s="389" t="s">
        <v>441</v>
      </c>
      <c r="E127" s="381">
        <v>3170</v>
      </c>
      <c r="F127" s="381">
        <v>14927275.01</v>
      </c>
      <c r="G127" s="381">
        <v>27465998.170000002</v>
      </c>
      <c r="H127" s="381">
        <v>42393273.18</v>
      </c>
      <c r="I127" s="390"/>
      <c r="J127" s="380">
        <v>3214</v>
      </c>
      <c r="K127" s="381">
        <v>9901208.5</v>
      </c>
      <c r="L127" s="381">
        <v>38943922.420000002</v>
      </c>
      <c r="M127" s="381">
        <v>48845130.920000002</v>
      </c>
      <c r="N127" s="390"/>
      <c r="O127" s="380">
        <v>3263</v>
      </c>
      <c r="P127" s="381">
        <v>11202590.439999999</v>
      </c>
      <c r="Q127" s="381">
        <v>44468271.469999999</v>
      </c>
      <c r="R127" s="381">
        <v>55670861.909999996</v>
      </c>
      <c r="S127" s="390"/>
      <c r="T127" s="380">
        <v>3165</v>
      </c>
      <c r="U127" s="403">
        <v>16568439.699999999</v>
      </c>
      <c r="V127" s="403">
        <v>44276945.229999997</v>
      </c>
      <c r="W127" s="403">
        <v>60845384.929999992</v>
      </c>
      <c r="X127" s="390"/>
      <c r="Y127" s="380">
        <v>2950</v>
      </c>
      <c r="Z127" s="448">
        <v>18282455.539999999</v>
      </c>
      <c r="AA127" s="448">
        <v>43512472.299999997</v>
      </c>
      <c r="AB127" s="403">
        <v>61794927.839999996</v>
      </c>
      <c r="AC127" s="390"/>
      <c r="AD127" s="457">
        <v>2867</v>
      </c>
      <c r="AE127" s="448"/>
      <c r="AF127" s="448"/>
    </row>
    <row r="128" spans="1:32" ht="14.5">
      <c r="A128" s="380" t="s">
        <v>442</v>
      </c>
      <c r="B128" s="380" t="s">
        <v>196</v>
      </c>
      <c r="C128" s="389" t="s">
        <v>443</v>
      </c>
      <c r="E128" s="381">
        <v>342</v>
      </c>
      <c r="F128" s="381">
        <v>293637.83</v>
      </c>
      <c r="G128" s="381">
        <v>3042079.35</v>
      </c>
      <c r="H128" s="381">
        <v>3335717.18</v>
      </c>
      <c r="I128" s="390"/>
      <c r="J128" s="380">
        <v>366</v>
      </c>
      <c r="K128" s="381">
        <v>0</v>
      </c>
      <c r="L128" s="381">
        <v>3896660.23</v>
      </c>
      <c r="M128" s="381">
        <v>3896660.23</v>
      </c>
      <c r="N128" s="390"/>
      <c r="O128" s="380">
        <v>407</v>
      </c>
      <c r="P128" s="381">
        <v>0</v>
      </c>
      <c r="Q128" s="381">
        <v>4777121.9000000004</v>
      </c>
      <c r="R128" s="381">
        <v>4777121.9000000004</v>
      </c>
      <c r="S128" s="390"/>
      <c r="T128" s="380">
        <v>383</v>
      </c>
      <c r="U128" s="403">
        <v>0</v>
      </c>
      <c r="V128" s="403">
        <v>4869218.3099999996</v>
      </c>
      <c r="W128" s="403">
        <v>4869218.3099999996</v>
      </c>
      <c r="X128" s="390"/>
      <c r="Y128" s="380">
        <v>427</v>
      </c>
      <c r="Z128" s="448">
        <v>12420.97</v>
      </c>
      <c r="AA128" s="448">
        <v>5190605.59</v>
      </c>
      <c r="AB128" s="403">
        <v>5203026.5599999996</v>
      </c>
      <c r="AC128" s="390"/>
      <c r="AD128" s="457">
        <v>461</v>
      </c>
      <c r="AE128" s="448"/>
      <c r="AF128" s="448"/>
    </row>
    <row r="129" spans="1:32" ht="14.5">
      <c r="A129" s="380" t="s">
        <v>444</v>
      </c>
      <c r="B129" s="380" t="s">
        <v>193</v>
      </c>
      <c r="C129" s="389" t="s">
        <v>445</v>
      </c>
      <c r="E129" s="381">
        <v>8</v>
      </c>
      <c r="F129" s="381">
        <v>0</v>
      </c>
      <c r="G129" s="381">
        <v>57832.25</v>
      </c>
      <c r="H129" s="381">
        <v>57832.25</v>
      </c>
      <c r="I129" s="390"/>
      <c r="J129" s="380">
        <v>10</v>
      </c>
      <c r="K129" s="381">
        <v>0</v>
      </c>
      <c r="L129" s="381">
        <v>84840.38</v>
      </c>
      <c r="M129" s="381">
        <v>84840.38</v>
      </c>
      <c r="N129" s="390"/>
      <c r="O129" s="380">
        <v>9</v>
      </c>
      <c r="P129" s="381">
        <v>0</v>
      </c>
      <c r="Q129" s="381">
        <v>75408.52</v>
      </c>
      <c r="R129" s="381">
        <v>75408.52</v>
      </c>
      <c r="S129" s="390"/>
      <c r="T129" s="380">
        <v>8</v>
      </c>
      <c r="U129" s="403">
        <v>0</v>
      </c>
      <c r="V129" s="403">
        <v>107231.62</v>
      </c>
      <c r="W129" s="403">
        <v>107231.62</v>
      </c>
      <c r="X129" s="390"/>
      <c r="Y129" s="380">
        <v>8</v>
      </c>
      <c r="Z129" s="448">
        <v>0</v>
      </c>
      <c r="AA129" s="448">
        <v>107862.55</v>
      </c>
      <c r="AB129" s="403">
        <v>107862.55</v>
      </c>
      <c r="AC129" s="390"/>
      <c r="AD129" s="457">
        <v>7</v>
      </c>
      <c r="AE129" s="448"/>
      <c r="AF129" s="448"/>
    </row>
    <row r="130" spans="1:32" ht="14.5">
      <c r="A130" s="380" t="s">
        <v>446</v>
      </c>
      <c r="B130" s="380" t="s">
        <v>193</v>
      </c>
      <c r="C130" s="389" t="s">
        <v>447</v>
      </c>
      <c r="E130" s="381">
        <v>51</v>
      </c>
      <c r="F130" s="381">
        <v>90752.76</v>
      </c>
      <c r="G130" s="381">
        <v>397945.44</v>
      </c>
      <c r="H130" s="381">
        <v>488698.2</v>
      </c>
      <c r="I130" s="390"/>
      <c r="J130" s="380">
        <v>54</v>
      </c>
      <c r="K130" s="381">
        <v>24514.28</v>
      </c>
      <c r="L130" s="381">
        <v>523730.78</v>
      </c>
      <c r="M130" s="381">
        <v>548245.06000000006</v>
      </c>
      <c r="N130" s="390"/>
      <c r="O130" s="380">
        <v>71</v>
      </c>
      <c r="P130" s="381">
        <v>0</v>
      </c>
      <c r="Q130" s="381">
        <v>593652.18999999994</v>
      </c>
      <c r="R130" s="381">
        <v>593652.18999999994</v>
      </c>
      <c r="S130" s="390"/>
      <c r="T130" s="380">
        <v>63</v>
      </c>
      <c r="U130" s="403">
        <v>0</v>
      </c>
      <c r="V130" s="403">
        <v>583885.38</v>
      </c>
      <c r="W130" s="403">
        <v>583885.38</v>
      </c>
      <c r="X130" s="390"/>
      <c r="Y130" s="380">
        <v>67</v>
      </c>
      <c r="Z130" s="448">
        <v>0</v>
      </c>
      <c r="AA130" s="448">
        <v>665758.9</v>
      </c>
      <c r="AB130" s="403">
        <v>665758.9</v>
      </c>
      <c r="AC130" s="390"/>
      <c r="AD130" s="457">
        <v>66</v>
      </c>
      <c r="AE130" s="448"/>
      <c r="AF130" s="448"/>
    </row>
    <row r="131" spans="1:32" ht="14.5">
      <c r="A131" s="380" t="s">
        <v>448</v>
      </c>
      <c r="B131" s="380" t="s">
        <v>193</v>
      </c>
      <c r="C131" s="389" t="s">
        <v>449</v>
      </c>
      <c r="E131" s="381">
        <v>25</v>
      </c>
      <c r="F131" s="381">
        <v>0</v>
      </c>
      <c r="G131" s="381">
        <v>160055.96</v>
      </c>
      <c r="H131" s="381">
        <v>160055.96</v>
      </c>
      <c r="I131" s="390"/>
      <c r="J131" s="380">
        <v>32</v>
      </c>
      <c r="K131" s="381">
        <v>0</v>
      </c>
      <c r="L131" s="381">
        <v>260097.55</v>
      </c>
      <c r="M131" s="381">
        <v>260097.55</v>
      </c>
      <c r="N131" s="390"/>
      <c r="O131" s="380">
        <v>26</v>
      </c>
      <c r="P131" s="381">
        <v>0</v>
      </c>
      <c r="Q131" s="381">
        <v>274894.51</v>
      </c>
      <c r="R131" s="381">
        <v>274894.51</v>
      </c>
      <c r="S131" s="390"/>
      <c r="T131" s="380">
        <v>21</v>
      </c>
      <c r="U131" s="403">
        <v>0</v>
      </c>
      <c r="V131" s="403">
        <v>218222.54</v>
      </c>
      <c r="W131" s="403">
        <v>218222.54</v>
      </c>
      <c r="X131" s="390"/>
      <c r="Y131" s="380">
        <v>19</v>
      </c>
      <c r="Z131" s="448">
        <v>0</v>
      </c>
      <c r="AA131" s="448">
        <v>245895.23</v>
      </c>
      <c r="AB131" s="403">
        <v>245895.23</v>
      </c>
      <c r="AC131" s="390"/>
      <c r="AD131" s="457">
        <v>25</v>
      </c>
      <c r="AE131" s="448"/>
      <c r="AF131" s="448"/>
    </row>
    <row r="132" spans="1:32" ht="14.5">
      <c r="A132" s="380" t="s">
        <v>450</v>
      </c>
      <c r="B132" s="380" t="s">
        <v>209</v>
      </c>
      <c r="C132" s="389" t="s">
        <v>451</v>
      </c>
      <c r="E132" s="381">
        <v>1111</v>
      </c>
      <c r="F132" s="381">
        <v>2155095.0499999998</v>
      </c>
      <c r="G132" s="381">
        <v>8643623.4800000004</v>
      </c>
      <c r="H132" s="381">
        <v>10798718.530000001</v>
      </c>
      <c r="I132" s="390"/>
      <c r="J132" s="380">
        <v>1147</v>
      </c>
      <c r="K132" s="381">
        <v>1162112.45</v>
      </c>
      <c r="L132" s="381">
        <v>10944586.359999999</v>
      </c>
      <c r="M132" s="381">
        <v>12106698.809999999</v>
      </c>
      <c r="N132" s="390"/>
      <c r="O132" s="380">
        <v>1155</v>
      </c>
      <c r="P132" s="381">
        <v>796109.94</v>
      </c>
      <c r="Q132" s="381">
        <v>12141753.859999999</v>
      </c>
      <c r="R132" s="381">
        <v>12937863.799999999</v>
      </c>
      <c r="S132" s="390"/>
      <c r="T132" s="380">
        <v>1116</v>
      </c>
      <c r="U132" s="403">
        <v>797084.6</v>
      </c>
      <c r="V132" s="403">
        <v>11700477.48</v>
      </c>
      <c r="W132" s="403">
        <v>12497562.08</v>
      </c>
      <c r="X132" s="390"/>
      <c r="Y132" s="380">
        <v>1085</v>
      </c>
      <c r="Z132" s="448">
        <v>1383615.22</v>
      </c>
      <c r="AA132" s="448">
        <v>11486543.01</v>
      </c>
      <c r="AB132" s="403">
        <v>12870158.23</v>
      </c>
      <c r="AC132" s="390"/>
      <c r="AD132" s="457">
        <v>1196</v>
      </c>
      <c r="AE132" s="448"/>
      <c r="AF132" s="448"/>
    </row>
    <row r="133" spans="1:32" ht="14.5">
      <c r="A133" s="380" t="s">
        <v>452</v>
      </c>
      <c r="B133" s="380" t="s">
        <v>193</v>
      </c>
      <c r="C133" s="389" t="s">
        <v>453</v>
      </c>
      <c r="E133" s="381">
        <v>15</v>
      </c>
      <c r="F133" s="381">
        <v>0</v>
      </c>
      <c r="G133" s="381">
        <v>166141.98000000001</v>
      </c>
      <c r="H133" s="381">
        <v>166141.98000000001</v>
      </c>
      <c r="I133" s="390"/>
      <c r="J133" s="380">
        <v>19</v>
      </c>
      <c r="K133" s="381">
        <v>42624.86</v>
      </c>
      <c r="L133" s="381">
        <v>133246.87</v>
      </c>
      <c r="M133" s="381">
        <v>175871.72999999998</v>
      </c>
      <c r="N133" s="390"/>
      <c r="O133" s="380">
        <v>13</v>
      </c>
      <c r="P133" s="381">
        <v>63143.54</v>
      </c>
      <c r="Q133" s="381">
        <v>120283.9</v>
      </c>
      <c r="R133" s="381">
        <v>183427.44</v>
      </c>
      <c r="S133" s="390"/>
      <c r="T133" s="380">
        <v>11</v>
      </c>
      <c r="U133" s="403">
        <v>0</v>
      </c>
      <c r="V133" s="403">
        <v>210160.43</v>
      </c>
      <c r="W133" s="403">
        <v>210160.43</v>
      </c>
      <c r="X133" s="390"/>
      <c r="Y133" s="380">
        <v>18</v>
      </c>
      <c r="Z133" s="448">
        <v>0</v>
      </c>
      <c r="AA133" s="448">
        <v>265588.53999999998</v>
      </c>
      <c r="AB133" s="403">
        <v>265588.53999999998</v>
      </c>
      <c r="AC133" s="390"/>
      <c r="AD133" s="457">
        <v>15</v>
      </c>
      <c r="AE133" s="448"/>
      <c r="AF133" s="448"/>
    </row>
    <row r="134" spans="1:32" ht="14.5">
      <c r="A134" s="380" t="s">
        <v>454</v>
      </c>
      <c r="B134" s="380" t="s">
        <v>196</v>
      </c>
      <c r="C134" s="389" t="s">
        <v>455</v>
      </c>
      <c r="E134" s="381">
        <v>48</v>
      </c>
      <c r="F134" s="381">
        <v>1500</v>
      </c>
      <c r="G134" s="381">
        <v>306198.01</v>
      </c>
      <c r="H134" s="381">
        <v>307698.01</v>
      </c>
      <c r="I134" s="390"/>
      <c r="J134" s="380">
        <v>50</v>
      </c>
      <c r="K134" s="381">
        <v>150422.23000000001</v>
      </c>
      <c r="L134" s="381">
        <v>380526.69</v>
      </c>
      <c r="M134" s="381">
        <v>530948.92000000004</v>
      </c>
      <c r="N134" s="390"/>
      <c r="O134" s="380">
        <v>46</v>
      </c>
      <c r="P134" s="381">
        <v>0</v>
      </c>
      <c r="Q134" s="381">
        <v>775130.16</v>
      </c>
      <c r="R134" s="381">
        <v>775130.16</v>
      </c>
      <c r="S134" s="390"/>
      <c r="T134" s="380">
        <v>40</v>
      </c>
      <c r="U134" s="403">
        <v>0</v>
      </c>
      <c r="V134" s="403">
        <v>642169.52</v>
      </c>
      <c r="W134" s="403">
        <v>642169.52</v>
      </c>
      <c r="X134" s="390"/>
      <c r="Y134" s="380">
        <v>45</v>
      </c>
      <c r="Z134" s="448">
        <v>0</v>
      </c>
      <c r="AA134" s="448">
        <v>722190.53</v>
      </c>
      <c r="AB134" s="403">
        <v>722190.53</v>
      </c>
      <c r="AC134" s="390"/>
      <c r="AD134" s="457">
        <v>52</v>
      </c>
      <c r="AE134" s="448"/>
      <c r="AF134" s="448"/>
    </row>
    <row r="135" spans="1:32" ht="14.5">
      <c r="A135" s="380" t="s">
        <v>456</v>
      </c>
      <c r="C135" s="389" t="s">
        <v>1261</v>
      </c>
      <c r="E135" s="381">
        <v>0</v>
      </c>
      <c r="F135" s="381">
        <v>0</v>
      </c>
      <c r="G135" s="381">
        <v>0</v>
      </c>
      <c r="H135" s="381">
        <v>0</v>
      </c>
      <c r="I135" s="390"/>
      <c r="J135" s="380">
        <v>0</v>
      </c>
      <c r="K135" s="381">
        <v>0</v>
      </c>
      <c r="L135" s="381">
        <v>0</v>
      </c>
      <c r="M135" s="381">
        <v>0</v>
      </c>
      <c r="N135" s="390"/>
      <c r="O135" s="380">
        <v>0</v>
      </c>
      <c r="P135" s="381">
        <v>0</v>
      </c>
      <c r="Q135" s="381">
        <v>0</v>
      </c>
      <c r="R135" s="381">
        <v>0</v>
      </c>
      <c r="S135" s="390"/>
      <c r="T135" s="380">
        <v>7</v>
      </c>
      <c r="U135" s="403">
        <v>0</v>
      </c>
      <c r="V135" s="403">
        <v>84705.29</v>
      </c>
      <c r="W135" s="403">
        <v>84705.29</v>
      </c>
      <c r="X135" s="390"/>
      <c r="Y135" s="380">
        <v>7</v>
      </c>
      <c r="Z135" s="448">
        <v>9600</v>
      </c>
      <c r="AA135" s="448">
        <v>75088.27</v>
      </c>
      <c r="AB135" s="403">
        <v>84688.27</v>
      </c>
      <c r="AC135" s="390"/>
      <c r="AD135" s="457">
        <v>9</v>
      </c>
      <c r="AE135" s="448"/>
      <c r="AF135" s="448"/>
    </row>
    <row r="136" spans="1:32" ht="14.5">
      <c r="A136" s="380" t="s">
        <v>457</v>
      </c>
      <c r="B136" s="380" t="s">
        <v>209</v>
      </c>
      <c r="C136" s="389" t="s">
        <v>458</v>
      </c>
      <c r="D136" s="380" t="s">
        <v>818</v>
      </c>
      <c r="E136" s="381">
        <v>31</v>
      </c>
      <c r="F136" s="381">
        <v>0</v>
      </c>
      <c r="G136" s="381">
        <v>237955.77</v>
      </c>
      <c r="H136" s="381">
        <v>237955.77</v>
      </c>
      <c r="I136" s="390"/>
      <c r="J136" s="380">
        <v>37</v>
      </c>
      <c r="K136" s="381">
        <v>0</v>
      </c>
      <c r="L136" s="381">
        <v>313985.71999999997</v>
      </c>
      <c r="M136" s="381">
        <v>313985.71999999997</v>
      </c>
      <c r="N136" s="390"/>
      <c r="O136" s="380">
        <v>37</v>
      </c>
      <c r="P136" s="381">
        <v>0</v>
      </c>
      <c r="Q136" s="381">
        <v>322509.59000000003</v>
      </c>
      <c r="R136" s="381">
        <v>322509.59000000003</v>
      </c>
      <c r="S136" s="390"/>
      <c r="T136" s="380">
        <v>0</v>
      </c>
      <c r="U136" s="403">
        <v>0</v>
      </c>
      <c r="V136" s="403">
        <v>0</v>
      </c>
      <c r="W136" s="403">
        <v>0</v>
      </c>
      <c r="X136" s="390"/>
      <c r="Y136" s="380">
        <v>43</v>
      </c>
      <c r="Z136" s="448">
        <v>0</v>
      </c>
      <c r="AA136" s="448">
        <v>394620.45</v>
      </c>
      <c r="AB136" s="403">
        <v>394620.45</v>
      </c>
      <c r="AC136" s="390"/>
      <c r="AD136" s="457">
        <v>39</v>
      </c>
      <c r="AE136" s="448"/>
      <c r="AF136" s="448"/>
    </row>
    <row r="137" spans="1:32" ht="14.5">
      <c r="A137" s="380" t="s">
        <v>459</v>
      </c>
      <c r="B137" s="380" t="s">
        <v>196</v>
      </c>
      <c r="C137" s="389" t="s">
        <v>460</v>
      </c>
      <c r="E137" s="381">
        <v>501</v>
      </c>
      <c r="F137" s="381">
        <v>24997.48</v>
      </c>
      <c r="G137" s="381">
        <v>5180533.1399999997</v>
      </c>
      <c r="H137" s="381">
        <v>5205530.62</v>
      </c>
      <c r="I137" s="390"/>
      <c r="J137" s="380">
        <v>534</v>
      </c>
      <c r="K137" s="381">
        <v>546335.5</v>
      </c>
      <c r="L137" s="381">
        <v>5324745.46</v>
      </c>
      <c r="M137" s="381">
        <v>5871080.96</v>
      </c>
      <c r="N137" s="390"/>
      <c r="O137" s="380">
        <v>558</v>
      </c>
      <c r="P137" s="381">
        <v>593697.55000000005</v>
      </c>
      <c r="Q137" s="381">
        <v>6259997.8499999996</v>
      </c>
      <c r="R137" s="381">
        <v>6853695.3999999994</v>
      </c>
      <c r="S137" s="390"/>
      <c r="T137" s="380">
        <v>489</v>
      </c>
      <c r="U137" s="403">
        <v>420060</v>
      </c>
      <c r="V137" s="403">
        <v>6848145.7000000002</v>
      </c>
      <c r="W137" s="403">
        <v>7268205.7000000002</v>
      </c>
      <c r="X137" s="390"/>
      <c r="Y137" s="380">
        <v>500</v>
      </c>
      <c r="Z137" s="448">
        <v>500000</v>
      </c>
      <c r="AA137" s="448">
        <v>6696496.3499999996</v>
      </c>
      <c r="AB137" s="403">
        <v>7196496.3499999996</v>
      </c>
      <c r="AC137" s="390"/>
      <c r="AD137" s="457">
        <v>521</v>
      </c>
      <c r="AE137" s="448"/>
      <c r="AF137" s="448"/>
    </row>
    <row r="138" spans="1:32" ht="14.5">
      <c r="A138" s="380" t="s">
        <v>461</v>
      </c>
      <c r="B138" s="380" t="s">
        <v>220</v>
      </c>
      <c r="C138" s="389" t="s">
        <v>462</v>
      </c>
      <c r="E138" s="381">
        <v>94</v>
      </c>
      <c r="F138" s="381">
        <v>0</v>
      </c>
      <c r="G138" s="381">
        <v>901051.04</v>
      </c>
      <c r="H138" s="381">
        <v>901051.04</v>
      </c>
      <c r="I138" s="390"/>
      <c r="J138" s="380">
        <v>84</v>
      </c>
      <c r="K138" s="381">
        <v>0</v>
      </c>
      <c r="L138" s="381">
        <v>919261.29</v>
      </c>
      <c r="M138" s="381">
        <v>919261.29</v>
      </c>
      <c r="N138" s="390"/>
      <c r="O138" s="380">
        <v>99</v>
      </c>
      <c r="P138" s="381">
        <v>0</v>
      </c>
      <c r="Q138" s="381">
        <v>983612.71</v>
      </c>
      <c r="R138" s="381">
        <v>983612.71</v>
      </c>
      <c r="S138" s="390"/>
      <c r="T138" s="380">
        <v>94</v>
      </c>
      <c r="U138" s="403">
        <v>0</v>
      </c>
      <c r="V138" s="403">
        <v>964019.18</v>
      </c>
      <c r="W138" s="403">
        <v>964019.18</v>
      </c>
      <c r="X138" s="390"/>
      <c r="Y138" s="380">
        <v>88</v>
      </c>
      <c r="Z138" s="448">
        <v>0</v>
      </c>
      <c r="AA138" s="448">
        <v>834437.66</v>
      </c>
      <c r="AB138" s="403">
        <v>834437.66</v>
      </c>
      <c r="AC138" s="390"/>
      <c r="AD138" s="457">
        <v>82</v>
      </c>
      <c r="AE138" s="448"/>
      <c r="AF138" s="448"/>
    </row>
    <row r="139" spans="1:32" ht="14.5">
      <c r="A139" s="380" t="s">
        <v>463</v>
      </c>
      <c r="B139" s="380" t="s">
        <v>230</v>
      </c>
      <c r="C139" s="389" t="s">
        <v>464</v>
      </c>
      <c r="E139" s="381">
        <v>15</v>
      </c>
      <c r="F139" s="381">
        <v>23208.49</v>
      </c>
      <c r="G139" s="381">
        <v>72267</v>
      </c>
      <c r="H139" s="381">
        <v>95475.49</v>
      </c>
      <c r="I139" s="390"/>
      <c r="J139" s="380">
        <v>14</v>
      </c>
      <c r="K139" s="381">
        <v>3743.93</v>
      </c>
      <c r="L139" s="381">
        <v>105996.04</v>
      </c>
      <c r="M139" s="381">
        <v>109739.96999999999</v>
      </c>
      <c r="N139" s="390"/>
      <c r="O139" s="380">
        <v>12</v>
      </c>
      <c r="P139" s="381">
        <v>17751.3</v>
      </c>
      <c r="Q139" s="381">
        <v>103778.7</v>
      </c>
      <c r="R139" s="381">
        <v>121530</v>
      </c>
      <c r="S139" s="390"/>
      <c r="T139" s="380">
        <v>12</v>
      </c>
      <c r="U139" s="403">
        <v>0</v>
      </c>
      <c r="V139" s="403">
        <v>102490.89</v>
      </c>
      <c r="W139" s="403">
        <v>102490.89</v>
      </c>
      <c r="X139" s="390"/>
      <c r="Y139" s="380">
        <v>10</v>
      </c>
      <c r="Z139" s="448">
        <v>17498.89</v>
      </c>
      <c r="AA139" s="448">
        <v>93611.37</v>
      </c>
      <c r="AB139" s="403">
        <v>111110.26</v>
      </c>
      <c r="AC139" s="390"/>
      <c r="AD139" s="457">
        <v>10</v>
      </c>
      <c r="AE139" s="448"/>
      <c r="AF139" s="448"/>
    </row>
    <row r="140" spans="1:32" ht="14.5">
      <c r="A140" s="380" t="s">
        <v>465</v>
      </c>
      <c r="B140" s="380" t="s">
        <v>230</v>
      </c>
      <c r="C140" s="389" t="s">
        <v>466</v>
      </c>
      <c r="E140" s="381">
        <v>81</v>
      </c>
      <c r="F140" s="381">
        <v>8345</v>
      </c>
      <c r="G140" s="381">
        <v>601689</v>
      </c>
      <c r="H140" s="381">
        <v>610034</v>
      </c>
      <c r="I140" s="390"/>
      <c r="J140" s="380">
        <v>81</v>
      </c>
      <c r="K140" s="381">
        <v>11000</v>
      </c>
      <c r="L140" s="381">
        <v>675699.9</v>
      </c>
      <c r="M140" s="381">
        <v>686699.9</v>
      </c>
      <c r="N140" s="390"/>
      <c r="O140" s="380">
        <v>82</v>
      </c>
      <c r="P140" s="381">
        <v>0</v>
      </c>
      <c r="Q140" s="381">
        <v>750822.66</v>
      </c>
      <c r="R140" s="381">
        <v>750822.66</v>
      </c>
      <c r="S140" s="390"/>
      <c r="T140" s="380">
        <v>84</v>
      </c>
      <c r="U140" s="403">
        <v>14741.86</v>
      </c>
      <c r="V140" s="403">
        <v>801456.34</v>
      </c>
      <c r="W140" s="403">
        <v>816198.2</v>
      </c>
      <c r="X140" s="390"/>
      <c r="Y140" s="380">
        <v>76</v>
      </c>
      <c r="Z140" s="448">
        <v>59016.43</v>
      </c>
      <c r="AA140" s="448">
        <v>772722.92</v>
      </c>
      <c r="AB140" s="403">
        <v>831739.35000000009</v>
      </c>
      <c r="AC140" s="390"/>
      <c r="AD140" s="457">
        <v>84</v>
      </c>
      <c r="AE140" s="448"/>
      <c r="AF140" s="448"/>
    </row>
    <row r="141" spans="1:32" ht="14.5">
      <c r="A141" s="380" t="s">
        <v>467</v>
      </c>
      <c r="B141" s="380" t="s">
        <v>188</v>
      </c>
      <c r="C141" s="389" t="s">
        <v>1198</v>
      </c>
      <c r="E141" s="381">
        <v>144</v>
      </c>
      <c r="F141" s="381">
        <v>64960.55</v>
      </c>
      <c r="G141" s="381">
        <v>1064969.06</v>
      </c>
      <c r="H141" s="381">
        <v>1129929.6100000001</v>
      </c>
      <c r="I141" s="390"/>
      <c r="J141" s="380">
        <v>246</v>
      </c>
      <c r="K141" s="381">
        <v>0</v>
      </c>
      <c r="L141" s="381">
        <v>1989408.47</v>
      </c>
      <c r="M141" s="381">
        <v>1989408.47</v>
      </c>
      <c r="N141" s="390"/>
      <c r="O141" s="380">
        <v>277</v>
      </c>
      <c r="P141" s="381">
        <v>0</v>
      </c>
      <c r="Q141" s="381">
        <v>2287396.6</v>
      </c>
      <c r="R141" s="381">
        <v>2287396.6</v>
      </c>
      <c r="S141" s="390"/>
      <c r="T141" s="380">
        <v>310</v>
      </c>
      <c r="U141" s="403">
        <v>0</v>
      </c>
      <c r="V141" s="403">
        <v>2774889.7</v>
      </c>
      <c r="W141" s="403">
        <v>2774889.7</v>
      </c>
      <c r="X141" s="390"/>
      <c r="Y141" s="380">
        <v>245</v>
      </c>
      <c r="Z141" s="448">
        <v>0</v>
      </c>
      <c r="AA141" s="448">
        <v>1707691.13</v>
      </c>
      <c r="AB141" s="403">
        <v>1707691.13</v>
      </c>
      <c r="AC141" s="390"/>
      <c r="AD141" s="457">
        <v>168</v>
      </c>
      <c r="AE141" s="448"/>
      <c r="AF141" s="448"/>
    </row>
    <row r="142" spans="1:32" ht="14.5">
      <c r="A142" s="380" t="s">
        <v>469</v>
      </c>
      <c r="B142" s="380" t="s">
        <v>193</v>
      </c>
      <c r="C142" s="389" t="s">
        <v>470</v>
      </c>
      <c r="E142" s="381">
        <v>71</v>
      </c>
      <c r="F142" s="381">
        <v>9610.3799999999992</v>
      </c>
      <c r="G142" s="381">
        <v>466187.56</v>
      </c>
      <c r="H142" s="381">
        <v>475797.94</v>
      </c>
      <c r="I142" s="390"/>
      <c r="J142" s="380">
        <v>67</v>
      </c>
      <c r="K142" s="381">
        <v>0</v>
      </c>
      <c r="L142" s="381">
        <v>449919.81</v>
      </c>
      <c r="M142" s="381">
        <v>449919.81</v>
      </c>
      <c r="N142" s="390"/>
      <c r="O142" s="380">
        <v>77</v>
      </c>
      <c r="P142" s="381">
        <v>0</v>
      </c>
      <c r="Q142" s="381">
        <v>630322.47</v>
      </c>
      <c r="R142" s="381">
        <v>630322.47</v>
      </c>
      <c r="S142" s="390"/>
      <c r="T142" s="380">
        <v>79</v>
      </c>
      <c r="U142" s="403">
        <v>700</v>
      </c>
      <c r="V142" s="403">
        <v>520563.03</v>
      </c>
      <c r="W142" s="403">
        <v>521263.03</v>
      </c>
      <c r="X142" s="390"/>
      <c r="Y142" s="380">
        <v>72</v>
      </c>
      <c r="Z142" s="448">
        <v>700</v>
      </c>
      <c r="AA142" s="448">
        <v>526084.93999999994</v>
      </c>
      <c r="AB142" s="403">
        <v>526784.93999999994</v>
      </c>
      <c r="AC142" s="390"/>
      <c r="AD142" s="457">
        <v>80</v>
      </c>
      <c r="AE142" s="448"/>
      <c r="AF142" s="448"/>
    </row>
    <row r="143" spans="1:32" ht="14.5">
      <c r="A143" s="380" t="s">
        <v>471</v>
      </c>
      <c r="B143" s="380" t="s">
        <v>196</v>
      </c>
      <c r="C143" s="389" t="s">
        <v>472</v>
      </c>
      <c r="E143" s="381">
        <v>1625</v>
      </c>
      <c r="F143" s="381">
        <v>0</v>
      </c>
      <c r="G143" s="381">
        <v>17249744.670000002</v>
      </c>
      <c r="H143" s="381">
        <v>17249744.670000002</v>
      </c>
      <c r="I143" s="390"/>
      <c r="J143" s="380">
        <v>1705</v>
      </c>
      <c r="K143" s="381">
        <v>0</v>
      </c>
      <c r="L143" s="381">
        <v>19592536.539999999</v>
      </c>
      <c r="M143" s="381">
        <v>19592536.539999999</v>
      </c>
      <c r="N143" s="390"/>
      <c r="O143" s="380">
        <v>1776</v>
      </c>
      <c r="P143" s="381">
        <v>0</v>
      </c>
      <c r="Q143" s="381">
        <v>22504973.34</v>
      </c>
      <c r="R143" s="381">
        <v>22504973.34</v>
      </c>
      <c r="S143" s="390"/>
      <c r="T143" s="380">
        <v>1712</v>
      </c>
      <c r="U143" s="403">
        <v>0</v>
      </c>
      <c r="V143" s="403">
        <v>24185096.239999998</v>
      </c>
      <c r="W143" s="403">
        <v>24185096.239999998</v>
      </c>
      <c r="X143" s="390"/>
      <c r="Y143" s="380">
        <v>1640</v>
      </c>
      <c r="Z143" s="448">
        <v>0</v>
      </c>
      <c r="AA143" s="448">
        <v>25578647.300000001</v>
      </c>
      <c r="AB143" s="403">
        <v>25578647.300000001</v>
      </c>
      <c r="AC143" s="390"/>
      <c r="AD143" s="457">
        <v>1674</v>
      </c>
      <c r="AE143" s="448"/>
      <c r="AF143" s="448"/>
    </row>
    <row r="144" spans="1:32" ht="14.5">
      <c r="A144" s="380" t="s">
        <v>473</v>
      </c>
      <c r="B144" s="380" t="s">
        <v>188</v>
      </c>
      <c r="C144" s="389" t="s">
        <v>1199</v>
      </c>
      <c r="E144" s="381">
        <v>47</v>
      </c>
      <c r="F144" s="381">
        <v>0</v>
      </c>
      <c r="G144" s="381">
        <v>602837.23</v>
      </c>
      <c r="H144" s="381">
        <v>602837.23</v>
      </c>
      <c r="I144" s="390"/>
      <c r="J144" s="380">
        <v>45</v>
      </c>
      <c r="K144" s="381">
        <v>1221.31</v>
      </c>
      <c r="L144" s="381">
        <v>500082.35</v>
      </c>
      <c r="M144" s="381">
        <v>501303.66</v>
      </c>
      <c r="N144" s="390"/>
      <c r="O144" s="380">
        <v>74</v>
      </c>
      <c r="P144" s="381">
        <v>0</v>
      </c>
      <c r="Q144" s="381">
        <v>675594.49</v>
      </c>
      <c r="R144" s="381">
        <v>675594.49</v>
      </c>
      <c r="S144" s="390"/>
      <c r="T144" s="380">
        <v>71</v>
      </c>
      <c r="U144" s="403">
        <v>0</v>
      </c>
      <c r="V144" s="403">
        <v>654811.34</v>
      </c>
      <c r="W144" s="403">
        <v>654811.34</v>
      </c>
      <c r="X144" s="390"/>
      <c r="Y144" s="380">
        <v>66</v>
      </c>
      <c r="Z144" s="448">
        <v>0</v>
      </c>
      <c r="AA144" s="448">
        <v>737918.47</v>
      </c>
      <c r="AB144" s="403">
        <v>737918.47</v>
      </c>
      <c r="AC144" s="390"/>
      <c r="AD144" s="457">
        <v>60</v>
      </c>
      <c r="AE144" s="448"/>
      <c r="AF144" s="448"/>
    </row>
    <row r="145" spans="1:32" ht="14.5">
      <c r="A145" s="380" t="s">
        <v>475</v>
      </c>
      <c r="B145" s="380" t="s">
        <v>193</v>
      </c>
      <c r="C145" s="389" t="s">
        <v>476</v>
      </c>
      <c r="E145" s="381">
        <v>1315</v>
      </c>
      <c r="F145" s="381">
        <v>1770858.54</v>
      </c>
      <c r="G145" s="381">
        <v>11539887.68</v>
      </c>
      <c r="H145" s="381">
        <v>13310746.219999999</v>
      </c>
      <c r="I145" s="390"/>
      <c r="J145" s="380">
        <v>1380</v>
      </c>
      <c r="K145" s="381">
        <v>1429672.13</v>
      </c>
      <c r="L145" s="381">
        <v>14547317.140000001</v>
      </c>
      <c r="M145" s="381">
        <v>15976989.27</v>
      </c>
      <c r="N145" s="390"/>
      <c r="O145" s="380">
        <v>1426</v>
      </c>
      <c r="P145" s="381">
        <v>424386</v>
      </c>
      <c r="Q145" s="381">
        <v>15741357.15</v>
      </c>
      <c r="R145" s="381">
        <v>16165743.15</v>
      </c>
      <c r="S145" s="390"/>
      <c r="T145" s="380">
        <v>1348</v>
      </c>
      <c r="U145" s="403">
        <v>510840.32000000001</v>
      </c>
      <c r="V145" s="403">
        <v>15752938.619999999</v>
      </c>
      <c r="W145" s="403">
        <v>16263778.939999999</v>
      </c>
      <c r="X145" s="390"/>
      <c r="Y145" s="380">
        <v>1433</v>
      </c>
      <c r="Z145" s="448">
        <v>306210.32</v>
      </c>
      <c r="AA145" s="448">
        <v>17747522.149999999</v>
      </c>
      <c r="AB145" s="403">
        <v>18053732.469999999</v>
      </c>
      <c r="AC145" s="390"/>
      <c r="AD145" s="457">
        <v>1501</v>
      </c>
      <c r="AE145" s="448"/>
      <c r="AF145" s="448"/>
    </row>
    <row r="146" spans="1:32" ht="14.5">
      <c r="A146" s="380" t="s">
        <v>477</v>
      </c>
      <c r="B146" s="380" t="s">
        <v>193</v>
      </c>
      <c r="C146" s="389" t="s">
        <v>478</v>
      </c>
      <c r="E146" s="381">
        <v>232</v>
      </c>
      <c r="F146" s="381">
        <v>0</v>
      </c>
      <c r="G146" s="381">
        <v>1888012.18</v>
      </c>
      <c r="H146" s="381">
        <v>1888012.18</v>
      </c>
      <c r="I146" s="390"/>
      <c r="J146" s="380">
        <v>223</v>
      </c>
      <c r="K146" s="381">
        <v>188435.95</v>
      </c>
      <c r="L146" s="381">
        <v>2184184.85</v>
      </c>
      <c r="M146" s="381">
        <v>2372620.8000000003</v>
      </c>
      <c r="N146" s="390"/>
      <c r="O146" s="380">
        <v>233</v>
      </c>
      <c r="P146" s="381">
        <v>0</v>
      </c>
      <c r="Q146" s="381">
        <v>2550131.86</v>
      </c>
      <c r="R146" s="381">
        <v>2550131.86</v>
      </c>
      <c r="S146" s="390"/>
      <c r="T146" s="380">
        <v>218</v>
      </c>
      <c r="U146" s="403">
        <v>0</v>
      </c>
      <c r="V146" s="403">
        <v>2546085.09</v>
      </c>
      <c r="W146" s="403">
        <v>2546085.09</v>
      </c>
      <c r="X146" s="390"/>
      <c r="Y146" s="380">
        <v>255</v>
      </c>
      <c r="Z146" s="448">
        <v>0</v>
      </c>
      <c r="AA146" s="448">
        <v>2656672.02</v>
      </c>
      <c r="AB146" s="403">
        <v>2656672.02</v>
      </c>
      <c r="AC146" s="390"/>
      <c r="AD146" s="457">
        <v>250</v>
      </c>
      <c r="AE146" s="448"/>
      <c r="AF146" s="448"/>
    </row>
    <row r="147" spans="1:32" ht="14.5">
      <c r="A147" s="380" t="s">
        <v>479</v>
      </c>
      <c r="B147" s="380" t="s">
        <v>204</v>
      </c>
      <c r="C147" s="389" t="s">
        <v>480</v>
      </c>
      <c r="E147" s="381">
        <v>406</v>
      </c>
      <c r="F147" s="381">
        <v>2694465.93</v>
      </c>
      <c r="G147" s="381">
        <v>4179346.95</v>
      </c>
      <c r="H147" s="381">
        <v>6873812.8800000008</v>
      </c>
      <c r="I147" s="390"/>
      <c r="J147" s="380">
        <v>426</v>
      </c>
      <c r="K147" s="381">
        <v>2841888.95</v>
      </c>
      <c r="L147" s="381">
        <v>5166526.4800000004</v>
      </c>
      <c r="M147" s="381">
        <v>8008415.4300000006</v>
      </c>
      <c r="N147" s="390"/>
      <c r="O147" s="380">
        <v>438</v>
      </c>
      <c r="P147" s="381">
        <v>3414061.92</v>
      </c>
      <c r="Q147" s="381">
        <v>5452778.5599999996</v>
      </c>
      <c r="R147" s="381">
        <v>8866840.4800000004</v>
      </c>
      <c r="S147" s="390"/>
      <c r="T147" s="380">
        <v>420</v>
      </c>
      <c r="U147" s="403">
        <v>3070846.16</v>
      </c>
      <c r="V147" s="403">
        <v>6607648.9199999999</v>
      </c>
      <c r="W147" s="403">
        <v>9678495.0800000001</v>
      </c>
      <c r="X147" s="390"/>
      <c r="Y147" s="380">
        <v>408</v>
      </c>
      <c r="Z147" s="448">
        <v>4310769.83</v>
      </c>
      <c r="AA147" s="448">
        <v>6107688.2199999997</v>
      </c>
      <c r="AB147" s="403">
        <v>10418458.050000001</v>
      </c>
      <c r="AC147" s="390"/>
      <c r="AD147" s="457">
        <v>437</v>
      </c>
      <c r="AE147" s="448"/>
      <c r="AF147" s="448"/>
    </row>
    <row r="148" spans="1:32" ht="14.5">
      <c r="A148" s="380" t="s">
        <v>481</v>
      </c>
      <c r="B148" s="380" t="s">
        <v>196</v>
      </c>
      <c r="C148" s="389" t="s">
        <v>482</v>
      </c>
      <c r="E148" s="381">
        <v>201</v>
      </c>
      <c r="F148" s="381">
        <v>0</v>
      </c>
      <c r="G148" s="381">
        <v>1985798.96</v>
      </c>
      <c r="H148" s="381">
        <v>1985798.96</v>
      </c>
      <c r="I148" s="390"/>
      <c r="J148" s="380">
        <v>198</v>
      </c>
      <c r="K148" s="381">
        <v>0</v>
      </c>
      <c r="L148" s="381">
        <v>2234976.9500000002</v>
      </c>
      <c r="M148" s="381">
        <v>2234976.9500000002</v>
      </c>
      <c r="N148" s="390"/>
      <c r="O148" s="380">
        <v>202</v>
      </c>
      <c r="P148" s="381">
        <v>0</v>
      </c>
      <c r="Q148" s="381">
        <v>2520018.25</v>
      </c>
      <c r="R148" s="381">
        <v>2520018.25</v>
      </c>
      <c r="S148" s="390"/>
      <c r="T148" s="380">
        <v>207</v>
      </c>
      <c r="U148" s="403">
        <v>0</v>
      </c>
      <c r="V148" s="403">
        <v>2729302.84</v>
      </c>
      <c r="W148" s="403">
        <v>2729302.84</v>
      </c>
      <c r="X148" s="390"/>
      <c r="Y148" s="380">
        <v>206</v>
      </c>
      <c r="Z148" s="448">
        <v>0</v>
      </c>
      <c r="AA148" s="448">
        <v>3120520.56</v>
      </c>
      <c r="AB148" s="403">
        <v>3120520.56</v>
      </c>
      <c r="AC148" s="390"/>
      <c r="AD148" s="457">
        <v>215</v>
      </c>
      <c r="AE148" s="448"/>
      <c r="AF148" s="448"/>
    </row>
    <row r="149" spans="1:32" ht="14.5">
      <c r="A149" s="380" t="s">
        <v>483</v>
      </c>
      <c r="B149" s="380" t="s">
        <v>230</v>
      </c>
      <c r="C149" s="389" t="s">
        <v>484</v>
      </c>
      <c r="D149" s="380" t="s">
        <v>818</v>
      </c>
      <c r="E149" s="381">
        <v>81</v>
      </c>
      <c r="F149" s="381">
        <v>0</v>
      </c>
      <c r="G149" s="381">
        <v>629708.82999999996</v>
      </c>
      <c r="H149" s="381">
        <v>629708.82999999996</v>
      </c>
      <c r="I149" s="390"/>
      <c r="J149" s="380">
        <v>79</v>
      </c>
      <c r="K149" s="381">
        <v>0</v>
      </c>
      <c r="L149" s="381">
        <v>694361.02</v>
      </c>
      <c r="M149" s="381">
        <v>694361.02</v>
      </c>
      <c r="N149" s="390"/>
      <c r="O149" s="380">
        <v>81</v>
      </c>
      <c r="P149" s="381">
        <v>0</v>
      </c>
      <c r="Q149" s="381">
        <v>747286.38</v>
      </c>
      <c r="R149" s="381">
        <v>747286.38</v>
      </c>
      <c r="S149" s="390"/>
      <c r="T149" s="380">
        <v>0</v>
      </c>
      <c r="U149" s="403">
        <v>0</v>
      </c>
      <c r="V149" s="403">
        <v>810324.99</v>
      </c>
      <c r="W149" s="403">
        <v>810324.99</v>
      </c>
      <c r="X149" s="390"/>
      <c r="Y149" s="380">
        <v>84</v>
      </c>
      <c r="Z149" s="448">
        <v>0</v>
      </c>
      <c r="AA149" s="448">
        <v>790090.73</v>
      </c>
      <c r="AB149" s="403">
        <v>790090.73</v>
      </c>
      <c r="AC149" s="390"/>
      <c r="AD149" s="457">
        <v>70</v>
      </c>
      <c r="AE149" s="448"/>
      <c r="AF149" s="448"/>
    </row>
    <row r="150" spans="1:32" ht="14.5">
      <c r="A150" s="380" t="s">
        <v>485</v>
      </c>
      <c r="B150" s="380" t="s">
        <v>209</v>
      </c>
      <c r="C150" s="389" t="s">
        <v>486</v>
      </c>
      <c r="D150" s="380" t="s">
        <v>818</v>
      </c>
      <c r="E150" s="381">
        <v>7</v>
      </c>
      <c r="F150" s="381">
        <v>0</v>
      </c>
      <c r="G150" s="381">
        <v>48940.42</v>
      </c>
      <c r="H150" s="381">
        <v>48940.42</v>
      </c>
      <c r="I150" s="390"/>
      <c r="J150" s="380">
        <v>10</v>
      </c>
      <c r="K150" s="381">
        <v>0</v>
      </c>
      <c r="L150" s="381">
        <v>78275.95</v>
      </c>
      <c r="M150" s="381">
        <v>78275.95</v>
      </c>
      <c r="N150" s="390"/>
      <c r="O150" s="380">
        <v>7</v>
      </c>
      <c r="P150" s="381">
        <v>0</v>
      </c>
      <c r="Q150" s="381">
        <v>54677.5</v>
      </c>
      <c r="R150" s="381">
        <v>54677.5</v>
      </c>
      <c r="S150" s="390"/>
      <c r="T150" s="380">
        <v>0</v>
      </c>
      <c r="U150" s="403">
        <v>0</v>
      </c>
      <c r="V150" s="403">
        <v>71452.929999999993</v>
      </c>
      <c r="W150" s="403">
        <v>71452.929999999993</v>
      </c>
      <c r="X150" s="390"/>
      <c r="Y150" s="380">
        <v>5</v>
      </c>
      <c r="Z150" s="448">
        <v>0</v>
      </c>
      <c r="AA150" s="448">
        <v>49519.17</v>
      </c>
      <c r="AB150" s="403">
        <v>49519.17</v>
      </c>
      <c r="AC150" s="390"/>
      <c r="AD150" s="457">
        <v>5</v>
      </c>
      <c r="AE150" s="448"/>
      <c r="AF150" s="448"/>
    </row>
    <row r="151" spans="1:32" ht="14.5">
      <c r="A151" s="380" t="s">
        <v>487</v>
      </c>
      <c r="B151" s="380" t="s">
        <v>196</v>
      </c>
      <c r="C151" s="389" t="s">
        <v>488</v>
      </c>
      <c r="E151" s="381">
        <v>784</v>
      </c>
      <c r="F151" s="381">
        <v>531033.44999999995</v>
      </c>
      <c r="G151" s="381">
        <v>7444892.8600000003</v>
      </c>
      <c r="H151" s="381">
        <v>7975926.3100000005</v>
      </c>
      <c r="I151" s="390"/>
      <c r="J151" s="380">
        <v>777</v>
      </c>
      <c r="K151" s="381">
        <v>977673.61</v>
      </c>
      <c r="L151" s="381">
        <v>8807665.9399999995</v>
      </c>
      <c r="M151" s="381">
        <v>9785339.5499999989</v>
      </c>
      <c r="N151" s="390"/>
      <c r="O151" s="380">
        <v>827</v>
      </c>
      <c r="P151" s="381">
        <v>387760.62</v>
      </c>
      <c r="Q151" s="381">
        <v>10120055.08</v>
      </c>
      <c r="R151" s="381">
        <v>10507815.699999999</v>
      </c>
      <c r="S151" s="390"/>
      <c r="T151" s="380">
        <v>743</v>
      </c>
      <c r="U151" s="403">
        <v>387890.37</v>
      </c>
      <c r="V151" s="403">
        <v>9879690.1600000001</v>
      </c>
      <c r="W151" s="403">
        <v>10267580.529999999</v>
      </c>
      <c r="X151" s="390"/>
      <c r="Y151" s="380">
        <v>764</v>
      </c>
      <c r="Z151" s="448">
        <v>390410.91</v>
      </c>
      <c r="AA151" s="448">
        <v>12104034.609999999</v>
      </c>
      <c r="AB151" s="403">
        <v>12494445.52</v>
      </c>
      <c r="AC151" s="390"/>
      <c r="AD151" s="457">
        <v>788</v>
      </c>
      <c r="AE151" s="448"/>
      <c r="AF151" s="448"/>
    </row>
    <row r="152" spans="1:32" ht="14.5">
      <c r="A152" s="380" t="s">
        <v>489</v>
      </c>
      <c r="B152" s="380" t="s">
        <v>188</v>
      </c>
      <c r="C152" s="389" t="s">
        <v>490</v>
      </c>
      <c r="E152" s="381">
        <v>187</v>
      </c>
      <c r="F152" s="381">
        <v>96896.69</v>
      </c>
      <c r="G152" s="381">
        <v>1512281.39</v>
      </c>
      <c r="H152" s="381">
        <v>1609178.0799999998</v>
      </c>
      <c r="I152" s="390"/>
      <c r="J152" s="380">
        <v>205</v>
      </c>
      <c r="K152" s="381">
        <v>91356.94</v>
      </c>
      <c r="L152" s="381">
        <v>1955577.19</v>
      </c>
      <c r="M152" s="381">
        <v>2046934.13</v>
      </c>
      <c r="N152" s="390"/>
      <c r="O152" s="380">
        <v>225</v>
      </c>
      <c r="P152" s="381">
        <v>0</v>
      </c>
      <c r="Q152" s="381">
        <v>2368312.31</v>
      </c>
      <c r="R152" s="381">
        <v>2368312.31</v>
      </c>
      <c r="S152" s="390"/>
      <c r="T152" s="380">
        <v>211</v>
      </c>
      <c r="U152" s="403">
        <v>0</v>
      </c>
      <c r="V152" s="403">
        <v>2214285.75</v>
      </c>
      <c r="W152" s="403">
        <v>2214285.75</v>
      </c>
      <c r="X152" s="390"/>
      <c r="Y152" s="380">
        <v>219</v>
      </c>
      <c r="Z152" s="448">
        <v>0</v>
      </c>
      <c r="AA152" s="448">
        <v>2629408.61</v>
      </c>
      <c r="AB152" s="403">
        <v>2629408.61</v>
      </c>
      <c r="AC152" s="390"/>
      <c r="AD152" s="457">
        <v>233</v>
      </c>
      <c r="AE152" s="448"/>
      <c r="AF152" s="448"/>
    </row>
    <row r="153" spans="1:32" ht="14.5">
      <c r="A153" s="380" t="s">
        <v>491</v>
      </c>
      <c r="B153" s="380" t="s">
        <v>188</v>
      </c>
      <c r="C153" s="389" t="s">
        <v>492</v>
      </c>
      <c r="E153" s="381">
        <v>44</v>
      </c>
      <c r="F153" s="381">
        <v>68649.149999999994</v>
      </c>
      <c r="G153" s="381">
        <v>358065.94</v>
      </c>
      <c r="H153" s="381">
        <v>426715.08999999997</v>
      </c>
      <c r="I153" s="390"/>
      <c r="J153" s="380">
        <v>56</v>
      </c>
      <c r="K153" s="381">
        <v>106333.22</v>
      </c>
      <c r="L153" s="381">
        <v>467339.49</v>
      </c>
      <c r="M153" s="381">
        <v>573672.71</v>
      </c>
      <c r="N153" s="390"/>
      <c r="O153" s="380">
        <v>59</v>
      </c>
      <c r="P153" s="381">
        <v>107013.43</v>
      </c>
      <c r="Q153" s="381">
        <v>594709.82999999996</v>
      </c>
      <c r="R153" s="381">
        <v>701723.26</v>
      </c>
      <c r="S153" s="390"/>
      <c r="T153" s="380">
        <v>52</v>
      </c>
      <c r="U153" s="403">
        <v>133088.54999999999</v>
      </c>
      <c r="V153" s="403">
        <v>664050.68999999994</v>
      </c>
      <c r="W153" s="403">
        <v>797139.24</v>
      </c>
      <c r="X153" s="390"/>
      <c r="Y153" s="380">
        <v>50</v>
      </c>
      <c r="Z153" s="448">
        <v>134152.26</v>
      </c>
      <c r="AA153" s="448">
        <v>725674.5</v>
      </c>
      <c r="AB153" s="403">
        <v>859826.76</v>
      </c>
      <c r="AC153" s="390"/>
      <c r="AD153" s="457">
        <v>47</v>
      </c>
      <c r="AE153" s="448"/>
      <c r="AF153" s="448"/>
    </row>
    <row r="154" spans="1:32" ht="14.5">
      <c r="A154" s="380" t="s">
        <v>493</v>
      </c>
      <c r="B154" s="380" t="s">
        <v>230</v>
      </c>
      <c r="C154" s="389" t="s">
        <v>494</v>
      </c>
      <c r="E154" s="381">
        <v>1100</v>
      </c>
      <c r="F154" s="381">
        <v>1831120.03</v>
      </c>
      <c r="G154" s="381">
        <v>7518197.7800000003</v>
      </c>
      <c r="H154" s="381">
        <v>9349317.8100000005</v>
      </c>
      <c r="I154" s="390"/>
      <c r="J154" s="380">
        <v>1129</v>
      </c>
      <c r="K154" s="381">
        <v>0</v>
      </c>
      <c r="L154" s="381">
        <v>10349016.210000001</v>
      </c>
      <c r="M154" s="381">
        <v>10349016.210000001</v>
      </c>
      <c r="N154" s="390"/>
      <c r="O154" s="380">
        <v>1182</v>
      </c>
      <c r="P154" s="381">
        <v>1640640.25</v>
      </c>
      <c r="Q154" s="381">
        <v>10390103.470000001</v>
      </c>
      <c r="R154" s="381">
        <v>12030743.720000001</v>
      </c>
      <c r="S154" s="390"/>
      <c r="T154" s="380">
        <v>1144</v>
      </c>
      <c r="U154" s="403">
        <v>190292.56</v>
      </c>
      <c r="V154" s="403">
        <v>12646807.029999999</v>
      </c>
      <c r="W154" s="403">
        <v>12837099.59</v>
      </c>
      <c r="X154" s="390"/>
      <c r="Y154" s="380">
        <v>1215</v>
      </c>
      <c r="Z154" s="448">
        <v>1338203.05</v>
      </c>
      <c r="AA154" s="448">
        <v>13386450.529999999</v>
      </c>
      <c r="AB154" s="403">
        <v>14724653.58</v>
      </c>
      <c r="AC154" s="390"/>
      <c r="AD154" s="457">
        <v>1247</v>
      </c>
      <c r="AE154" s="448"/>
      <c r="AF154" s="448"/>
    </row>
    <row r="155" spans="1:32" ht="14.5">
      <c r="A155" s="380" t="s">
        <v>495</v>
      </c>
      <c r="B155" s="380" t="s">
        <v>188</v>
      </c>
      <c r="C155" s="389" t="s">
        <v>496</v>
      </c>
      <c r="E155" s="381">
        <v>105</v>
      </c>
      <c r="F155" s="381">
        <v>0</v>
      </c>
      <c r="G155" s="381">
        <v>556247.73</v>
      </c>
      <c r="H155" s="381">
        <v>556247.73</v>
      </c>
      <c r="I155" s="390"/>
      <c r="J155" s="380">
        <v>98</v>
      </c>
      <c r="K155" s="381">
        <v>1221.31</v>
      </c>
      <c r="L155" s="381">
        <v>828809.9</v>
      </c>
      <c r="M155" s="381">
        <v>830031.21000000008</v>
      </c>
      <c r="N155" s="390"/>
      <c r="O155" s="380">
        <v>99</v>
      </c>
      <c r="P155" s="381">
        <v>1248</v>
      </c>
      <c r="Q155" s="381">
        <v>963998.15</v>
      </c>
      <c r="R155" s="381">
        <v>965246.15</v>
      </c>
      <c r="S155" s="390"/>
      <c r="T155" s="380">
        <v>100</v>
      </c>
      <c r="U155" s="403">
        <v>1300</v>
      </c>
      <c r="V155" s="403">
        <v>917146.2</v>
      </c>
      <c r="W155" s="403">
        <v>918446.2</v>
      </c>
      <c r="X155" s="390"/>
      <c r="Y155" s="380">
        <v>94</v>
      </c>
      <c r="Z155" s="448">
        <v>67922.23</v>
      </c>
      <c r="AA155" s="448">
        <v>1059796.1499999999</v>
      </c>
      <c r="AB155" s="403">
        <v>1127718.3799999999</v>
      </c>
      <c r="AC155" s="390"/>
      <c r="AD155" s="457">
        <v>103</v>
      </c>
      <c r="AE155" s="448"/>
      <c r="AF155" s="448"/>
    </row>
    <row r="156" spans="1:32" ht="14.5">
      <c r="A156" s="380" t="s">
        <v>497</v>
      </c>
      <c r="B156" s="380" t="s">
        <v>220</v>
      </c>
      <c r="C156" s="389" t="s">
        <v>498</v>
      </c>
      <c r="E156" s="381">
        <v>145</v>
      </c>
      <c r="F156" s="381">
        <v>0</v>
      </c>
      <c r="G156" s="381">
        <v>1183898.32</v>
      </c>
      <c r="H156" s="381">
        <v>1183898.32</v>
      </c>
      <c r="I156" s="390"/>
      <c r="J156" s="380">
        <v>138</v>
      </c>
      <c r="K156" s="381">
        <v>0</v>
      </c>
      <c r="L156" s="381">
        <v>1332640.7</v>
      </c>
      <c r="M156" s="381">
        <v>1332640.7</v>
      </c>
      <c r="N156" s="390"/>
      <c r="O156" s="380">
        <v>127</v>
      </c>
      <c r="P156" s="381">
        <v>57376.58</v>
      </c>
      <c r="Q156" s="381">
        <v>1368476.32</v>
      </c>
      <c r="R156" s="381">
        <v>1425852.9000000001</v>
      </c>
      <c r="S156" s="390"/>
      <c r="T156" s="380">
        <v>117</v>
      </c>
      <c r="U156" s="403">
        <v>140260</v>
      </c>
      <c r="V156" s="403">
        <v>980435.96</v>
      </c>
      <c r="W156" s="403">
        <v>1120695.96</v>
      </c>
      <c r="X156" s="390"/>
      <c r="Y156" s="380">
        <v>128</v>
      </c>
      <c r="Z156" s="448">
        <v>0</v>
      </c>
      <c r="AA156" s="448">
        <v>1344889.6</v>
      </c>
      <c r="AB156" s="403">
        <v>1344889.6</v>
      </c>
      <c r="AC156" s="390"/>
      <c r="AD156" s="457">
        <v>124</v>
      </c>
      <c r="AE156" s="448"/>
      <c r="AF156" s="448"/>
    </row>
    <row r="157" spans="1:32" ht="14.5">
      <c r="A157" s="380" t="s">
        <v>499</v>
      </c>
      <c r="B157" s="380" t="s">
        <v>196</v>
      </c>
      <c r="C157" s="389" t="s">
        <v>500</v>
      </c>
      <c r="E157" s="381">
        <v>334</v>
      </c>
      <c r="F157" s="381">
        <v>0</v>
      </c>
      <c r="G157" s="381">
        <v>3370002.91</v>
      </c>
      <c r="H157" s="381">
        <v>3370002.91</v>
      </c>
      <c r="I157" s="390"/>
      <c r="J157" s="380">
        <v>351</v>
      </c>
      <c r="K157" s="381">
        <v>649235.86</v>
      </c>
      <c r="L157" s="381">
        <v>3106232.69</v>
      </c>
      <c r="M157" s="381">
        <v>3755468.55</v>
      </c>
      <c r="N157" s="390"/>
      <c r="O157" s="380">
        <v>351</v>
      </c>
      <c r="P157" s="381">
        <v>768150.26</v>
      </c>
      <c r="Q157" s="381">
        <v>3339236.2</v>
      </c>
      <c r="R157" s="381">
        <v>4107386.46</v>
      </c>
      <c r="S157" s="390"/>
      <c r="T157" s="380">
        <v>325</v>
      </c>
      <c r="U157" s="403">
        <v>1018169.02</v>
      </c>
      <c r="V157" s="403">
        <v>3134788.27</v>
      </c>
      <c r="W157" s="403">
        <v>4152957.29</v>
      </c>
      <c r="X157" s="390"/>
      <c r="Y157" s="380">
        <v>309</v>
      </c>
      <c r="Z157" s="448">
        <v>0</v>
      </c>
      <c r="AA157" s="448">
        <v>4063540.77</v>
      </c>
      <c r="AB157" s="403">
        <v>4063540.77</v>
      </c>
      <c r="AC157" s="390"/>
      <c r="AD157" s="457">
        <v>326</v>
      </c>
      <c r="AE157" s="448"/>
      <c r="AF157" s="448"/>
    </row>
    <row r="158" spans="1:32" ht="14.5">
      <c r="A158" s="380" t="s">
        <v>501</v>
      </c>
      <c r="B158" s="380" t="s">
        <v>209</v>
      </c>
      <c r="C158" s="389" t="s">
        <v>502</v>
      </c>
      <c r="D158" s="380" t="s">
        <v>818</v>
      </c>
      <c r="E158" s="381">
        <v>6</v>
      </c>
      <c r="F158" s="381">
        <v>0</v>
      </c>
      <c r="G158" s="381">
        <v>51706.36</v>
      </c>
      <c r="H158" s="381">
        <v>51706.36</v>
      </c>
      <c r="I158" s="390"/>
      <c r="J158" s="380">
        <v>10</v>
      </c>
      <c r="K158" s="381">
        <v>0</v>
      </c>
      <c r="L158" s="381">
        <v>74249.87</v>
      </c>
      <c r="M158" s="381">
        <v>74249.87</v>
      </c>
      <c r="N158" s="390"/>
      <c r="O158" s="380">
        <v>8</v>
      </c>
      <c r="P158" s="381">
        <v>0</v>
      </c>
      <c r="Q158" s="381">
        <v>76712.08</v>
      </c>
      <c r="R158" s="381">
        <v>76712.08</v>
      </c>
      <c r="S158" s="390"/>
      <c r="T158" s="380">
        <v>0</v>
      </c>
      <c r="U158" s="403">
        <v>0</v>
      </c>
      <c r="V158" s="403">
        <v>69221.289999999994</v>
      </c>
      <c r="W158" s="403">
        <v>69221.289999999994</v>
      </c>
      <c r="X158" s="390"/>
      <c r="Y158" s="380">
        <v>5</v>
      </c>
      <c r="Z158" s="448">
        <v>0</v>
      </c>
      <c r="AA158" s="448">
        <v>43449.8</v>
      </c>
      <c r="AB158" s="403">
        <v>43449.8</v>
      </c>
      <c r="AC158" s="390"/>
      <c r="AD158" s="457">
        <v>6</v>
      </c>
      <c r="AE158" s="448"/>
      <c r="AF158" s="448"/>
    </row>
    <row r="159" spans="1:32" ht="14.5">
      <c r="A159" s="380" t="s">
        <v>503</v>
      </c>
      <c r="B159" s="380" t="s">
        <v>196</v>
      </c>
      <c r="C159" s="389" t="s">
        <v>1200</v>
      </c>
      <c r="E159" s="381">
        <v>918</v>
      </c>
      <c r="F159" s="381">
        <v>0</v>
      </c>
      <c r="G159" s="381">
        <v>12499664.52</v>
      </c>
      <c r="H159" s="381">
        <v>12499664.52</v>
      </c>
      <c r="I159" s="390"/>
      <c r="J159" s="380">
        <v>943</v>
      </c>
      <c r="K159" s="381">
        <v>2548535.0699999998</v>
      </c>
      <c r="L159" s="381">
        <v>10826207.1</v>
      </c>
      <c r="M159" s="381">
        <v>13374742.17</v>
      </c>
      <c r="N159" s="390"/>
      <c r="O159" s="380">
        <v>993</v>
      </c>
      <c r="P159" s="381">
        <v>2413869.7599999998</v>
      </c>
      <c r="Q159" s="381">
        <v>12188003.539999999</v>
      </c>
      <c r="R159" s="381">
        <v>14601873.299999999</v>
      </c>
      <c r="S159" s="390"/>
      <c r="T159" s="380">
        <v>957</v>
      </c>
      <c r="U159" s="403">
        <v>3217002.26</v>
      </c>
      <c r="V159" s="403">
        <v>11382429.710000001</v>
      </c>
      <c r="W159" s="403">
        <v>14599431.970000001</v>
      </c>
      <c r="X159" s="390"/>
      <c r="Y159" s="380">
        <v>939</v>
      </c>
      <c r="Z159" s="448">
        <v>4162483.84</v>
      </c>
      <c r="AA159" s="448">
        <v>11889294.210000001</v>
      </c>
      <c r="AB159" s="403">
        <v>16051778.050000001</v>
      </c>
      <c r="AC159" s="390"/>
      <c r="AD159" s="457">
        <v>958</v>
      </c>
      <c r="AE159" s="448"/>
      <c r="AF159" s="448"/>
    </row>
    <row r="160" spans="1:32" ht="14.5">
      <c r="A160" s="380" t="s">
        <v>505</v>
      </c>
      <c r="B160" s="380" t="s">
        <v>196</v>
      </c>
      <c r="C160" s="389" t="s">
        <v>506</v>
      </c>
      <c r="E160" s="381">
        <v>2099</v>
      </c>
      <c r="F160" s="381">
        <v>5954562.9000000004</v>
      </c>
      <c r="G160" s="381">
        <v>18976261</v>
      </c>
      <c r="H160" s="381">
        <v>24930823.899999999</v>
      </c>
      <c r="I160" s="390"/>
      <c r="J160" s="380">
        <v>2123</v>
      </c>
      <c r="K160" s="381">
        <v>2553920.66</v>
      </c>
      <c r="L160" s="381">
        <v>25884322.23</v>
      </c>
      <c r="M160" s="381">
        <v>28438242.890000001</v>
      </c>
      <c r="N160" s="390"/>
      <c r="O160" s="380">
        <v>2213</v>
      </c>
      <c r="P160" s="381">
        <v>4539126.32</v>
      </c>
      <c r="Q160" s="381">
        <v>29494030.27</v>
      </c>
      <c r="R160" s="381">
        <v>34033156.590000004</v>
      </c>
      <c r="S160" s="390"/>
      <c r="T160" s="380">
        <v>2081</v>
      </c>
      <c r="U160" s="403">
        <v>6887577.9199999999</v>
      </c>
      <c r="V160" s="403">
        <v>27029305.760000002</v>
      </c>
      <c r="W160" s="403">
        <v>33916883.68</v>
      </c>
      <c r="X160" s="390"/>
      <c r="Y160" s="380">
        <v>2139</v>
      </c>
      <c r="Z160" s="448">
        <v>9472483.5199999996</v>
      </c>
      <c r="AA160" s="448">
        <v>28103257.890000001</v>
      </c>
      <c r="AB160" s="403">
        <v>37575741.409999996</v>
      </c>
      <c r="AC160" s="390"/>
      <c r="AD160" s="457">
        <v>2170</v>
      </c>
      <c r="AE160" s="448"/>
      <c r="AF160" s="448"/>
    </row>
    <row r="161" spans="1:32" ht="14.5">
      <c r="A161" s="380" t="s">
        <v>507</v>
      </c>
      <c r="B161" s="380" t="s">
        <v>220</v>
      </c>
      <c r="C161" s="389" t="s">
        <v>508</v>
      </c>
      <c r="E161" s="381">
        <v>149</v>
      </c>
      <c r="F161" s="381">
        <v>0</v>
      </c>
      <c r="G161" s="381">
        <v>1151442.28</v>
      </c>
      <c r="H161" s="381">
        <v>1151442.28</v>
      </c>
      <c r="I161" s="390"/>
      <c r="J161" s="380">
        <v>169</v>
      </c>
      <c r="K161" s="381">
        <v>0</v>
      </c>
      <c r="L161" s="381">
        <v>1443870.19</v>
      </c>
      <c r="M161" s="381">
        <v>1443870.19</v>
      </c>
      <c r="N161" s="390"/>
      <c r="O161" s="380">
        <v>177</v>
      </c>
      <c r="P161" s="381">
        <v>0</v>
      </c>
      <c r="Q161" s="381">
        <v>1530275.47</v>
      </c>
      <c r="R161" s="381">
        <v>1530275.47</v>
      </c>
      <c r="S161" s="390"/>
      <c r="T161" s="380">
        <v>163</v>
      </c>
      <c r="U161" s="403">
        <v>0</v>
      </c>
      <c r="V161" s="403">
        <v>1550306.81</v>
      </c>
      <c r="W161" s="403">
        <v>1550306.81</v>
      </c>
      <c r="X161" s="390"/>
      <c r="Y161" s="380">
        <v>168</v>
      </c>
      <c r="Z161" s="448">
        <v>0</v>
      </c>
      <c r="AA161" s="448">
        <v>1576504.45</v>
      </c>
      <c r="AB161" s="403">
        <v>1576504.45</v>
      </c>
      <c r="AC161" s="390"/>
      <c r="AD161" s="457">
        <v>184</v>
      </c>
      <c r="AE161" s="448"/>
      <c r="AF161" s="448"/>
    </row>
    <row r="162" spans="1:32" ht="14.5">
      <c r="A162" s="380" t="s">
        <v>509</v>
      </c>
      <c r="B162" s="380" t="s">
        <v>188</v>
      </c>
      <c r="C162" s="389" t="s">
        <v>510</v>
      </c>
      <c r="E162" s="381">
        <v>113</v>
      </c>
      <c r="F162" s="381">
        <v>0</v>
      </c>
      <c r="G162" s="381">
        <v>1250091.68</v>
      </c>
      <c r="H162" s="381">
        <v>1250091.68</v>
      </c>
      <c r="I162" s="390"/>
      <c r="J162" s="380">
        <v>108</v>
      </c>
      <c r="K162" s="381">
        <v>0</v>
      </c>
      <c r="L162" s="381">
        <v>1332683.79</v>
      </c>
      <c r="M162" s="381">
        <v>1332683.79</v>
      </c>
      <c r="N162" s="390"/>
      <c r="O162" s="380">
        <v>100</v>
      </c>
      <c r="P162" s="381">
        <v>0</v>
      </c>
      <c r="Q162" s="381">
        <v>1251895.53</v>
      </c>
      <c r="R162" s="381">
        <v>1251895.53</v>
      </c>
      <c r="S162" s="390"/>
      <c r="T162" s="380">
        <v>88</v>
      </c>
      <c r="U162" s="403">
        <v>0</v>
      </c>
      <c r="V162" s="403">
        <v>1281510.48</v>
      </c>
      <c r="W162" s="403">
        <v>1281510.48</v>
      </c>
      <c r="X162" s="390"/>
      <c r="Y162" s="380">
        <v>78</v>
      </c>
      <c r="Z162" s="448">
        <v>0</v>
      </c>
      <c r="AA162" s="448">
        <v>1344097.65</v>
      </c>
      <c r="AB162" s="403">
        <v>1344097.65</v>
      </c>
      <c r="AC162" s="390"/>
      <c r="AD162" s="457">
        <v>83</v>
      </c>
      <c r="AE162" s="448"/>
      <c r="AF162" s="448"/>
    </row>
    <row r="163" spans="1:32" ht="14.5">
      <c r="A163" s="380" t="s">
        <v>511</v>
      </c>
      <c r="B163" s="380" t="s">
        <v>209</v>
      </c>
      <c r="C163" s="389" t="s">
        <v>1201</v>
      </c>
      <c r="D163" s="380" t="s">
        <v>818</v>
      </c>
      <c r="E163" s="381">
        <v>72</v>
      </c>
      <c r="F163" s="381">
        <v>0</v>
      </c>
      <c r="G163" s="381">
        <v>357242.62</v>
      </c>
      <c r="H163" s="381">
        <v>357242.62</v>
      </c>
      <c r="I163" s="390"/>
      <c r="J163" s="380">
        <v>46</v>
      </c>
      <c r="K163" s="381">
        <v>0</v>
      </c>
      <c r="L163" s="381">
        <v>410725.24</v>
      </c>
      <c r="M163" s="381">
        <v>410725.24</v>
      </c>
      <c r="N163" s="390"/>
      <c r="O163" s="380">
        <v>76</v>
      </c>
      <c r="P163" s="381">
        <v>0</v>
      </c>
      <c r="Q163" s="381">
        <v>472440.6</v>
      </c>
      <c r="R163" s="381">
        <v>472440.6</v>
      </c>
      <c r="S163" s="390"/>
      <c r="T163" s="380">
        <v>0</v>
      </c>
      <c r="U163" s="403">
        <v>0</v>
      </c>
      <c r="V163" s="403">
        <v>461393.21</v>
      </c>
      <c r="W163" s="403">
        <v>461393.21</v>
      </c>
      <c r="X163" s="390"/>
      <c r="Y163" s="380">
        <v>44</v>
      </c>
      <c r="Z163" s="448">
        <v>0</v>
      </c>
      <c r="AA163" s="448">
        <v>397271.53</v>
      </c>
      <c r="AB163" s="403">
        <v>397271.53</v>
      </c>
      <c r="AC163" s="390"/>
      <c r="AD163" s="457">
        <v>45</v>
      </c>
      <c r="AE163" s="448"/>
      <c r="AF163" s="448"/>
    </row>
    <row r="164" spans="1:32" ht="14.5">
      <c r="A164" s="380" t="s">
        <v>513</v>
      </c>
      <c r="B164" s="380" t="s">
        <v>230</v>
      </c>
      <c r="C164" s="389" t="s">
        <v>514</v>
      </c>
      <c r="E164" s="381">
        <v>37</v>
      </c>
      <c r="F164" s="381">
        <v>0</v>
      </c>
      <c r="G164" s="381">
        <v>130758.96</v>
      </c>
      <c r="H164" s="381">
        <v>130758.96</v>
      </c>
      <c r="I164" s="390"/>
      <c r="J164" s="380">
        <v>30</v>
      </c>
      <c r="K164" s="381">
        <v>0</v>
      </c>
      <c r="L164" s="381">
        <v>163153.06</v>
      </c>
      <c r="M164" s="381">
        <v>163153.06</v>
      </c>
      <c r="N164" s="390"/>
      <c r="O164" s="380">
        <v>31</v>
      </c>
      <c r="P164" s="381">
        <v>0</v>
      </c>
      <c r="Q164" s="381">
        <v>200104.79</v>
      </c>
      <c r="R164" s="381">
        <v>200104.79</v>
      </c>
      <c r="S164" s="390"/>
      <c r="T164" s="380">
        <v>30</v>
      </c>
      <c r="U164" s="403">
        <v>0</v>
      </c>
      <c r="V164" s="403">
        <v>204565.61</v>
      </c>
      <c r="W164" s="403">
        <v>204565.61</v>
      </c>
      <c r="X164" s="390"/>
      <c r="Y164" s="380">
        <v>28</v>
      </c>
      <c r="Z164" s="448">
        <v>0</v>
      </c>
      <c r="AA164" s="448">
        <v>157280.07999999999</v>
      </c>
      <c r="AB164" s="403">
        <v>157280.07999999999</v>
      </c>
      <c r="AC164" s="390"/>
      <c r="AD164" s="457">
        <v>19</v>
      </c>
      <c r="AE164" s="448"/>
      <c r="AF164" s="448"/>
    </row>
    <row r="165" spans="1:32" ht="14.5">
      <c r="A165" s="380" t="s">
        <v>515</v>
      </c>
      <c r="B165" s="380" t="s">
        <v>193</v>
      </c>
      <c r="C165" s="389" t="s">
        <v>516</v>
      </c>
      <c r="E165" s="381">
        <v>165</v>
      </c>
      <c r="F165" s="381">
        <v>8954.39</v>
      </c>
      <c r="G165" s="381">
        <v>1333514.6000000001</v>
      </c>
      <c r="H165" s="381">
        <v>1342468.99</v>
      </c>
      <c r="I165" s="390"/>
      <c r="J165" s="380">
        <v>177</v>
      </c>
      <c r="K165" s="381">
        <v>23276.91</v>
      </c>
      <c r="L165" s="381">
        <v>1568002.93</v>
      </c>
      <c r="M165" s="381">
        <v>1591279.8399999999</v>
      </c>
      <c r="N165" s="390"/>
      <c r="O165" s="380">
        <v>183</v>
      </c>
      <c r="P165" s="381">
        <v>0</v>
      </c>
      <c r="Q165" s="381">
        <v>1457831.63</v>
      </c>
      <c r="R165" s="381">
        <v>1457831.63</v>
      </c>
      <c r="S165" s="390"/>
      <c r="T165" s="380">
        <v>168</v>
      </c>
      <c r="U165" s="403">
        <v>0</v>
      </c>
      <c r="V165" s="403">
        <v>1657098.57</v>
      </c>
      <c r="W165" s="403">
        <v>1657098.57</v>
      </c>
      <c r="X165" s="390"/>
      <c r="Y165" s="380">
        <v>174</v>
      </c>
      <c r="Z165" s="448">
        <v>0</v>
      </c>
      <c r="AA165" s="448">
        <v>1998513.78</v>
      </c>
      <c r="AB165" s="403">
        <v>1998513.78</v>
      </c>
      <c r="AC165" s="390"/>
      <c r="AD165" s="457">
        <v>176</v>
      </c>
      <c r="AE165" s="448"/>
      <c r="AF165" s="448"/>
    </row>
    <row r="166" spans="1:32" ht="14.5">
      <c r="A166" s="380" t="s">
        <v>517</v>
      </c>
      <c r="B166" s="380" t="s">
        <v>193</v>
      </c>
      <c r="C166" s="389" t="s">
        <v>518</v>
      </c>
      <c r="E166" s="381">
        <v>214</v>
      </c>
      <c r="F166" s="381">
        <v>0</v>
      </c>
      <c r="G166" s="381">
        <v>1608365.35</v>
      </c>
      <c r="H166" s="381">
        <v>1608365.35</v>
      </c>
      <c r="I166" s="390"/>
      <c r="J166" s="380">
        <v>192</v>
      </c>
      <c r="K166" s="381">
        <v>0</v>
      </c>
      <c r="L166" s="381">
        <v>1736374.07</v>
      </c>
      <c r="M166" s="381">
        <v>1736374.07</v>
      </c>
      <c r="N166" s="390"/>
      <c r="O166" s="380">
        <v>194</v>
      </c>
      <c r="P166" s="381">
        <v>0</v>
      </c>
      <c r="Q166" s="381">
        <v>1850592.78</v>
      </c>
      <c r="R166" s="381">
        <v>1850592.78</v>
      </c>
      <c r="S166" s="390"/>
      <c r="T166" s="380">
        <v>196</v>
      </c>
      <c r="U166" s="403">
        <v>0</v>
      </c>
      <c r="V166" s="403">
        <v>1942455.87</v>
      </c>
      <c r="W166" s="403">
        <v>1942455.87</v>
      </c>
      <c r="X166" s="390"/>
      <c r="Y166" s="380">
        <v>194</v>
      </c>
      <c r="Z166" s="448">
        <v>0</v>
      </c>
      <c r="AA166" s="448">
        <v>1878549.21</v>
      </c>
      <c r="AB166" s="403">
        <v>1878549.21</v>
      </c>
      <c r="AC166" s="390"/>
      <c r="AD166" s="457">
        <v>190</v>
      </c>
      <c r="AE166" s="448"/>
      <c r="AF166" s="448"/>
    </row>
    <row r="167" spans="1:32" ht="14.5">
      <c r="A167" s="380" t="s">
        <v>519</v>
      </c>
      <c r="B167" s="380" t="s">
        <v>196</v>
      </c>
      <c r="C167" s="389" t="s">
        <v>520</v>
      </c>
      <c r="E167" s="381">
        <v>302</v>
      </c>
      <c r="F167" s="381">
        <v>0</v>
      </c>
      <c r="G167" s="381">
        <v>2565466.2000000002</v>
      </c>
      <c r="H167" s="381">
        <v>2565466.2000000002</v>
      </c>
      <c r="I167" s="390"/>
      <c r="J167" s="380">
        <v>328</v>
      </c>
      <c r="K167" s="381">
        <v>0</v>
      </c>
      <c r="L167" s="381">
        <v>2776318.95</v>
      </c>
      <c r="M167" s="381">
        <v>2776318.95</v>
      </c>
      <c r="N167" s="390"/>
      <c r="O167" s="380">
        <v>344</v>
      </c>
      <c r="P167" s="381">
        <v>0</v>
      </c>
      <c r="Q167" s="381">
        <v>3131181.12</v>
      </c>
      <c r="R167" s="381">
        <v>3131181.12</v>
      </c>
      <c r="S167" s="390"/>
      <c r="T167" s="380">
        <v>347</v>
      </c>
      <c r="U167" s="403">
        <v>0</v>
      </c>
      <c r="V167" s="403">
        <v>3125034.88</v>
      </c>
      <c r="W167" s="403">
        <v>3125034.88</v>
      </c>
      <c r="X167" s="390"/>
      <c r="Y167" s="380">
        <v>311</v>
      </c>
      <c r="Z167" s="448">
        <v>0</v>
      </c>
      <c r="AA167" s="448">
        <v>3337088.94</v>
      </c>
      <c r="AB167" s="403">
        <v>3337088.94</v>
      </c>
      <c r="AC167" s="390"/>
      <c r="AD167" s="457">
        <v>302</v>
      </c>
      <c r="AE167" s="448"/>
      <c r="AF167" s="448"/>
    </row>
    <row r="168" spans="1:32" ht="14.5">
      <c r="A168" s="380" t="s">
        <v>521</v>
      </c>
      <c r="B168" s="380" t="s">
        <v>188</v>
      </c>
      <c r="C168" s="389" t="s">
        <v>522</v>
      </c>
      <c r="E168" s="381">
        <v>137</v>
      </c>
      <c r="F168" s="381">
        <v>0</v>
      </c>
      <c r="G168" s="381">
        <v>796628.42</v>
      </c>
      <c r="H168" s="381">
        <v>796628.42</v>
      </c>
      <c r="I168" s="390"/>
      <c r="J168" s="380">
        <v>131</v>
      </c>
      <c r="K168" s="381">
        <v>195592.74</v>
      </c>
      <c r="L168" s="381">
        <v>1011122.73</v>
      </c>
      <c r="M168" s="381">
        <v>1206715.47</v>
      </c>
      <c r="N168" s="390"/>
      <c r="O168" s="380">
        <v>125</v>
      </c>
      <c r="P168" s="381">
        <v>136430.5</v>
      </c>
      <c r="Q168" s="381">
        <v>1236105.45</v>
      </c>
      <c r="R168" s="381">
        <v>1372535.95</v>
      </c>
      <c r="S168" s="390"/>
      <c r="T168" s="380">
        <v>127</v>
      </c>
      <c r="U168" s="403">
        <v>379308.32</v>
      </c>
      <c r="V168" s="403">
        <v>1185585.97</v>
      </c>
      <c r="W168" s="403">
        <v>1564894.29</v>
      </c>
      <c r="X168" s="390"/>
      <c r="Y168" s="380">
        <v>128</v>
      </c>
      <c r="Z168" s="448">
        <v>225376.51</v>
      </c>
      <c r="AA168" s="448">
        <v>1512646.66</v>
      </c>
      <c r="AB168" s="403">
        <v>1738023.17</v>
      </c>
      <c r="AC168" s="390"/>
      <c r="AD168" s="457">
        <v>96</v>
      </c>
      <c r="AE168" s="448"/>
      <c r="AF168" s="448"/>
    </row>
    <row r="169" spans="1:32" ht="14.5">
      <c r="A169" s="380" t="s">
        <v>523</v>
      </c>
      <c r="B169" s="380" t="s">
        <v>201</v>
      </c>
      <c r="C169" s="389" t="s">
        <v>524</v>
      </c>
      <c r="E169" s="381">
        <v>306</v>
      </c>
      <c r="F169" s="381">
        <v>0</v>
      </c>
      <c r="G169" s="381">
        <v>2236700.87</v>
      </c>
      <c r="H169" s="381">
        <v>2236700.87</v>
      </c>
      <c r="I169" s="390"/>
      <c r="J169" s="380">
        <v>303</v>
      </c>
      <c r="K169" s="381">
        <v>0</v>
      </c>
      <c r="L169" s="381">
        <v>2621432.66</v>
      </c>
      <c r="M169" s="381">
        <v>2621432.66</v>
      </c>
      <c r="N169" s="390"/>
      <c r="O169" s="380">
        <v>303</v>
      </c>
      <c r="P169" s="381">
        <v>0</v>
      </c>
      <c r="Q169" s="381">
        <v>2832049.74</v>
      </c>
      <c r="R169" s="381">
        <v>2832049.74</v>
      </c>
      <c r="S169" s="390"/>
      <c r="T169" s="380">
        <v>296</v>
      </c>
      <c r="U169" s="403">
        <v>0</v>
      </c>
      <c r="V169" s="403">
        <v>3024631.78</v>
      </c>
      <c r="W169" s="403">
        <v>3024631.78</v>
      </c>
      <c r="X169" s="390"/>
      <c r="Y169" s="380">
        <v>319</v>
      </c>
      <c r="Z169" s="448">
        <v>0</v>
      </c>
      <c r="AA169" s="448">
        <v>3074610.04</v>
      </c>
      <c r="AB169" s="403">
        <v>3074610.04</v>
      </c>
      <c r="AC169" s="390"/>
      <c r="AD169" s="457">
        <v>322</v>
      </c>
      <c r="AE169" s="448"/>
      <c r="AF169" s="448"/>
    </row>
    <row r="170" spans="1:32" ht="14.5">
      <c r="A170" s="380" t="s">
        <v>525</v>
      </c>
      <c r="B170" s="380" t="s">
        <v>227</v>
      </c>
      <c r="C170" s="389" t="s">
        <v>526</v>
      </c>
      <c r="E170" s="381">
        <v>792</v>
      </c>
      <c r="F170" s="381">
        <v>2317854.2599999998</v>
      </c>
      <c r="G170" s="381">
        <v>6910555.6299999999</v>
      </c>
      <c r="H170" s="381">
        <v>9228409.8900000006</v>
      </c>
      <c r="I170" s="390"/>
      <c r="J170" s="380">
        <v>788</v>
      </c>
      <c r="K170" s="381">
        <v>1283815.54</v>
      </c>
      <c r="L170" s="381">
        <v>9452020.0899999999</v>
      </c>
      <c r="M170" s="381">
        <v>10735835.629999999</v>
      </c>
      <c r="N170" s="390"/>
      <c r="O170" s="380">
        <v>829</v>
      </c>
      <c r="P170" s="381">
        <v>280701.33</v>
      </c>
      <c r="Q170" s="381">
        <v>10533813.65</v>
      </c>
      <c r="R170" s="381">
        <v>10814514.98</v>
      </c>
      <c r="S170" s="390"/>
      <c r="T170" s="380">
        <v>801</v>
      </c>
      <c r="U170" s="403">
        <v>2015940.97</v>
      </c>
      <c r="V170" s="403">
        <v>9604541.4299999997</v>
      </c>
      <c r="W170" s="403">
        <v>11620482.4</v>
      </c>
      <c r="X170" s="390"/>
      <c r="Y170" s="380">
        <v>767</v>
      </c>
      <c r="Z170" s="448">
        <v>2766051.09</v>
      </c>
      <c r="AA170" s="448">
        <v>9918762.1400000006</v>
      </c>
      <c r="AB170" s="403">
        <v>12684813.23</v>
      </c>
      <c r="AC170" s="390"/>
      <c r="AD170" s="457">
        <v>733</v>
      </c>
      <c r="AE170" s="448"/>
      <c r="AF170" s="448"/>
    </row>
    <row r="171" spans="1:32" ht="14.5">
      <c r="A171" s="380" t="s">
        <v>527</v>
      </c>
      <c r="B171" s="380" t="s">
        <v>227</v>
      </c>
      <c r="C171" s="389" t="s">
        <v>528</v>
      </c>
      <c r="E171" s="381">
        <v>296</v>
      </c>
      <c r="F171" s="381">
        <v>77802.7</v>
      </c>
      <c r="G171" s="381">
        <v>2584272.4900000002</v>
      </c>
      <c r="H171" s="381">
        <v>2662075.1900000004</v>
      </c>
      <c r="I171" s="390"/>
      <c r="J171" s="380">
        <v>341</v>
      </c>
      <c r="K171" s="381">
        <v>0</v>
      </c>
      <c r="L171" s="381">
        <v>3440797.12</v>
      </c>
      <c r="M171" s="381">
        <v>3440797.12</v>
      </c>
      <c r="N171" s="390"/>
      <c r="O171" s="380">
        <v>360</v>
      </c>
      <c r="P171" s="381">
        <v>119328.49</v>
      </c>
      <c r="Q171" s="381">
        <v>3767631.03</v>
      </c>
      <c r="R171" s="381">
        <v>3886959.52</v>
      </c>
      <c r="S171" s="390"/>
      <c r="T171" s="380">
        <v>378</v>
      </c>
      <c r="U171" s="403">
        <v>0</v>
      </c>
      <c r="V171" s="403">
        <v>3235330.34</v>
      </c>
      <c r="W171" s="403">
        <v>3235330.34</v>
      </c>
      <c r="X171" s="390"/>
      <c r="Y171" s="380">
        <v>367</v>
      </c>
      <c r="Z171" s="448">
        <v>182810.25</v>
      </c>
      <c r="AA171" s="448">
        <v>3683471.24</v>
      </c>
      <c r="AB171" s="403">
        <v>3866281.49</v>
      </c>
      <c r="AC171" s="390"/>
      <c r="AD171" s="457">
        <v>356</v>
      </c>
      <c r="AE171" s="448"/>
      <c r="AF171" s="448"/>
    </row>
    <row r="172" spans="1:32" ht="14.5">
      <c r="A172" s="380" t="s">
        <v>529</v>
      </c>
      <c r="B172" s="380" t="s">
        <v>188</v>
      </c>
      <c r="C172" s="389" t="s">
        <v>530</v>
      </c>
      <c r="E172" s="381">
        <v>7</v>
      </c>
      <c r="F172" s="381">
        <v>0</v>
      </c>
      <c r="G172" s="381">
        <v>45647.98</v>
      </c>
      <c r="H172" s="381">
        <v>45647.98</v>
      </c>
      <c r="I172" s="390"/>
      <c r="J172" s="380">
        <v>9</v>
      </c>
      <c r="K172" s="381">
        <v>0</v>
      </c>
      <c r="L172" s="381">
        <v>90793.72</v>
      </c>
      <c r="M172" s="381">
        <v>90793.72</v>
      </c>
      <c r="N172" s="390"/>
      <c r="O172" s="380">
        <v>9</v>
      </c>
      <c r="P172" s="381">
        <v>0</v>
      </c>
      <c r="Q172" s="381">
        <v>102663.14</v>
      </c>
      <c r="R172" s="381">
        <v>102663.14</v>
      </c>
      <c r="S172" s="390"/>
      <c r="T172" s="380">
        <v>9</v>
      </c>
      <c r="U172" s="403">
        <v>0</v>
      </c>
      <c r="V172" s="403">
        <v>144878.89000000001</v>
      </c>
      <c r="W172" s="403">
        <v>144878.89000000001</v>
      </c>
      <c r="X172" s="390"/>
      <c r="Y172" s="380">
        <v>8</v>
      </c>
      <c r="Z172" s="448">
        <v>0</v>
      </c>
      <c r="AA172" s="448">
        <v>123529.58</v>
      </c>
      <c r="AB172" s="403">
        <v>123529.58</v>
      </c>
      <c r="AC172" s="390"/>
      <c r="AD172" s="457">
        <v>8</v>
      </c>
      <c r="AE172" s="448"/>
      <c r="AF172" s="448"/>
    </row>
    <row r="173" spans="1:32" ht="14.5">
      <c r="A173" s="380" t="s">
        <v>531</v>
      </c>
      <c r="B173" s="380" t="s">
        <v>188</v>
      </c>
      <c r="C173" s="389" t="s">
        <v>532</v>
      </c>
      <c r="E173" s="381">
        <v>1920</v>
      </c>
      <c r="F173" s="381">
        <v>4323635.59</v>
      </c>
      <c r="G173" s="381">
        <v>21038648.559999999</v>
      </c>
      <c r="H173" s="381">
        <v>25362284.149999999</v>
      </c>
      <c r="I173" s="390"/>
      <c r="J173" s="380">
        <v>2073</v>
      </c>
      <c r="K173" s="381">
        <v>6936992.79</v>
      </c>
      <c r="L173" s="381">
        <v>22169122.670000002</v>
      </c>
      <c r="M173" s="381">
        <v>29106115.460000001</v>
      </c>
      <c r="N173" s="390"/>
      <c r="O173" s="380">
        <v>2324</v>
      </c>
      <c r="P173" s="381">
        <v>5343990.67</v>
      </c>
      <c r="Q173" s="381">
        <v>26933390.890000001</v>
      </c>
      <c r="R173" s="381">
        <v>32277381.560000002</v>
      </c>
      <c r="S173" s="390"/>
      <c r="T173" s="380">
        <v>2223</v>
      </c>
      <c r="U173" s="403">
        <v>7883302.9500000002</v>
      </c>
      <c r="V173" s="403">
        <v>25770932.120000001</v>
      </c>
      <c r="W173" s="403">
        <v>33654235.07</v>
      </c>
      <c r="X173" s="390"/>
      <c r="Y173" s="380">
        <v>2291</v>
      </c>
      <c r="Z173" s="448">
        <v>8701352.5800000001</v>
      </c>
      <c r="AA173" s="448">
        <v>27522027.41</v>
      </c>
      <c r="AB173" s="403">
        <v>36223379.990000002</v>
      </c>
      <c r="AC173" s="390"/>
      <c r="AD173" s="457">
        <v>2530</v>
      </c>
      <c r="AE173" s="448"/>
      <c r="AF173" s="448"/>
    </row>
    <row r="174" spans="1:32" ht="14.5">
      <c r="A174" s="380" t="s">
        <v>533</v>
      </c>
      <c r="B174" s="380" t="s">
        <v>193</v>
      </c>
      <c r="C174" s="389" t="s">
        <v>534</v>
      </c>
      <c r="E174" s="381">
        <v>27</v>
      </c>
      <c r="F174" s="381">
        <v>0</v>
      </c>
      <c r="G174" s="381">
        <v>291252.84000000003</v>
      </c>
      <c r="H174" s="381">
        <v>291252.84000000003</v>
      </c>
      <c r="I174" s="390"/>
      <c r="J174" s="380">
        <v>24</v>
      </c>
      <c r="K174" s="381">
        <v>83527.929999999993</v>
      </c>
      <c r="L174" s="381">
        <v>251611.34</v>
      </c>
      <c r="M174" s="381">
        <v>335139.27</v>
      </c>
      <c r="N174" s="390"/>
      <c r="O174" s="380">
        <v>25</v>
      </c>
      <c r="P174" s="381">
        <v>81890.12</v>
      </c>
      <c r="Q174" s="381">
        <v>245670.38</v>
      </c>
      <c r="R174" s="381">
        <v>327560.5</v>
      </c>
      <c r="S174" s="390"/>
      <c r="T174" s="380">
        <v>25</v>
      </c>
      <c r="U174" s="403">
        <v>0</v>
      </c>
      <c r="V174" s="403">
        <v>364263.52</v>
      </c>
      <c r="W174" s="403">
        <v>364263.52</v>
      </c>
      <c r="X174" s="390"/>
      <c r="Y174" s="380">
        <v>24</v>
      </c>
      <c r="Z174" s="448">
        <v>82000</v>
      </c>
      <c r="AA174" s="448">
        <v>235405.31</v>
      </c>
      <c r="AB174" s="403">
        <v>317405.31</v>
      </c>
      <c r="AC174" s="390"/>
      <c r="AD174" s="457">
        <v>23</v>
      </c>
      <c r="AE174" s="448"/>
      <c r="AF174" s="448"/>
    </row>
    <row r="175" spans="1:32" ht="14.5">
      <c r="A175" s="380" t="s">
        <v>535</v>
      </c>
      <c r="B175" s="380" t="s">
        <v>204</v>
      </c>
      <c r="C175" s="389" t="s">
        <v>536</v>
      </c>
      <c r="E175" s="381">
        <v>2708</v>
      </c>
      <c r="F175" s="381">
        <v>15039706.369999999</v>
      </c>
      <c r="G175" s="381">
        <v>24735452.59</v>
      </c>
      <c r="H175" s="381">
        <v>39775158.960000001</v>
      </c>
      <c r="I175" s="390"/>
      <c r="J175" s="380">
        <v>2825</v>
      </c>
      <c r="K175" s="381">
        <v>15228448.33</v>
      </c>
      <c r="L175" s="381">
        <v>35231916.869999997</v>
      </c>
      <c r="M175" s="381">
        <v>50460365.199999996</v>
      </c>
      <c r="N175" s="390"/>
      <c r="O175" s="380">
        <v>2922</v>
      </c>
      <c r="P175" s="381">
        <v>17704588.07</v>
      </c>
      <c r="Q175" s="381">
        <v>39490362.770000003</v>
      </c>
      <c r="R175" s="381">
        <v>57194950.840000004</v>
      </c>
      <c r="S175" s="390"/>
      <c r="T175" s="380">
        <v>2846</v>
      </c>
      <c r="U175" s="403">
        <v>23176242.920000002</v>
      </c>
      <c r="V175" s="403">
        <v>38902120.350000001</v>
      </c>
      <c r="W175" s="403">
        <v>62078363.270000003</v>
      </c>
      <c r="X175" s="390"/>
      <c r="Y175" s="380">
        <v>2784</v>
      </c>
      <c r="Z175" s="448">
        <v>23642796.629999999</v>
      </c>
      <c r="AA175" s="448">
        <v>39675925.57</v>
      </c>
      <c r="AB175" s="403">
        <v>63318722.200000003</v>
      </c>
      <c r="AC175" s="390"/>
      <c r="AD175" s="457">
        <v>2861</v>
      </c>
      <c r="AE175" s="448"/>
      <c r="AF175" s="448"/>
    </row>
    <row r="176" spans="1:32" ht="14.5">
      <c r="A176" s="380" t="s">
        <v>537</v>
      </c>
      <c r="B176" s="380" t="s">
        <v>196</v>
      </c>
      <c r="C176" s="389" t="s">
        <v>538</v>
      </c>
      <c r="E176" s="381">
        <v>908</v>
      </c>
      <c r="F176" s="381">
        <v>600000</v>
      </c>
      <c r="G176" s="381">
        <v>7943826.1399999997</v>
      </c>
      <c r="H176" s="381">
        <v>8543826.1400000006</v>
      </c>
      <c r="I176" s="390"/>
      <c r="J176" s="380">
        <v>979</v>
      </c>
      <c r="K176" s="381">
        <v>600000</v>
      </c>
      <c r="L176" s="381">
        <v>10902629.560000001</v>
      </c>
      <c r="M176" s="381">
        <v>11502629.560000001</v>
      </c>
      <c r="N176" s="390"/>
      <c r="O176" s="380">
        <v>1017</v>
      </c>
      <c r="P176" s="381">
        <v>600000</v>
      </c>
      <c r="Q176" s="381">
        <v>11923241.51</v>
      </c>
      <c r="R176" s="381">
        <v>12523241.51</v>
      </c>
      <c r="S176" s="390"/>
      <c r="T176" s="380">
        <v>1005</v>
      </c>
      <c r="U176" s="403">
        <v>587970.02</v>
      </c>
      <c r="V176" s="403">
        <v>12020285.369999999</v>
      </c>
      <c r="W176" s="403">
        <v>12608255.389999999</v>
      </c>
      <c r="X176" s="390"/>
      <c r="Y176" s="380">
        <v>1010</v>
      </c>
      <c r="Z176" s="448">
        <v>641894.31000000006</v>
      </c>
      <c r="AA176" s="448">
        <v>12524559.49</v>
      </c>
      <c r="AB176" s="403">
        <v>13166453.800000001</v>
      </c>
      <c r="AC176" s="390"/>
      <c r="AD176" s="457">
        <v>1103</v>
      </c>
      <c r="AE176" s="448"/>
      <c r="AF176" s="448"/>
    </row>
    <row r="177" spans="1:32" ht="14.5">
      <c r="A177" s="380" t="s">
        <v>539</v>
      </c>
      <c r="B177" s="380" t="s">
        <v>193</v>
      </c>
      <c r="C177" s="389" t="s">
        <v>540</v>
      </c>
      <c r="E177" s="381">
        <v>16</v>
      </c>
      <c r="F177" s="381">
        <v>0</v>
      </c>
      <c r="G177" s="381">
        <v>103401.86</v>
      </c>
      <c r="H177" s="381">
        <v>103401.86</v>
      </c>
      <c r="I177" s="390"/>
      <c r="J177" s="380">
        <v>14</v>
      </c>
      <c r="K177" s="381">
        <v>0</v>
      </c>
      <c r="L177" s="381">
        <v>126432.9</v>
      </c>
      <c r="M177" s="381">
        <v>126432.9</v>
      </c>
      <c r="N177" s="390"/>
      <c r="O177" s="380">
        <v>12</v>
      </c>
      <c r="P177" s="381">
        <v>0</v>
      </c>
      <c r="Q177" s="381">
        <v>129020.12</v>
      </c>
      <c r="R177" s="381">
        <v>129020.12</v>
      </c>
      <c r="S177" s="390"/>
      <c r="T177" s="380">
        <v>20</v>
      </c>
      <c r="U177" s="403">
        <v>0</v>
      </c>
      <c r="V177" s="403">
        <v>171737.39</v>
      </c>
      <c r="W177" s="403">
        <v>171737.39</v>
      </c>
      <c r="X177" s="390"/>
      <c r="Y177" s="380">
        <v>19</v>
      </c>
      <c r="Z177" s="448">
        <v>0</v>
      </c>
      <c r="AA177" s="448">
        <v>190408.99</v>
      </c>
      <c r="AB177" s="403">
        <v>190408.99</v>
      </c>
      <c r="AC177" s="390"/>
      <c r="AD177" s="457">
        <v>16</v>
      </c>
      <c r="AE177" s="448"/>
      <c r="AF177" s="448"/>
    </row>
    <row r="178" spans="1:32" ht="14.5">
      <c r="A178" s="380" t="s">
        <v>541</v>
      </c>
      <c r="B178" s="380" t="s">
        <v>188</v>
      </c>
      <c r="C178" s="389" t="s">
        <v>542</v>
      </c>
      <c r="E178" s="381">
        <v>47</v>
      </c>
      <c r="F178" s="381">
        <v>21678.11</v>
      </c>
      <c r="G178" s="381">
        <v>332737.90000000002</v>
      </c>
      <c r="H178" s="381">
        <v>354416.01</v>
      </c>
      <c r="I178" s="390"/>
      <c r="J178" s="380">
        <v>49</v>
      </c>
      <c r="K178" s="381">
        <v>0</v>
      </c>
      <c r="L178" s="381">
        <v>376383.18</v>
      </c>
      <c r="M178" s="381">
        <v>376383.18</v>
      </c>
      <c r="N178" s="390"/>
      <c r="O178" s="380">
        <v>54</v>
      </c>
      <c r="P178" s="381">
        <v>0</v>
      </c>
      <c r="Q178" s="381">
        <v>389240.13</v>
      </c>
      <c r="R178" s="381">
        <v>389240.13</v>
      </c>
      <c r="S178" s="390"/>
      <c r="T178" s="380">
        <v>62</v>
      </c>
      <c r="U178" s="403">
        <v>0</v>
      </c>
      <c r="V178" s="403">
        <v>461854.73</v>
      </c>
      <c r="W178" s="403">
        <v>461854.73</v>
      </c>
      <c r="X178" s="390"/>
      <c r="Y178" s="380">
        <v>63</v>
      </c>
      <c r="Z178" s="448">
        <v>0</v>
      </c>
      <c r="AA178" s="448">
        <v>565543.75</v>
      </c>
      <c r="AB178" s="403">
        <v>565543.75</v>
      </c>
      <c r="AC178" s="390"/>
      <c r="AD178" s="457">
        <v>65</v>
      </c>
      <c r="AE178" s="448"/>
      <c r="AF178" s="448"/>
    </row>
    <row r="179" spans="1:32" ht="14.5">
      <c r="A179" s="380" t="s">
        <v>543</v>
      </c>
      <c r="B179" s="380" t="s">
        <v>209</v>
      </c>
      <c r="C179" s="389" t="s">
        <v>544</v>
      </c>
      <c r="D179" s="380" t="s">
        <v>818</v>
      </c>
      <c r="E179" s="381">
        <v>205</v>
      </c>
      <c r="F179" s="381">
        <v>0</v>
      </c>
      <c r="G179" s="381">
        <v>1683436.52</v>
      </c>
      <c r="H179" s="381">
        <v>1683436.52</v>
      </c>
      <c r="I179" s="390"/>
      <c r="J179" s="380">
        <v>228</v>
      </c>
      <c r="K179" s="381">
        <v>0</v>
      </c>
      <c r="L179" s="381">
        <v>2063444.06</v>
      </c>
      <c r="M179" s="381">
        <v>2063444.06</v>
      </c>
      <c r="N179" s="390"/>
      <c r="O179" s="380">
        <v>260</v>
      </c>
      <c r="P179" s="381">
        <v>0</v>
      </c>
      <c r="Q179" s="381">
        <v>2496203.4700000002</v>
      </c>
      <c r="R179" s="381">
        <v>2496203.4700000002</v>
      </c>
      <c r="S179" s="390"/>
      <c r="T179" s="380">
        <v>0</v>
      </c>
      <c r="U179" s="403">
        <v>0</v>
      </c>
      <c r="V179" s="403">
        <v>2360942.59</v>
      </c>
      <c r="W179" s="403">
        <v>2360942.59</v>
      </c>
      <c r="X179" s="390"/>
      <c r="Y179" s="380">
        <v>237</v>
      </c>
      <c r="Z179" s="448">
        <v>0</v>
      </c>
      <c r="AA179" s="448">
        <v>2211216.94</v>
      </c>
      <c r="AB179" s="403">
        <v>2211216.94</v>
      </c>
      <c r="AC179" s="390"/>
      <c r="AD179" s="457">
        <v>223</v>
      </c>
      <c r="AE179" s="448"/>
      <c r="AF179" s="448"/>
    </row>
    <row r="180" spans="1:32" ht="14.5">
      <c r="A180" s="380" t="s">
        <v>545</v>
      </c>
      <c r="B180" s="380" t="s">
        <v>188</v>
      </c>
      <c r="C180" s="389" t="s">
        <v>546</v>
      </c>
      <c r="E180" s="381">
        <v>103</v>
      </c>
      <c r="F180" s="381">
        <v>0</v>
      </c>
      <c r="G180" s="381">
        <v>673723.96</v>
      </c>
      <c r="H180" s="381">
        <v>673723.96</v>
      </c>
      <c r="I180" s="390"/>
      <c r="J180" s="380">
        <v>105</v>
      </c>
      <c r="K180" s="381">
        <v>3413.45</v>
      </c>
      <c r="L180" s="381">
        <v>895314.31</v>
      </c>
      <c r="M180" s="381">
        <v>898727.76</v>
      </c>
      <c r="N180" s="390"/>
      <c r="O180" s="380">
        <v>95</v>
      </c>
      <c r="P180" s="381">
        <v>63936.9</v>
      </c>
      <c r="Q180" s="381">
        <v>992416.76</v>
      </c>
      <c r="R180" s="381">
        <v>1056353.6599999999</v>
      </c>
      <c r="S180" s="390"/>
      <c r="T180" s="380">
        <v>75</v>
      </c>
      <c r="U180" s="403">
        <v>0</v>
      </c>
      <c r="V180" s="403">
        <v>842610.79</v>
      </c>
      <c r="W180" s="403">
        <v>842610.79</v>
      </c>
      <c r="X180" s="390"/>
      <c r="Y180" s="380">
        <v>73</v>
      </c>
      <c r="Z180" s="448">
        <v>0</v>
      </c>
      <c r="AA180" s="448">
        <v>804001</v>
      </c>
      <c r="AB180" s="403">
        <v>804001</v>
      </c>
      <c r="AC180" s="390"/>
      <c r="AD180" s="457">
        <v>77</v>
      </c>
      <c r="AE180" s="448"/>
      <c r="AF180" s="448"/>
    </row>
    <row r="181" spans="1:32" ht="14.5">
      <c r="A181" s="380" t="s">
        <v>547</v>
      </c>
      <c r="B181" s="380" t="s">
        <v>193</v>
      </c>
      <c r="C181" s="389" t="s">
        <v>548</v>
      </c>
      <c r="E181" s="381">
        <v>28</v>
      </c>
      <c r="F181" s="381">
        <v>0</v>
      </c>
      <c r="G181" s="381">
        <v>215373.31</v>
      </c>
      <c r="H181" s="381">
        <v>215373.31</v>
      </c>
      <c r="I181" s="390"/>
      <c r="J181" s="380">
        <v>34</v>
      </c>
      <c r="K181" s="381">
        <v>0</v>
      </c>
      <c r="L181" s="381">
        <v>254290.99</v>
      </c>
      <c r="M181" s="381">
        <v>254290.99</v>
      </c>
      <c r="N181" s="390"/>
      <c r="O181" s="380">
        <v>27</v>
      </c>
      <c r="P181" s="381">
        <v>0</v>
      </c>
      <c r="Q181" s="381">
        <v>281207.83</v>
      </c>
      <c r="R181" s="381">
        <v>281207.83</v>
      </c>
      <c r="S181" s="390"/>
      <c r="T181" s="380">
        <v>24</v>
      </c>
      <c r="U181" s="403">
        <v>0</v>
      </c>
      <c r="V181" s="403">
        <v>260539.32</v>
      </c>
      <c r="W181" s="403">
        <v>260539.32</v>
      </c>
      <c r="X181" s="390"/>
      <c r="Y181" s="380">
        <v>26</v>
      </c>
      <c r="Z181" s="448">
        <v>0</v>
      </c>
      <c r="AA181" s="448">
        <v>314601.73</v>
      </c>
      <c r="AB181" s="403">
        <v>314601.73</v>
      </c>
      <c r="AC181" s="390"/>
      <c r="AD181" s="457">
        <v>32</v>
      </c>
      <c r="AE181" s="448"/>
      <c r="AF181" s="448"/>
    </row>
    <row r="182" spans="1:32" ht="14.5">
      <c r="A182" s="380" t="s">
        <v>549</v>
      </c>
      <c r="B182" s="380" t="s">
        <v>230</v>
      </c>
      <c r="C182" s="389" t="s">
        <v>550</v>
      </c>
      <c r="E182" s="381">
        <v>127</v>
      </c>
      <c r="F182" s="381">
        <v>0</v>
      </c>
      <c r="G182" s="381">
        <v>1021561.83</v>
      </c>
      <c r="H182" s="381">
        <v>1021561.83</v>
      </c>
      <c r="I182" s="390"/>
      <c r="J182" s="380">
        <v>155</v>
      </c>
      <c r="K182" s="381">
        <v>0</v>
      </c>
      <c r="L182" s="381">
        <v>1346875.58</v>
      </c>
      <c r="M182" s="381">
        <v>1346875.58</v>
      </c>
      <c r="N182" s="390"/>
      <c r="O182" s="380">
        <v>173</v>
      </c>
      <c r="P182" s="381">
        <v>0</v>
      </c>
      <c r="Q182" s="381">
        <v>1634107.65</v>
      </c>
      <c r="R182" s="381">
        <v>1634107.65</v>
      </c>
      <c r="S182" s="390"/>
      <c r="T182" s="380">
        <v>172</v>
      </c>
      <c r="U182" s="403">
        <v>0</v>
      </c>
      <c r="V182" s="403">
        <v>1560675.25</v>
      </c>
      <c r="W182" s="403">
        <v>1560675.25</v>
      </c>
      <c r="X182" s="390"/>
      <c r="Y182" s="380">
        <v>165</v>
      </c>
      <c r="Z182" s="448">
        <v>0</v>
      </c>
      <c r="AA182" s="448">
        <v>1827388.1</v>
      </c>
      <c r="AB182" s="403">
        <v>1827388.1</v>
      </c>
      <c r="AC182" s="390"/>
      <c r="AD182" s="457">
        <v>151</v>
      </c>
      <c r="AE182" s="448"/>
      <c r="AF182" s="448"/>
    </row>
    <row r="183" spans="1:32" ht="14.5">
      <c r="A183" s="392" t="s">
        <v>551</v>
      </c>
      <c r="B183" s="380" t="s">
        <v>188</v>
      </c>
      <c r="C183" s="389" t="s">
        <v>552</v>
      </c>
      <c r="E183" s="381">
        <v>1421</v>
      </c>
      <c r="F183" s="381">
        <v>0</v>
      </c>
      <c r="G183" s="381">
        <v>18661393.670000002</v>
      </c>
      <c r="H183" s="381">
        <v>18661393.670000002</v>
      </c>
      <c r="I183" s="390"/>
      <c r="J183" s="380">
        <v>1440</v>
      </c>
      <c r="K183" s="381">
        <v>0</v>
      </c>
      <c r="L183" s="381">
        <v>20705469.449999999</v>
      </c>
      <c r="M183" s="381">
        <v>20705469.449999999</v>
      </c>
      <c r="N183" s="390"/>
      <c r="O183" s="380">
        <v>1506</v>
      </c>
      <c r="P183" s="381">
        <v>5230377.7699999996</v>
      </c>
      <c r="Q183" s="381">
        <v>16985006.34</v>
      </c>
      <c r="R183" s="381">
        <v>22215384.109999999</v>
      </c>
      <c r="S183" s="390"/>
      <c r="T183" s="380">
        <v>1438</v>
      </c>
      <c r="U183" s="403">
        <v>5230377.7699999996</v>
      </c>
      <c r="V183" s="403">
        <v>18106016.940000001</v>
      </c>
      <c r="W183" s="403">
        <v>23336394.710000001</v>
      </c>
      <c r="X183" s="390"/>
      <c r="Y183" s="380">
        <v>1575</v>
      </c>
      <c r="Z183" s="448">
        <v>7495716.3600000003</v>
      </c>
      <c r="AA183" s="448">
        <v>16723694.609999999</v>
      </c>
      <c r="AB183" s="403">
        <v>24219410.969999999</v>
      </c>
      <c r="AC183" s="390"/>
      <c r="AD183" s="457">
        <v>1684</v>
      </c>
      <c r="AE183" s="448"/>
      <c r="AF183" s="448"/>
    </row>
    <row r="184" spans="1:32" ht="14.5">
      <c r="A184" s="380" t="s">
        <v>553</v>
      </c>
      <c r="B184" s="380" t="s">
        <v>230</v>
      </c>
      <c r="C184" s="389" t="s">
        <v>554</v>
      </c>
      <c r="E184" s="381">
        <v>805</v>
      </c>
      <c r="F184" s="381">
        <v>40000</v>
      </c>
      <c r="G184" s="381">
        <v>5062547.76</v>
      </c>
      <c r="H184" s="381">
        <v>5102547.76</v>
      </c>
      <c r="I184" s="390"/>
      <c r="J184" s="380">
        <v>865</v>
      </c>
      <c r="K184" s="381">
        <v>40000</v>
      </c>
      <c r="L184" s="381">
        <v>6615879.8099999996</v>
      </c>
      <c r="M184" s="381">
        <v>6655879.8099999996</v>
      </c>
      <c r="N184" s="390"/>
      <c r="O184" s="380">
        <v>881</v>
      </c>
      <c r="P184" s="381">
        <v>40000</v>
      </c>
      <c r="Q184" s="381">
        <v>7453045.0300000003</v>
      </c>
      <c r="R184" s="381">
        <v>7493045.0300000003</v>
      </c>
      <c r="S184" s="390"/>
      <c r="T184" s="380">
        <v>1081</v>
      </c>
      <c r="U184" s="403">
        <v>40000</v>
      </c>
      <c r="V184" s="403">
        <v>9756912.8399999999</v>
      </c>
      <c r="W184" s="403">
        <v>9796912.8399999999</v>
      </c>
      <c r="X184" s="390"/>
      <c r="Y184" s="380">
        <v>928</v>
      </c>
      <c r="Z184" s="448">
        <v>40000</v>
      </c>
      <c r="AA184" s="448">
        <v>8675628.3200000003</v>
      </c>
      <c r="AB184" s="403">
        <v>8715628.3200000003</v>
      </c>
      <c r="AC184" s="390"/>
      <c r="AD184" s="457">
        <v>888</v>
      </c>
      <c r="AE184" s="448"/>
      <c r="AF184" s="448"/>
    </row>
    <row r="185" spans="1:32" ht="14.5">
      <c r="A185" s="380" t="s">
        <v>555</v>
      </c>
      <c r="B185" s="380" t="s">
        <v>188</v>
      </c>
      <c r="C185" s="389" t="s">
        <v>556</v>
      </c>
      <c r="E185" s="381">
        <v>111</v>
      </c>
      <c r="F185" s="381">
        <v>103746.14</v>
      </c>
      <c r="G185" s="381">
        <v>872331.86</v>
      </c>
      <c r="H185" s="381">
        <v>976078</v>
      </c>
      <c r="I185" s="390"/>
      <c r="J185" s="380">
        <v>118</v>
      </c>
      <c r="K185" s="381">
        <v>0</v>
      </c>
      <c r="L185" s="381">
        <v>983327.79</v>
      </c>
      <c r="M185" s="381">
        <v>983327.79</v>
      </c>
      <c r="N185" s="390"/>
      <c r="O185" s="380">
        <v>125</v>
      </c>
      <c r="P185" s="381">
        <v>28287.13</v>
      </c>
      <c r="Q185" s="381">
        <v>1208113.74</v>
      </c>
      <c r="R185" s="381">
        <v>1236400.8699999999</v>
      </c>
      <c r="S185" s="390"/>
      <c r="T185" s="380">
        <v>130</v>
      </c>
      <c r="U185" s="403">
        <v>79682.45</v>
      </c>
      <c r="V185" s="403">
        <v>1348908.5</v>
      </c>
      <c r="W185" s="403">
        <v>1428590.95</v>
      </c>
      <c r="X185" s="390"/>
      <c r="Y185" s="380">
        <v>146</v>
      </c>
      <c r="Z185" s="448">
        <v>203786.21</v>
      </c>
      <c r="AA185" s="448">
        <v>1267975.3999999999</v>
      </c>
      <c r="AB185" s="403">
        <v>1471761.6099999999</v>
      </c>
      <c r="AC185" s="390"/>
      <c r="AD185" s="457">
        <v>156</v>
      </c>
      <c r="AE185" s="448"/>
      <c r="AF185" s="448"/>
    </row>
    <row r="186" spans="1:32" ht="14.5">
      <c r="A186" s="380" t="s">
        <v>557</v>
      </c>
      <c r="B186" s="380" t="s">
        <v>193</v>
      </c>
      <c r="C186" s="389" t="s">
        <v>558</v>
      </c>
      <c r="E186" s="381">
        <v>5</v>
      </c>
      <c r="F186" s="381">
        <v>5980</v>
      </c>
      <c r="G186" s="381">
        <v>43573.04</v>
      </c>
      <c r="H186" s="381">
        <v>49553.04</v>
      </c>
      <c r="I186" s="390"/>
      <c r="J186" s="380">
        <v>4</v>
      </c>
      <c r="K186" s="381">
        <v>10135.94</v>
      </c>
      <c r="L186" s="381">
        <v>41066.730000000003</v>
      </c>
      <c r="M186" s="381">
        <v>51202.670000000006</v>
      </c>
      <c r="N186" s="390"/>
      <c r="O186" s="380">
        <v>3</v>
      </c>
      <c r="P186" s="381">
        <v>0</v>
      </c>
      <c r="Q186" s="381">
        <v>33214.44</v>
      </c>
      <c r="R186" s="381">
        <v>33214.44</v>
      </c>
      <c r="S186" s="390"/>
      <c r="T186" s="380">
        <v>3</v>
      </c>
      <c r="U186" s="403">
        <v>0</v>
      </c>
      <c r="V186" s="403">
        <v>33395.51</v>
      </c>
      <c r="W186" s="403">
        <v>33395.51</v>
      </c>
      <c r="X186" s="390"/>
      <c r="Y186" s="380">
        <v>7</v>
      </c>
      <c r="Z186" s="448">
        <v>0</v>
      </c>
      <c r="AA186" s="448">
        <v>42825.15</v>
      </c>
      <c r="AB186" s="403">
        <v>42825.15</v>
      </c>
      <c r="AC186" s="390"/>
      <c r="AD186" s="457">
        <v>8</v>
      </c>
      <c r="AE186" s="448"/>
      <c r="AF186" s="448"/>
    </row>
    <row r="187" spans="1:32" ht="14.5">
      <c r="A187" s="380" t="s">
        <v>559</v>
      </c>
      <c r="B187" s="380" t="s">
        <v>196</v>
      </c>
      <c r="C187" s="389" t="s">
        <v>1202</v>
      </c>
      <c r="E187" s="381">
        <v>78</v>
      </c>
      <c r="F187" s="381">
        <v>357884.03</v>
      </c>
      <c r="G187" s="381">
        <v>699587.25</v>
      </c>
      <c r="H187" s="381">
        <v>1057471.28</v>
      </c>
      <c r="I187" s="390"/>
      <c r="J187" s="380">
        <v>89</v>
      </c>
      <c r="K187" s="381">
        <v>0</v>
      </c>
      <c r="L187" s="381">
        <v>1265198.8700000001</v>
      </c>
      <c r="M187" s="381">
        <v>1265198.8700000001</v>
      </c>
      <c r="N187" s="390"/>
      <c r="O187" s="380">
        <v>87</v>
      </c>
      <c r="P187" s="381">
        <v>64633.72</v>
      </c>
      <c r="Q187" s="381">
        <v>1283739.78</v>
      </c>
      <c r="R187" s="381">
        <v>1348373.5</v>
      </c>
      <c r="S187" s="390"/>
      <c r="T187" s="380">
        <v>100</v>
      </c>
      <c r="U187" s="403">
        <v>67488.070000000007</v>
      </c>
      <c r="V187" s="403">
        <v>1174754.02</v>
      </c>
      <c r="W187" s="403">
        <v>1242242.0900000001</v>
      </c>
      <c r="X187" s="390"/>
      <c r="Y187" s="380">
        <v>84</v>
      </c>
      <c r="Z187" s="448">
        <v>0</v>
      </c>
      <c r="AA187" s="448">
        <v>1269884.75</v>
      </c>
      <c r="AB187" s="403">
        <v>1269884.75</v>
      </c>
      <c r="AC187" s="390"/>
      <c r="AD187" s="457">
        <v>98</v>
      </c>
      <c r="AE187" s="448"/>
      <c r="AF187" s="448"/>
    </row>
    <row r="188" spans="1:32" ht="14.5">
      <c r="A188" s="380" t="s">
        <v>561</v>
      </c>
      <c r="B188" s="380" t="s">
        <v>193</v>
      </c>
      <c r="C188" s="389" t="s">
        <v>562</v>
      </c>
      <c r="E188" s="381">
        <v>9</v>
      </c>
      <c r="F188" s="381">
        <v>0</v>
      </c>
      <c r="G188" s="381">
        <v>92775.91</v>
      </c>
      <c r="H188" s="381">
        <v>92775.91</v>
      </c>
      <c r="I188" s="390"/>
      <c r="J188" s="380">
        <v>6</v>
      </c>
      <c r="K188" s="381">
        <v>26511.03</v>
      </c>
      <c r="L188" s="381">
        <v>54249.08</v>
      </c>
      <c r="M188" s="381">
        <v>80760.11</v>
      </c>
      <c r="N188" s="390"/>
      <c r="O188" s="380">
        <v>6</v>
      </c>
      <c r="P188" s="381">
        <v>0</v>
      </c>
      <c r="Q188" s="381">
        <v>89541</v>
      </c>
      <c r="R188" s="381">
        <v>89541</v>
      </c>
      <c r="S188" s="390"/>
      <c r="T188" s="380">
        <v>3</v>
      </c>
      <c r="U188" s="403">
        <v>0</v>
      </c>
      <c r="V188" s="403">
        <v>67825.67</v>
      </c>
      <c r="W188" s="403">
        <v>67825.67</v>
      </c>
      <c r="X188" s="390"/>
      <c r="Y188" s="380">
        <v>5</v>
      </c>
      <c r="Z188" s="448">
        <v>0</v>
      </c>
      <c r="AA188" s="448">
        <v>91110.69</v>
      </c>
      <c r="AB188" s="403">
        <v>91110.69</v>
      </c>
      <c r="AC188" s="390"/>
      <c r="AD188" s="457">
        <v>4</v>
      </c>
      <c r="AE188" s="448"/>
      <c r="AF188" s="448"/>
    </row>
    <row r="189" spans="1:32" ht="14.5">
      <c r="A189" s="380" t="s">
        <v>563</v>
      </c>
      <c r="B189" s="380" t="s">
        <v>193</v>
      </c>
      <c r="C189" s="389" t="s">
        <v>564</v>
      </c>
      <c r="E189" s="381">
        <v>9</v>
      </c>
      <c r="F189" s="381">
        <v>0</v>
      </c>
      <c r="G189" s="381">
        <v>57302.76</v>
      </c>
      <c r="H189" s="381">
        <v>57302.76</v>
      </c>
      <c r="I189" s="390"/>
      <c r="J189" s="380">
        <v>12</v>
      </c>
      <c r="K189" s="381">
        <v>16284.49</v>
      </c>
      <c r="L189" s="381">
        <v>58312.57</v>
      </c>
      <c r="M189" s="381">
        <v>74597.06</v>
      </c>
      <c r="N189" s="390"/>
      <c r="O189" s="380">
        <v>14</v>
      </c>
      <c r="P189" s="381">
        <v>0</v>
      </c>
      <c r="Q189" s="381">
        <v>108475.34</v>
      </c>
      <c r="R189" s="381">
        <v>108475.34</v>
      </c>
      <c r="S189" s="390"/>
      <c r="T189" s="380">
        <v>9</v>
      </c>
      <c r="U189" s="403">
        <v>0</v>
      </c>
      <c r="V189" s="403">
        <v>107572.82</v>
      </c>
      <c r="W189" s="403">
        <v>107572.82</v>
      </c>
      <c r="X189" s="390"/>
      <c r="Y189" s="380">
        <v>6</v>
      </c>
      <c r="Z189" s="448">
        <v>0</v>
      </c>
      <c r="AA189" s="448">
        <v>91784.54</v>
      </c>
      <c r="AB189" s="403">
        <v>91784.54</v>
      </c>
      <c r="AC189" s="390"/>
      <c r="AD189" s="457">
        <v>7</v>
      </c>
      <c r="AE189" s="448"/>
      <c r="AF189" s="448"/>
    </row>
    <row r="190" spans="1:32" ht="14.5">
      <c r="A190" s="380" t="s">
        <v>565</v>
      </c>
      <c r="B190" s="380" t="s">
        <v>230</v>
      </c>
      <c r="C190" s="389" t="s">
        <v>566</v>
      </c>
      <c r="D190" s="380" t="s">
        <v>818</v>
      </c>
      <c r="E190" s="381">
        <v>26</v>
      </c>
      <c r="F190" s="381">
        <v>0</v>
      </c>
      <c r="G190" s="381">
        <v>193401.78</v>
      </c>
      <c r="H190" s="381">
        <v>193401.78</v>
      </c>
      <c r="I190" s="390"/>
      <c r="J190" s="380">
        <v>20</v>
      </c>
      <c r="K190" s="381">
        <v>416.68</v>
      </c>
      <c r="L190" s="381">
        <v>188333.32</v>
      </c>
      <c r="M190" s="381">
        <v>188750</v>
      </c>
      <c r="N190" s="390"/>
      <c r="O190" s="380">
        <v>26</v>
      </c>
      <c r="P190" s="381">
        <v>0</v>
      </c>
      <c r="Q190" s="381">
        <v>207623.56</v>
      </c>
      <c r="R190" s="381">
        <v>207623.56</v>
      </c>
      <c r="S190" s="390"/>
      <c r="T190" s="380">
        <v>0</v>
      </c>
      <c r="U190" s="403">
        <v>0</v>
      </c>
      <c r="V190" s="403">
        <v>165855.29999999999</v>
      </c>
      <c r="W190" s="403">
        <v>165855.29999999999</v>
      </c>
      <c r="X190" s="390"/>
      <c r="Y190" s="380">
        <v>18</v>
      </c>
      <c r="Z190" s="448">
        <v>0</v>
      </c>
      <c r="AA190" s="448">
        <v>153288.82999999999</v>
      </c>
      <c r="AB190" s="403">
        <v>153288.82999999999</v>
      </c>
      <c r="AC190" s="390"/>
      <c r="AD190" s="457">
        <v>18</v>
      </c>
      <c r="AE190" s="448"/>
      <c r="AF190" s="448"/>
    </row>
    <row r="191" spans="1:32" ht="14.5">
      <c r="A191" s="380" t="s">
        <v>567</v>
      </c>
      <c r="B191" s="380" t="s">
        <v>230</v>
      </c>
      <c r="C191" s="389" t="s">
        <v>568</v>
      </c>
      <c r="E191" s="381">
        <v>74</v>
      </c>
      <c r="F191" s="381">
        <v>10593.25</v>
      </c>
      <c r="G191" s="381">
        <v>573002.41</v>
      </c>
      <c r="H191" s="381">
        <v>583595.66</v>
      </c>
      <c r="I191" s="390"/>
      <c r="J191" s="380">
        <v>80</v>
      </c>
      <c r="K191" s="381">
        <v>0</v>
      </c>
      <c r="L191" s="381">
        <v>675032.35</v>
      </c>
      <c r="M191" s="381">
        <v>675032.35</v>
      </c>
      <c r="N191" s="390"/>
      <c r="O191" s="380">
        <v>79</v>
      </c>
      <c r="P191" s="381">
        <v>18022.169999999998</v>
      </c>
      <c r="Q191" s="381">
        <v>695521.2</v>
      </c>
      <c r="R191" s="381">
        <v>713543.37</v>
      </c>
      <c r="S191" s="390"/>
      <c r="T191" s="380">
        <v>79</v>
      </c>
      <c r="U191" s="403">
        <v>0</v>
      </c>
      <c r="V191" s="403">
        <v>746856.44</v>
      </c>
      <c r="W191" s="403">
        <v>746856.44</v>
      </c>
      <c r="X191" s="390"/>
      <c r="Y191" s="380">
        <v>67</v>
      </c>
      <c r="Z191" s="448">
        <v>3862.25</v>
      </c>
      <c r="AA191" s="448">
        <v>684746.78</v>
      </c>
      <c r="AB191" s="403">
        <v>688609.03</v>
      </c>
      <c r="AC191" s="390"/>
      <c r="AD191" s="457">
        <v>55</v>
      </c>
      <c r="AE191" s="448"/>
      <c r="AF191" s="448"/>
    </row>
    <row r="192" spans="1:32" ht="14.5">
      <c r="A192" s="380" t="s">
        <v>569</v>
      </c>
      <c r="B192" s="380" t="s">
        <v>204</v>
      </c>
      <c r="C192" s="389" t="s">
        <v>570</v>
      </c>
      <c r="E192" s="381">
        <v>383</v>
      </c>
      <c r="F192" s="381">
        <v>0</v>
      </c>
      <c r="G192" s="381">
        <v>3544505.94</v>
      </c>
      <c r="H192" s="381">
        <v>3544505.94</v>
      </c>
      <c r="I192" s="390"/>
      <c r="J192" s="380">
        <v>399</v>
      </c>
      <c r="K192" s="381">
        <v>0</v>
      </c>
      <c r="L192" s="381">
        <v>4368061.88</v>
      </c>
      <c r="M192" s="381">
        <v>4368061.88</v>
      </c>
      <c r="N192" s="390"/>
      <c r="O192" s="380">
        <v>421</v>
      </c>
      <c r="P192" s="381">
        <v>0</v>
      </c>
      <c r="Q192" s="381">
        <v>5366521.12</v>
      </c>
      <c r="R192" s="381">
        <v>5366521.12</v>
      </c>
      <c r="S192" s="390"/>
      <c r="T192" s="380">
        <v>402</v>
      </c>
      <c r="U192" s="403">
        <v>0</v>
      </c>
      <c r="V192" s="403">
        <v>5523853.3799999999</v>
      </c>
      <c r="W192" s="403">
        <v>5523853.3799999999</v>
      </c>
      <c r="X192" s="390"/>
      <c r="Y192" s="380">
        <v>419</v>
      </c>
      <c r="Z192" s="448">
        <v>445454.98</v>
      </c>
      <c r="AA192" s="448">
        <v>6272429.7800000003</v>
      </c>
      <c r="AB192" s="403">
        <v>6717884.7599999998</v>
      </c>
      <c r="AC192" s="390"/>
      <c r="AD192" s="457">
        <v>402</v>
      </c>
      <c r="AE192" s="448"/>
      <c r="AF192" s="448"/>
    </row>
    <row r="193" spans="1:32" ht="14.5">
      <c r="A193" s="380" t="s">
        <v>571</v>
      </c>
      <c r="B193" s="380" t="s">
        <v>201</v>
      </c>
      <c r="C193" s="389" t="s">
        <v>572</v>
      </c>
      <c r="E193" s="381">
        <v>570</v>
      </c>
      <c r="F193" s="381">
        <v>0</v>
      </c>
      <c r="G193" s="381">
        <v>4150266.48</v>
      </c>
      <c r="H193" s="381">
        <v>4150266.48</v>
      </c>
      <c r="I193" s="390"/>
      <c r="J193" s="380">
        <v>607</v>
      </c>
      <c r="K193" s="381">
        <v>0</v>
      </c>
      <c r="L193" s="381">
        <v>5430532.3899999997</v>
      </c>
      <c r="M193" s="381">
        <v>5430532.3899999997</v>
      </c>
      <c r="N193" s="390"/>
      <c r="O193" s="380">
        <v>617</v>
      </c>
      <c r="P193" s="381">
        <v>0</v>
      </c>
      <c r="Q193" s="381">
        <v>5774199.9900000002</v>
      </c>
      <c r="R193" s="381">
        <v>5774199.9900000002</v>
      </c>
      <c r="S193" s="390"/>
      <c r="T193" s="380">
        <v>628</v>
      </c>
      <c r="U193" s="403">
        <v>0</v>
      </c>
      <c r="V193" s="403">
        <v>6212611.4100000001</v>
      </c>
      <c r="W193" s="403">
        <v>6212611.4100000001</v>
      </c>
      <c r="X193" s="390"/>
      <c r="Y193" s="380">
        <v>614</v>
      </c>
      <c r="Z193" s="448">
        <v>0</v>
      </c>
      <c r="AA193" s="448">
        <v>5500283.8899999997</v>
      </c>
      <c r="AB193" s="403">
        <v>5500283.8899999997</v>
      </c>
      <c r="AC193" s="390"/>
      <c r="AD193" s="457">
        <v>620</v>
      </c>
      <c r="AE193" s="448"/>
      <c r="AF193" s="448"/>
    </row>
    <row r="194" spans="1:32" ht="14.5">
      <c r="A194" s="380" t="s">
        <v>573</v>
      </c>
      <c r="B194" s="380" t="s">
        <v>230</v>
      </c>
      <c r="C194" s="389" t="s">
        <v>574</v>
      </c>
      <c r="E194" s="381">
        <v>3</v>
      </c>
      <c r="F194" s="381">
        <v>0</v>
      </c>
      <c r="G194" s="381">
        <v>16583.990000000002</v>
      </c>
      <c r="H194" s="381">
        <v>16583.990000000002</v>
      </c>
      <c r="I194" s="390"/>
      <c r="J194" s="380">
        <v>4</v>
      </c>
      <c r="K194" s="381">
        <v>0</v>
      </c>
      <c r="L194" s="381">
        <v>23842.18</v>
      </c>
      <c r="M194" s="381">
        <v>23842.18</v>
      </c>
      <c r="N194" s="390"/>
      <c r="O194" s="380">
        <v>4</v>
      </c>
      <c r="P194" s="381">
        <v>0</v>
      </c>
      <c r="Q194" s="381">
        <v>27307.83</v>
      </c>
      <c r="R194" s="381">
        <v>27307.83</v>
      </c>
      <c r="S194" s="390"/>
      <c r="T194" s="380">
        <v>5</v>
      </c>
      <c r="U194" s="403">
        <v>0</v>
      </c>
      <c r="V194" s="403">
        <v>24840.58</v>
      </c>
      <c r="W194" s="403">
        <v>24840.58</v>
      </c>
      <c r="X194" s="390"/>
      <c r="Y194" s="380">
        <v>6</v>
      </c>
      <c r="Z194" s="448">
        <v>0</v>
      </c>
      <c r="AA194" s="448">
        <v>32783.64</v>
      </c>
      <c r="AB194" s="403">
        <v>32783.64</v>
      </c>
      <c r="AC194" s="390"/>
      <c r="AD194" s="457">
        <v>4</v>
      </c>
      <c r="AE194" s="448"/>
      <c r="AF194" s="448"/>
    </row>
    <row r="195" spans="1:32" ht="14.5">
      <c r="A195" s="380" t="s">
        <v>575</v>
      </c>
      <c r="B195" s="380" t="s">
        <v>193</v>
      </c>
      <c r="C195" s="389" t="s">
        <v>576</v>
      </c>
      <c r="E195" s="381">
        <v>28</v>
      </c>
      <c r="F195" s="381">
        <v>0</v>
      </c>
      <c r="G195" s="381">
        <v>210564.75</v>
      </c>
      <c r="H195" s="381">
        <v>210564.75</v>
      </c>
      <c r="I195" s="390"/>
      <c r="J195" s="380">
        <v>17</v>
      </c>
      <c r="K195" s="381">
        <v>0</v>
      </c>
      <c r="L195" s="381">
        <v>227885.94</v>
      </c>
      <c r="M195" s="381">
        <v>227885.94</v>
      </c>
      <c r="N195" s="390"/>
      <c r="O195" s="380">
        <v>20</v>
      </c>
      <c r="P195" s="381">
        <v>0</v>
      </c>
      <c r="Q195" s="381">
        <v>248395.06</v>
      </c>
      <c r="R195" s="381">
        <v>248395.06</v>
      </c>
      <c r="S195" s="390"/>
      <c r="T195" s="380">
        <v>20</v>
      </c>
      <c r="U195" s="403">
        <v>2500</v>
      </c>
      <c r="V195" s="403">
        <v>237739.7</v>
      </c>
      <c r="W195" s="403">
        <v>240239.7</v>
      </c>
      <c r="X195" s="390"/>
      <c r="Y195" s="380">
        <v>20</v>
      </c>
      <c r="Z195" s="448">
        <v>384.92</v>
      </c>
      <c r="AA195" s="448">
        <v>222294.54</v>
      </c>
      <c r="AB195" s="403">
        <v>222679.46000000002</v>
      </c>
      <c r="AC195" s="390"/>
      <c r="AD195" s="457">
        <v>22</v>
      </c>
      <c r="AE195" s="448"/>
      <c r="AF195" s="448"/>
    </row>
    <row r="196" spans="1:32" ht="14.5">
      <c r="A196" s="380" t="s">
        <v>577</v>
      </c>
      <c r="B196" s="380" t="s">
        <v>201</v>
      </c>
      <c r="C196" s="389" t="s">
        <v>578</v>
      </c>
      <c r="E196" s="381">
        <v>2382</v>
      </c>
      <c r="F196" s="381">
        <v>1930216.98</v>
      </c>
      <c r="G196" s="381">
        <v>19415431.629999999</v>
      </c>
      <c r="H196" s="381">
        <v>21345648.609999999</v>
      </c>
      <c r="I196" s="390"/>
      <c r="J196" s="380">
        <v>2421</v>
      </c>
      <c r="K196" s="381">
        <v>865495.33</v>
      </c>
      <c r="L196" s="381">
        <v>24056163.329999998</v>
      </c>
      <c r="M196" s="381">
        <v>24921658.659999996</v>
      </c>
      <c r="N196" s="390"/>
      <c r="O196" s="380">
        <v>2490</v>
      </c>
      <c r="P196" s="381">
        <v>789342.58</v>
      </c>
      <c r="Q196" s="381">
        <v>25615718.969999999</v>
      </c>
      <c r="R196" s="381">
        <v>26405061.549999997</v>
      </c>
      <c r="S196" s="390"/>
      <c r="T196" s="380">
        <v>2354</v>
      </c>
      <c r="U196" s="403">
        <v>1111533.25</v>
      </c>
      <c r="V196" s="403">
        <v>26164256.489999998</v>
      </c>
      <c r="W196" s="403">
        <v>27275789.739999998</v>
      </c>
      <c r="X196" s="390"/>
      <c r="Y196" s="380">
        <v>2387</v>
      </c>
      <c r="Z196" s="448">
        <v>1181721.48</v>
      </c>
      <c r="AA196" s="448">
        <v>26286705.84</v>
      </c>
      <c r="AB196" s="403">
        <v>27468427.32</v>
      </c>
      <c r="AC196" s="390"/>
      <c r="AD196" s="457">
        <v>2453</v>
      </c>
      <c r="AE196" s="448"/>
      <c r="AF196" s="448"/>
    </row>
    <row r="197" spans="1:32" ht="14.5">
      <c r="A197" s="380" t="s">
        <v>579</v>
      </c>
      <c r="B197" s="380" t="s">
        <v>230</v>
      </c>
      <c r="C197" s="389" t="s">
        <v>580</v>
      </c>
      <c r="E197" s="381">
        <v>49</v>
      </c>
      <c r="F197" s="381">
        <v>0</v>
      </c>
      <c r="G197" s="381">
        <v>306838.76</v>
      </c>
      <c r="H197" s="381">
        <v>306838.76</v>
      </c>
      <c r="I197" s="390"/>
      <c r="J197" s="380">
        <v>53</v>
      </c>
      <c r="K197" s="381">
        <v>0</v>
      </c>
      <c r="L197" s="381">
        <v>351073.85</v>
      </c>
      <c r="M197" s="381">
        <v>351073.85</v>
      </c>
      <c r="N197" s="390"/>
      <c r="O197" s="380">
        <v>55</v>
      </c>
      <c r="P197" s="381">
        <v>0</v>
      </c>
      <c r="Q197" s="381">
        <v>449330.52</v>
      </c>
      <c r="R197" s="381">
        <v>449330.52</v>
      </c>
      <c r="S197" s="390"/>
      <c r="T197" s="380">
        <v>46</v>
      </c>
      <c r="U197" s="403">
        <v>0</v>
      </c>
      <c r="V197" s="403">
        <v>391225.98</v>
      </c>
      <c r="W197" s="403">
        <v>391225.98</v>
      </c>
      <c r="X197" s="390"/>
      <c r="Y197" s="380">
        <v>41</v>
      </c>
      <c r="Z197" s="448">
        <v>20807.2</v>
      </c>
      <c r="AA197" s="448">
        <v>429920.72</v>
      </c>
      <c r="AB197" s="403">
        <v>450727.92</v>
      </c>
      <c r="AC197" s="390"/>
      <c r="AD197" s="457">
        <v>33</v>
      </c>
      <c r="AE197" s="448"/>
      <c r="AF197" s="448"/>
    </row>
    <row r="198" spans="1:32" ht="14.5">
      <c r="A198" s="380" t="s">
        <v>581</v>
      </c>
      <c r="B198" s="380" t="s">
        <v>201</v>
      </c>
      <c r="C198" s="389" t="s">
        <v>582</v>
      </c>
      <c r="E198" s="381">
        <v>15</v>
      </c>
      <c r="F198" s="381">
        <v>23535.91</v>
      </c>
      <c r="G198" s="381">
        <v>107728.2</v>
      </c>
      <c r="H198" s="381">
        <v>131264.10999999999</v>
      </c>
      <c r="I198" s="390"/>
      <c r="J198" s="380">
        <v>18</v>
      </c>
      <c r="K198" s="381">
        <v>0</v>
      </c>
      <c r="L198" s="381">
        <v>132267.32999999999</v>
      </c>
      <c r="M198" s="381">
        <v>132267.32999999999</v>
      </c>
      <c r="N198" s="390"/>
      <c r="O198" s="380">
        <v>21</v>
      </c>
      <c r="P198" s="381">
        <v>0</v>
      </c>
      <c r="Q198" s="381">
        <v>125389.81</v>
      </c>
      <c r="R198" s="381">
        <v>125389.81</v>
      </c>
      <c r="S198" s="390"/>
      <c r="T198" s="380">
        <v>20</v>
      </c>
      <c r="U198" s="403">
        <v>0</v>
      </c>
      <c r="V198" s="403">
        <v>157980.21</v>
      </c>
      <c r="W198" s="403">
        <v>157980.21</v>
      </c>
      <c r="X198" s="390"/>
      <c r="Y198" s="380">
        <v>20</v>
      </c>
      <c r="Z198" s="448">
        <v>0</v>
      </c>
      <c r="AA198" s="448">
        <v>157706.95000000001</v>
      </c>
      <c r="AB198" s="403">
        <v>157706.95000000001</v>
      </c>
      <c r="AC198" s="390"/>
      <c r="AD198" s="457">
        <v>34</v>
      </c>
      <c r="AE198" s="448"/>
      <c r="AF198" s="448"/>
    </row>
    <row r="199" spans="1:32" ht="14.5">
      <c r="A199" s="380" t="s">
        <v>583</v>
      </c>
      <c r="B199" s="380" t="s">
        <v>188</v>
      </c>
      <c r="C199" s="389" t="s">
        <v>584</v>
      </c>
      <c r="E199" s="381">
        <v>43</v>
      </c>
      <c r="F199" s="381">
        <v>0</v>
      </c>
      <c r="G199" s="381">
        <v>426555.87</v>
      </c>
      <c r="H199" s="381">
        <v>426555.87</v>
      </c>
      <c r="I199" s="390"/>
      <c r="J199" s="380">
        <v>54</v>
      </c>
      <c r="K199" s="381">
        <v>0</v>
      </c>
      <c r="L199" s="381">
        <v>447684.41</v>
      </c>
      <c r="M199" s="381">
        <v>447684.41</v>
      </c>
      <c r="N199" s="390"/>
      <c r="O199" s="380">
        <v>49</v>
      </c>
      <c r="P199" s="381">
        <v>0</v>
      </c>
      <c r="Q199" s="381">
        <v>520505.38</v>
      </c>
      <c r="R199" s="381">
        <v>520505.38</v>
      </c>
      <c r="S199" s="390"/>
      <c r="T199" s="380">
        <v>47</v>
      </c>
      <c r="U199" s="403">
        <v>0</v>
      </c>
      <c r="V199" s="403">
        <v>448831.43</v>
      </c>
      <c r="W199" s="403">
        <v>448831.43</v>
      </c>
      <c r="X199" s="390"/>
      <c r="Y199" s="380">
        <v>52</v>
      </c>
      <c r="Z199" s="448">
        <v>0</v>
      </c>
      <c r="AA199" s="448">
        <v>471210.14</v>
      </c>
      <c r="AB199" s="403">
        <v>471210.14</v>
      </c>
      <c r="AC199" s="390"/>
      <c r="AD199" s="457">
        <v>57</v>
      </c>
      <c r="AE199" s="448"/>
      <c r="AF199" s="448"/>
    </row>
    <row r="200" spans="1:32" ht="14.5">
      <c r="A200" s="380" t="s">
        <v>585</v>
      </c>
      <c r="B200" s="380" t="s">
        <v>204</v>
      </c>
      <c r="C200" s="389" t="s">
        <v>586</v>
      </c>
      <c r="E200" s="381">
        <v>1217</v>
      </c>
      <c r="F200" s="381">
        <v>50858</v>
      </c>
      <c r="G200" s="381">
        <v>13323441.09</v>
      </c>
      <c r="H200" s="381">
        <v>13374299.09</v>
      </c>
      <c r="I200" s="390"/>
      <c r="J200" s="380">
        <v>1279</v>
      </c>
      <c r="K200" s="381">
        <v>17177</v>
      </c>
      <c r="L200" s="381">
        <v>16393914.970000001</v>
      </c>
      <c r="M200" s="381">
        <v>16411091.970000001</v>
      </c>
      <c r="N200" s="390"/>
      <c r="O200" s="380">
        <v>1312</v>
      </c>
      <c r="P200" s="381">
        <v>0</v>
      </c>
      <c r="Q200" s="381">
        <v>19312190.690000001</v>
      </c>
      <c r="R200" s="381">
        <v>19312190.690000001</v>
      </c>
      <c r="S200" s="390"/>
      <c r="T200" s="380">
        <v>1153</v>
      </c>
      <c r="U200" s="403">
        <v>0</v>
      </c>
      <c r="V200" s="403">
        <v>19522035.260000002</v>
      </c>
      <c r="W200" s="403">
        <v>19522035.260000002</v>
      </c>
      <c r="X200" s="390"/>
      <c r="Y200" s="380">
        <v>1174</v>
      </c>
      <c r="Z200" s="448">
        <v>0</v>
      </c>
      <c r="AA200" s="448">
        <v>18787994.59</v>
      </c>
      <c r="AB200" s="403">
        <v>18787994.59</v>
      </c>
      <c r="AC200" s="390"/>
      <c r="AD200" s="457">
        <v>1232</v>
      </c>
      <c r="AE200" s="448"/>
      <c r="AF200" s="448"/>
    </row>
    <row r="201" spans="1:32" ht="14.5">
      <c r="A201" s="380" t="s">
        <v>1164</v>
      </c>
      <c r="C201" s="389" t="s">
        <v>1165</v>
      </c>
      <c r="I201" s="390"/>
      <c r="N201" s="390"/>
      <c r="O201" s="380">
        <v>0</v>
      </c>
      <c r="S201" s="390"/>
      <c r="T201" s="380">
        <v>0</v>
      </c>
      <c r="U201" s="403">
        <v>0</v>
      </c>
      <c r="V201" s="403">
        <v>0</v>
      </c>
      <c r="W201" s="403">
        <v>0</v>
      </c>
      <c r="X201" s="390"/>
      <c r="Y201" s="380">
        <v>11</v>
      </c>
      <c r="Z201" s="448">
        <v>0</v>
      </c>
      <c r="AA201" s="448">
        <v>133832.04999999999</v>
      </c>
      <c r="AB201" s="403">
        <v>133832.04999999999</v>
      </c>
      <c r="AC201" s="390"/>
      <c r="AD201" s="457">
        <v>26</v>
      </c>
      <c r="AE201" s="448"/>
      <c r="AF201" s="448"/>
    </row>
    <row r="202" spans="1:32" ht="14.5">
      <c r="A202" s="380" t="s">
        <v>587</v>
      </c>
      <c r="B202" s="380" t="s">
        <v>188</v>
      </c>
      <c r="C202" s="389" t="s">
        <v>588</v>
      </c>
      <c r="E202" s="381">
        <v>97</v>
      </c>
      <c r="F202" s="381">
        <v>0</v>
      </c>
      <c r="G202" s="381">
        <v>883840.06</v>
      </c>
      <c r="H202" s="381">
        <v>883840.06</v>
      </c>
      <c r="I202" s="390"/>
      <c r="J202" s="380">
        <v>110</v>
      </c>
      <c r="K202" s="381">
        <v>32871.760000000002</v>
      </c>
      <c r="L202" s="381">
        <v>1098309.9099999999</v>
      </c>
      <c r="M202" s="381">
        <v>1131181.67</v>
      </c>
      <c r="N202" s="390"/>
      <c r="O202" s="380">
        <v>124</v>
      </c>
      <c r="P202" s="381">
        <v>421645.18</v>
      </c>
      <c r="Q202" s="381">
        <v>1227858.3400000001</v>
      </c>
      <c r="R202" s="381">
        <v>1649503.52</v>
      </c>
      <c r="S202" s="390"/>
      <c r="T202" s="380">
        <v>112</v>
      </c>
      <c r="U202" s="403">
        <v>0</v>
      </c>
      <c r="V202" s="403">
        <v>1718274.19</v>
      </c>
      <c r="W202" s="403">
        <v>1718274.19</v>
      </c>
      <c r="X202" s="390"/>
      <c r="Y202" s="380">
        <v>122</v>
      </c>
      <c r="Z202" s="448">
        <v>421646</v>
      </c>
      <c r="AA202" s="448">
        <v>1182012.93</v>
      </c>
      <c r="AB202" s="403">
        <v>1603658.93</v>
      </c>
      <c r="AC202" s="390"/>
      <c r="AD202" s="457">
        <v>144</v>
      </c>
      <c r="AE202" s="448"/>
      <c r="AF202" s="448"/>
    </row>
    <row r="203" spans="1:32" ht="14.5">
      <c r="A203" s="380" t="s">
        <v>589</v>
      </c>
      <c r="B203" s="380" t="s">
        <v>201</v>
      </c>
      <c r="C203" s="389" t="s">
        <v>590</v>
      </c>
      <c r="E203" s="381">
        <v>49</v>
      </c>
      <c r="F203" s="381">
        <v>0</v>
      </c>
      <c r="G203" s="381">
        <v>321204.52</v>
      </c>
      <c r="H203" s="381">
        <v>321204.52</v>
      </c>
      <c r="I203" s="390"/>
      <c r="J203" s="380">
        <v>46</v>
      </c>
      <c r="K203" s="381">
        <v>0</v>
      </c>
      <c r="L203" s="381">
        <v>396150.62</v>
      </c>
      <c r="M203" s="381">
        <v>396150.62</v>
      </c>
      <c r="N203" s="390"/>
      <c r="O203" s="380">
        <v>47</v>
      </c>
      <c r="P203" s="381">
        <v>0</v>
      </c>
      <c r="Q203" s="381">
        <v>521236.59</v>
      </c>
      <c r="R203" s="381">
        <v>521236.59</v>
      </c>
      <c r="S203" s="390"/>
      <c r="T203" s="380">
        <v>49</v>
      </c>
      <c r="U203" s="403">
        <v>34836.31</v>
      </c>
      <c r="V203" s="403">
        <v>491334.15</v>
      </c>
      <c r="W203" s="403">
        <v>526170.46</v>
      </c>
      <c r="X203" s="390"/>
      <c r="Y203" s="380">
        <v>57</v>
      </c>
      <c r="Z203" s="448">
        <v>0</v>
      </c>
      <c r="AA203" s="448">
        <v>527611.34</v>
      </c>
      <c r="AB203" s="403">
        <v>527611.34</v>
      </c>
      <c r="AC203" s="390"/>
      <c r="AD203" s="457">
        <v>60</v>
      </c>
      <c r="AE203" s="448"/>
      <c r="AF203" s="448"/>
    </row>
    <row r="204" spans="1:32" ht="14.5">
      <c r="A204" s="380" t="s">
        <v>591</v>
      </c>
      <c r="B204" s="380" t="s">
        <v>227</v>
      </c>
      <c r="C204" s="389" t="s">
        <v>592</v>
      </c>
      <c r="E204" s="381">
        <v>543</v>
      </c>
      <c r="F204" s="381">
        <v>894021.63</v>
      </c>
      <c r="G204" s="381">
        <v>4976879.66</v>
      </c>
      <c r="H204" s="381">
        <v>5870901.29</v>
      </c>
      <c r="I204" s="390"/>
      <c r="J204" s="380">
        <v>559</v>
      </c>
      <c r="K204" s="381">
        <v>561411.81000000006</v>
      </c>
      <c r="L204" s="381">
        <v>6092924.4400000004</v>
      </c>
      <c r="M204" s="381">
        <v>6654336.25</v>
      </c>
      <c r="N204" s="390"/>
      <c r="O204" s="380">
        <v>579</v>
      </c>
      <c r="P204" s="381">
        <v>1297782.92</v>
      </c>
      <c r="Q204" s="381">
        <v>6134085.5099999998</v>
      </c>
      <c r="R204" s="381">
        <v>7431868.4299999997</v>
      </c>
      <c r="S204" s="390"/>
      <c r="T204" s="380">
        <v>562</v>
      </c>
      <c r="U204" s="403">
        <v>1072178.27</v>
      </c>
      <c r="V204" s="403">
        <v>5845851.8300000001</v>
      </c>
      <c r="W204" s="403">
        <v>6918030.0999999996</v>
      </c>
      <c r="X204" s="390"/>
      <c r="Y204" s="380">
        <v>565</v>
      </c>
      <c r="Z204" s="448">
        <v>1622809.4</v>
      </c>
      <c r="AA204" s="448">
        <v>5813340.3200000003</v>
      </c>
      <c r="AB204" s="403">
        <v>7436149.7200000007</v>
      </c>
      <c r="AC204" s="390"/>
      <c r="AD204" s="457">
        <v>600</v>
      </c>
      <c r="AE204" s="448"/>
      <c r="AF204" s="448"/>
    </row>
    <row r="205" spans="1:32" ht="14.5">
      <c r="A205" s="380" t="s">
        <v>593</v>
      </c>
      <c r="B205" s="380" t="s">
        <v>227</v>
      </c>
      <c r="C205" s="389" t="s">
        <v>594</v>
      </c>
      <c r="E205" s="381">
        <v>181</v>
      </c>
      <c r="F205" s="381">
        <v>0</v>
      </c>
      <c r="G205" s="381">
        <v>2473618.1</v>
      </c>
      <c r="H205" s="381">
        <v>2473618.1</v>
      </c>
      <c r="I205" s="390"/>
      <c r="J205" s="380">
        <v>202</v>
      </c>
      <c r="K205" s="381">
        <v>474.92</v>
      </c>
      <c r="L205" s="381">
        <v>2294762.2799999998</v>
      </c>
      <c r="M205" s="381">
        <v>2295237.1999999997</v>
      </c>
      <c r="N205" s="390"/>
      <c r="O205" s="380">
        <v>187</v>
      </c>
      <c r="P205" s="381">
        <v>658.23</v>
      </c>
      <c r="Q205" s="381">
        <v>2692663.8</v>
      </c>
      <c r="R205" s="381">
        <v>2693322.03</v>
      </c>
      <c r="S205" s="390"/>
      <c r="T205" s="380">
        <v>175</v>
      </c>
      <c r="U205" s="403">
        <v>1273.4000000000001</v>
      </c>
      <c r="V205" s="403">
        <v>2400691.4</v>
      </c>
      <c r="W205" s="403">
        <v>2401964.7999999998</v>
      </c>
      <c r="X205" s="390"/>
      <c r="Y205" s="380">
        <v>156</v>
      </c>
      <c r="Z205" s="448">
        <v>0</v>
      </c>
      <c r="AA205" s="448">
        <v>2536963.1800000002</v>
      </c>
      <c r="AB205" s="403">
        <v>2536963.1800000002</v>
      </c>
      <c r="AC205" s="390"/>
      <c r="AD205" s="457">
        <v>159</v>
      </c>
      <c r="AE205" s="448"/>
      <c r="AF205" s="448"/>
    </row>
    <row r="206" spans="1:32" ht="14.5">
      <c r="A206" s="380" t="s">
        <v>595</v>
      </c>
      <c r="B206" s="380" t="s">
        <v>201</v>
      </c>
      <c r="C206" s="389" t="s">
        <v>596</v>
      </c>
      <c r="E206" s="381">
        <v>25</v>
      </c>
      <c r="F206" s="381">
        <v>0</v>
      </c>
      <c r="G206" s="381">
        <v>178620.56</v>
      </c>
      <c r="H206" s="381">
        <v>178620.56</v>
      </c>
      <c r="I206" s="390"/>
      <c r="J206" s="380">
        <v>23</v>
      </c>
      <c r="K206" s="381">
        <v>0</v>
      </c>
      <c r="L206" s="381">
        <v>202807.26</v>
      </c>
      <c r="M206" s="381">
        <v>202807.26</v>
      </c>
      <c r="N206" s="390"/>
      <c r="O206" s="380">
        <v>28</v>
      </c>
      <c r="P206" s="381">
        <v>0</v>
      </c>
      <c r="Q206" s="381">
        <v>304570.48</v>
      </c>
      <c r="R206" s="381">
        <v>304570.48</v>
      </c>
      <c r="S206" s="390"/>
      <c r="T206" s="380">
        <v>30</v>
      </c>
      <c r="U206" s="403">
        <v>0</v>
      </c>
      <c r="V206" s="403">
        <v>321331.53000000003</v>
      </c>
      <c r="W206" s="403">
        <v>321331.53000000003</v>
      </c>
      <c r="X206" s="390"/>
      <c r="Y206" s="380">
        <v>33</v>
      </c>
      <c r="Z206" s="448">
        <v>1646.34</v>
      </c>
      <c r="AA206" s="448">
        <v>379419.1</v>
      </c>
      <c r="AB206" s="403">
        <v>381065.44</v>
      </c>
      <c r="AC206" s="390"/>
      <c r="AD206" s="457">
        <v>34</v>
      </c>
      <c r="AE206" s="448"/>
      <c r="AF206" s="448"/>
    </row>
    <row r="207" spans="1:32" ht="14.5">
      <c r="A207" s="380" t="s">
        <v>597</v>
      </c>
      <c r="B207" s="380" t="s">
        <v>201</v>
      </c>
      <c r="C207" s="389" t="s">
        <v>1203</v>
      </c>
      <c r="E207" s="381">
        <v>60</v>
      </c>
      <c r="F207" s="381">
        <v>60114.55</v>
      </c>
      <c r="G207" s="381">
        <v>251969</v>
      </c>
      <c r="H207" s="381">
        <v>312083.55</v>
      </c>
      <c r="I207" s="390"/>
      <c r="J207" s="380">
        <v>84</v>
      </c>
      <c r="K207" s="381">
        <v>0</v>
      </c>
      <c r="L207" s="381">
        <v>561271.62</v>
      </c>
      <c r="M207" s="381">
        <v>561271.62</v>
      </c>
      <c r="N207" s="390"/>
      <c r="O207" s="380">
        <v>93</v>
      </c>
      <c r="P207" s="381">
        <v>0</v>
      </c>
      <c r="Q207" s="381">
        <v>805265.51</v>
      </c>
      <c r="R207" s="381">
        <v>805265.51</v>
      </c>
      <c r="S207" s="390"/>
      <c r="T207" s="380">
        <v>127</v>
      </c>
      <c r="U207" s="403">
        <v>0</v>
      </c>
      <c r="V207" s="403">
        <v>835250.05</v>
      </c>
      <c r="W207" s="403">
        <v>835250.05</v>
      </c>
      <c r="X207" s="390"/>
      <c r="Y207" s="380">
        <v>103</v>
      </c>
      <c r="Z207" s="448">
        <v>0</v>
      </c>
      <c r="AA207" s="448">
        <v>721482.86</v>
      </c>
      <c r="AB207" s="403">
        <v>721482.86</v>
      </c>
      <c r="AC207" s="390"/>
      <c r="AD207" s="457">
        <v>105</v>
      </c>
      <c r="AE207" s="448"/>
      <c r="AF207" s="448"/>
    </row>
    <row r="208" spans="1:32" ht="14.5">
      <c r="A208" s="380" t="s">
        <v>599</v>
      </c>
      <c r="B208" s="380" t="s">
        <v>201</v>
      </c>
      <c r="C208" s="389" t="s">
        <v>600</v>
      </c>
      <c r="E208" s="381">
        <v>345</v>
      </c>
      <c r="F208" s="381">
        <v>959435.65</v>
      </c>
      <c r="G208" s="381">
        <v>2426239.71</v>
      </c>
      <c r="H208" s="381">
        <v>3385675.36</v>
      </c>
      <c r="I208" s="390"/>
      <c r="J208" s="380">
        <v>358</v>
      </c>
      <c r="K208" s="381">
        <v>0</v>
      </c>
      <c r="L208" s="381">
        <v>3534690.71</v>
      </c>
      <c r="M208" s="381">
        <v>3534690.71</v>
      </c>
      <c r="N208" s="390"/>
      <c r="O208" s="380">
        <v>353</v>
      </c>
      <c r="P208" s="381">
        <v>0</v>
      </c>
      <c r="Q208" s="381">
        <v>3663174.81</v>
      </c>
      <c r="R208" s="381">
        <v>3663174.81</v>
      </c>
      <c r="S208" s="390"/>
      <c r="T208" s="380">
        <v>348</v>
      </c>
      <c r="U208" s="403">
        <v>0</v>
      </c>
      <c r="V208" s="403">
        <v>3325485.19</v>
      </c>
      <c r="W208" s="403">
        <v>3325485.19</v>
      </c>
      <c r="X208" s="390"/>
      <c r="Y208" s="380">
        <v>328</v>
      </c>
      <c r="Z208" s="448">
        <v>130756.61</v>
      </c>
      <c r="AA208" s="448">
        <v>3502555.14</v>
      </c>
      <c r="AB208" s="403">
        <v>3633311.75</v>
      </c>
      <c r="AC208" s="390"/>
      <c r="AD208" s="457">
        <v>320</v>
      </c>
      <c r="AE208" s="448"/>
      <c r="AF208" s="448"/>
    </row>
    <row r="209" spans="1:32" ht="14.5">
      <c r="A209" s="380" t="s">
        <v>601</v>
      </c>
      <c r="B209" s="380" t="s">
        <v>193</v>
      </c>
      <c r="C209" s="389" t="s">
        <v>602</v>
      </c>
      <c r="E209" s="381">
        <v>303</v>
      </c>
      <c r="F209" s="381">
        <v>38735.620000000003</v>
      </c>
      <c r="G209" s="381">
        <v>2403972.41</v>
      </c>
      <c r="H209" s="381">
        <v>2442708.0300000003</v>
      </c>
      <c r="I209" s="390"/>
      <c r="J209" s="380">
        <v>336</v>
      </c>
      <c r="K209" s="381">
        <v>61386.31</v>
      </c>
      <c r="L209" s="381">
        <v>2923545.77</v>
      </c>
      <c r="M209" s="381">
        <v>2984932.08</v>
      </c>
      <c r="N209" s="390"/>
      <c r="O209" s="380">
        <v>347</v>
      </c>
      <c r="P209" s="381">
        <v>0</v>
      </c>
      <c r="Q209" s="381">
        <v>3347651.13</v>
      </c>
      <c r="R209" s="381">
        <v>3347651.13</v>
      </c>
      <c r="S209" s="390"/>
      <c r="T209" s="380">
        <v>347</v>
      </c>
      <c r="U209" s="403">
        <v>0</v>
      </c>
      <c r="V209" s="403">
        <v>3524599.57</v>
      </c>
      <c r="W209" s="403">
        <v>3524599.57</v>
      </c>
      <c r="X209" s="390"/>
      <c r="Y209" s="380">
        <v>360</v>
      </c>
      <c r="Z209" s="448">
        <v>0</v>
      </c>
      <c r="AA209" s="448">
        <v>3566178.28</v>
      </c>
      <c r="AB209" s="403">
        <v>3566178.28</v>
      </c>
      <c r="AC209" s="390"/>
      <c r="AD209" s="457">
        <v>374</v>
      </c>
      <c r="AE209" s="448"/>
      <c r="AF209" s="448"/>
    </row>
    <row r="210" spans="1:32" ht="14.5">
      <c r="A210" s="380" t="s">
        <v>1166</v>
      </c>
      <c r="C210" s="389" t="s">
        <v>1167</v>
      </c>
      <c r="I210" s="390"/>
      <c r="N210" s="390"/>
      <c r="O210" s="380">
        <v>0</v>
      </c>
      <c r="S210" s="390"/>
      <c r="T210" s="380">
        <v>0</v>
      </c>
      <c r="U210" s="403">
        <v>0</v>
      </c>
      <c r="V210" s="403">
        <v>0</v>
      </c>
      <c r="W210" s="403">
        <v>0</v>
      </c>
      <c r="X210" s="390"/>
      <c r="Y210" s="380">
        <v>6</v>
      </c>
      <c r="Z210" s="448">
        <v>0</v>
      </c>
      <c r="AA210" s="448">
        <v>117961.72</v>
      </c>
      <c r="AB210" s="403">
        <v>117961.72</v>
      </c>
      <c r="AC210" s="390"/>
      <c r="AD210" s="457">
        <v>12</v>
      </c>
      <c r="AE210" s="448"/>
      <c r="AF210" s="448"/>
    </row>
    <row r="211" spans="1:32" ht="14.5">
      <c r="A211" s="380" t="s">
        <v>603</v>
      </c>
      <c r="B211" s="380" t="s">
        <v>204</v>
      </c>
      <c r="C211" s="389" t="s">
        <v>604</v>
      </c>
      <c r="E211" s="381">
        <v>2764</v>
      </c>
      <c r="F211" s="381">
        <v>1846979.19</v>
      </c>
      <c r="G211" s="381">
        <v>29118942.670000002</v>
      </c>
      <c r="H211" s="381">
        <v>30965921.860000003</v>
      </c>
      <c r="I211" s="390"/>
      <c r="J211" s="380">
        <v>2804</v>
      </c>
      <c r="K211" s="381">
        <v>2897208.88</v>
      </c>
      <c r="L211" s="381">
        <v>31719049.719999999</v>
      </c>
      <c r="M211" s="381">
        <v>34616258.600000001</v>
      </c>
      <c r="N211" s="390"/>
      <c r="O211" s="380">
        <v>2900</v>
      </c>
      <c r="P211" s="381">
        <v>3028102.19</v>
      </c>
      <c r="Q211" s="381">
        <v>33744840.530000001</v>
      </c>
      <c r="R211" s="381">
        <v>36772942.719999999</v>
      </c>
      <c r="S211" s="390"/>
      <c r="T211" s="380">
        <v>2736</v>
      </c>
      <c r="U211" s="403">
        <v>5973347.3600000003</v>
      </c>
      <c r="V211" s="403">
        <v>32871471.640000001</v>
      </c>
      <c r="W211" s="403">
        <v>38844819</v>
      </c>
      <c r="X211" s="390"/>
      <c r="Y211" s="380">
        <v>2730</v>
      </c>
      <c r="Z211" s="448">
        <v>6835690.2400000002</v>
      </c>
      <c r="AA211" s="448">
        <v>33516725.98</v>
      </c>
      <c r="AB211" s="403">
        <v>40352416.219999999</v>
      </c>
      <c r="AC211" s="390"/>
      <c r="AD211" s="457">
        <v>2938</v>
      </c>
      <c r="AE211" s="448"/>
      <c r="AF211" s="448"/>
    </row>
    <row r="212" spans="1:32" ht="14.5">
      <c r="A212" s="380" t="s">
        <v>605</v>
      </c>
      <c r="B212" s="380" t="s">
        <v>227</v>
      </c>
      <c r="C212" s="389" t="s">
        <v>606</v>
      </c>
      <c r="E212" s="381">
        <v>6</v>
      </c>
      <c r="F212" s="381">
        <v>0</v>
      </c>
      <c r="G212" s="381">
        <v>20527.5</v>
      </c>
      <c r="H212" s="381">
        <v>20527.5</v>
      </c>
      <c r="I212" s="390"/>
      <c r="J212" s="380">
        <v>2</v>
      </c>
      <c r="K212" s="381">
        <v>20506.37</v>
      </c>
      <c r="L212" s="381">
        <v>41765.120000000003</v>
      </c>
      <c r="M212" s="381">
        <v>62271.490000000005</v>
      </c>
      <c r="N212" s="390"/>
      <c r="O212" s="380">
        <v>1</v>
      </c>
      <c r="P212" s="381">
        <v>0</v>
      </c>
      <c r="Q212" s="381">
        <v>48577.22</v>
      </c>
      <c r="R212" s="381">
        <v>48577.22</v>
      </c>
      <c r="S212" s="390"/>
      <c r="T212" s="380">
        <v>5</v>
      </c>
      <c r="U212" s="403">
        <v>0</v>
      </c>
      <c r="V212" s="403">
        <v>62587.39</v>
      </c>
      <c r="W212" s="403">
        <v>62587.39</v>
      </c>
      <c r="X212" s="390"/>
      <c r="Y212" s="380">
        <v>10</v>
      </c>
      <c r="Z212" s="448">
        <v>27540.38</v>
      </c>
      <c r="AA212" s="448">
        <v>76304.36</v>
      </c>
      <c r="AB212" s="403">
        <v>103844.74</v>
      </c>
      <c r="AC212" s="390"/>
      <c r="AD212" s="457">
        <v>5</v>
      </c>
      <c r="AE212" s="448"/>
      <c r="AF212" s="448"/>
    </row>
    <row r="213" spans="1:32" ht="14.5">
      <c r="A213" s="380" t="s">
        <v>607</v>
      </c>
      <c r="B213" s="380" t="s">
        <v>227</v>
      </c>
      <c r="C213" s="389" t="s">
        <v>608</v>
      </c>
      <c r="E213" s="381">
        <v>57</v>
      </c>
      <c r="F213" s="381">
        <v>0</v>
      </c>
      <c r="G213" s="381">
        <v>638587.56000000006</v>
      </c>
      <c r="H213" s="381">
        <v>638587.56000000006</v>
      </c>
      <c r="I213" s="390"/>
      <c r="J213" s="380">
        <v>58</v>
      </c>
      <c r="K213" s="381">
        <v>0</v>
      </c>
      <c r="L213" s="381">
        <v>784457.87</v>
      </c>
      <c r="M213" s="381">
        <v>784457.87</v>
      </c>
      <c r="N213" s="390"/>
      <c r="O213" s="380">
        <v>53</v>
      </c>
      <c r="P213" s="381">
        <v>0</v>
      </c>
      <c r="Q213" s="381">
        <v>719402.15</v>
      </c>
      <c r="R213" s="381">
        <v>719402.15</v>
      </c>
      <c r="S213" s="390"/>
      <c r="T213" s="380">
        <v>55</v>
      </c>
      <c r="U213" s="403">
        <v>0</v>
      </c>
      <c r="V213" s="403">
        <v>917405.55</v>
      </c>
      <c r="W213" s="403">
        <v>917405.55</v>
      </c>
      <c r="X213" s="390"/>
      <c r="Y213" s="380">
        <v>56</v>
      </c>
      <c r="Z213" s="448">
        <v>0</v>
      </c>
      <c r="AA213" s="448">
        <v>806732.91</v>
      </c>
      <c r="AB213" s="403">
        <v>806732.91</v>
      </c>
      <c r="AC213" s="390"/>
      <c r="AD213" s="457">
        <v>56</v>
      </c>
      <c r="AE213" s="448"/>
      <c r="AF213" s="448"/>
    </row>
    <row r="214" spans="1:32" ht="14.5">
      <c r="A214" s="380" t="s">
        <v>611</v>
      </c>
      <c r="B214" s="380" t="s">
        <v>227</v>
      </c>
      <c r="C214" s="389" t="s">
        <v>612</v>
      </c>
      <c r="E214" s="381">
        <v>501</v>
      </c>
      <c r="F214" s="381">
        <v>0</v>
      </c>
      <c r="G214" s="381">
        <v>3576537.92</v>
      </c>
      <c r="H214" s="381">
        <v>3576537.92</v>
      </c>
      <c r="I214" s="390"/>
      <c r="J214" s="380">
        <v>563</v>
      </c>
      <c r="K214" s="381">
        <v>0</v>
      </c>
      <c r="L214" s="381">
        <v>4397255.03</v>
      </c>
      <c r="M214" s="381">
        <v>4397255.03</v>
      </c>
      <c r="N214" s="390"/>
      <c r="O214" s="380">
        <v>555</v>
      </c>
      <c r="P214" s="381">
        <v>0</v>
      </c>
      <c r="Q214" s="381">
        <v>4908299.93</v>
      </c>
      <c r="R214" s="381">
        <v>4908299.93</v>
      </c>
      <c r="S214" s="390"/>
      <c r="T214" s="380">
        <v>583</v>
      </c>
      <c r="U214" s="403">
        <v>0</v>
      </c>
      <c r="V214" s="403">
        <v>5264103.99</v>
      </c>
      <c r="W214" s="403">
        <v>5264103.99</v>
      </c>
      <c r="X214" s="390"/>
      <c r="Y214" s="380">
        <v>542</v>
      </c>
      <c r="Z214" s="448">
        <v>0</v>
      </c>
      <c r="AA214" s="448">
        <v>5012344.3</v>
      </c>
      <c r="AB214" s="403">
        <v>5012344.3</v>
      </c>
      <c r="AC214" s="390"/>
      <c r="AD214" s="457">
        <v>556</v>
      </c>
      <c r="AE214" s="448"/>
      <c r="AF214" s="448"/>
    </row>
    <row r="215" spans="1:32" ht="14.5">
      <c r="A215" s="380" t="s">
        <v>613</v>
      </c>
      <c r="B215" s="380" t="s">
        <v>230</v>
      </c>
      <c r="C215" s="389" t="s">
        <v>614</v>
      </c>
      <c r="E215" s="381">
        <v>405</v>
      </c>
      <c r="F215" s="381">
        <v>0</v>
      </c>
      <c r="G215" s="381">
        <v>3133855.76</v>
      </c>
      <c r="H215" s="381">
        <v>3133855.76</v>
      </c>
      <c r="I215" s="390"/>
      <c r="J215" s="380">
        <v>411</v>
      </c>
      <c r="K215" s="381">
        <v>0</v>
      </c>
      <c r="L215" s="381">
        <v>3788260.42</v>
      </c>
      <c r="M215" s="381">
        <v>3788260.42</v>
      </c>
      <c r="N215" s="390"/>
      <c r="O215" s="380">
        <v>421</v>
      </c>
      <c r="P215" s="381">
        <v>286771.84999999998</v>
      </c>
      <c r="Q215" s="381">
        <v>4267324</v>
      </c>
      <c r="R215" s="381">
        <v>4554095.8499999996</v>
      </c>
      <c r="S215" s="390"/>
      <c r="T215" s="380">
        <v>423</v>
      </c>
      <c r="U215" s="403">
        <v>309722.62</v>
      </c>
      <c r="V215" s="403">
        <v>4284655.55</v>
      </c>
      <c r="W215" s="403">
        <v>4594378.17</v>
      </c>
      <c r="X215" s="390"/>
      <c r="Y215" s="380">
        <v>442</v>
      </c>
      <c r="Z215" s="448">
        <v>154640.04</v>
      </c>
      <c r="AA215" s="448">
        <v>4563582.3899999997</v>
      </c>
      <c r="AB215" s="403">
        <v>4718222.43</v>
      </c>
      <c r="AC215" s="390"/>
      <c r="AD215" s="457">
        <v>425</v>
      </c>
      <c r="AE215" s="448"/>
      <c r="AF215" s="448"/>
    </row>
    <row r="216" spans="1:32" ht="14.5">
      <c r="A216" s="380" t="s">
        <v>615</v>
      </c>
      <c r="B216" s="380" t="s">
        <v>188</v>
      </c>
      <c r="C216" s="389" t="s">
        <v>616</v>
      </c>
      <c r="E216" s="381">
        <v>125</v>
      </c>
      <c r="F216" s="381">
        <v>0</v>
      </c>
      <c r="G216" s="381">
        <v>787541.73</v>
      </c>
      <c r="H216" s="381">
        <v>787541.73</v>
      </c>
      <c r="I216" s="390"/>
      <c r="J216" s="380">
        <v>131</v>
      </c>
      <c r="K216" s="381">
        <v>0</v>
      </c>
      <c r="L216" s="381">
        <v>1044615.79</v>
      </c>
      <c r="M216" s="381">
        <v>1044615.79</v>
      </c>
      <c r="N216" s="390"/>
      <c r="O216" s="380">
        <v>128</v>
      </c>
      <c r="P216" s="381">
        <v>0</v>
      </c>
      <c r="Q216" s="381">
        <v>1069716.6000000001</v>
      </c>
      <c r="R216" s="381">
        <v>1069716.6000000001</v>
      </c>
      <c r="S216" s="390"/>
      <c r="T216" s="380">
        <v>135</v>
      </c>
      <c r="U216" s="403">
        <v>0</v>
      </c>
      <c r="V216" s="403">
        <v>1124546.1499999999</v>
      </c>
      <c r="W216" s="403">
        <v>1124546.1499999999</v>
      </c>
      <c r="X216" s="390"/>
      <c r="Y216" s="380">
        <v>135</v>
      </c>
      <c r="Z216" s="448">
        <v>0</v>
      </c>
      <c r="AA216" s="448">
        <v>1270656.8400000001</v>
      </c>
      <c r="AB216" s="403">
        <v>1270656.8400000001</v>
      </c>
      <c r="AC216" s="390"/>
      <c r="AD216" s="457">
        <v>133</v>
      </c>
      <c r="AE216" s="448"/>
      <c r="AF216" s="448"/>
    </row>
    <row r="217" spans="1:32" ht="14.5">
      <c r="A217" s="380" t="s">
        <v>617</v>
      </c>
      <c r="B217" s="380" t="s">
        <v>204</v>
      </c>
      <c r="C217" s="389" t="s">
        <v>1204</v>
      </c>
      <c r="E217" s="381">
        <v>36</v>
      </c>
      <c r="F217" s="381">
        <v>1873.95</v>
      </c>
      <c r="G217" s="381">
        <v>211361.75</v>
      </c>
      <c r="H217" s="381">
        <v>213235.7</v>
      </c>
      <c r="I217" s="390"/>
      <c r="J217" s="380">
        <v>42</v>
      </c>
      <c r="K217" s="381">
        <v>0</v>
      </c>
      <c r="L217" s="381">
        <v>348929.38</v>
      </c>
      <c r="M217" s="381">
        <v>348929.38</v>
      </c>
      <c r="N217" s="390"/>
      <c r="O217" s="380">
        <v>38</v>
      </c>
      <c r="P217" s="381">
        <v>0</v>
      </c>
      <c r="Q217" s="381">
        <v>349985</v>
      </c>
      <c r="R217" s="381">
        <v>349985</v>
      </c>
      <c r="S217" s="390"/>
      <c r="T217" s="380">
        <v>35</v>
      </c>
      <c r="U217" s="403">
        <v>0</v>
      </c>
      <c r="V217" s="403">
        <v>281275.31</v>
      </c>
      <c r="W217" s="403">
        <v>281275.31</v>
      </c>
      <c r="X217" s="390"/>
      <c r="Y217" s="380">
        <v>24</v>
      </c>
      <c r="Z217" s="448">
        <v>0</v>
      </c>
      <c r="AA217" s="448">
        <v>213707.34</v>
      </c>
      <c r="AB217" s="403">
        <v>213707.34</v>
      </c>
      <c r="AC217" s="390"/>
      <c r="AD217" s="457">
        <v>21</v>
      </c>
      <c r="AE217" s="448"/>
      <c r="AF217" s="448"/>
    </row>
    <row r="218" spans="1:32" ht="14.5">
      <c r="A218" s="380" t="s">
        <v>619</v>
      </c>
      <c r="B218" s="380" t="s">
        <v>204</v>
      </c>
      <c r="C218" s="389" t="s">
        <v>1262</v>
      </c>
      <c r="E218" s="381">
        <v>17</v>
      </c>
      <c r="F218" s="381">
        <v>0</v>
      </c>
      <c r="G218" s="381">
        <v>389101.86</v>
      </c>
      <c r="H218" s="381">
        <v>389101.86</v>
      </c>
      <c r="I218" s="390"/>
      <c r="J218" s="380">
        <v>41</v>
      </c>
      <c r="K218" s="381">
        <v>239830.07</v>
      </c>
      <c r="L218" s="381">
        <v>200432.92</v>
      </c>
      <c r="M218" s="381">
        <v>440262.99</v>
      </c>
      <c r="N218" s="390"/>
      <c r="O218" s="380">
        <v>45</v>
      </c>
      <c r="P218" s="381">
        <v>93520.8</v>
      </c>
      <c r="Q218" s="381">
        <v>399037.78</v>
      </c>
      <c r="R218" s="381">
        <v>492558.58</v>
      </c>
      <c r="S218" s="390"/>
      <c r="T218" s="380">
        <v>31</v>
      </c>
      <c r="U218" s="403">
        <v>139307.26</v>
      </c>
      <c r="V218" s="403">
        <v>259285.03</v>
      </c>
      <c r="W218" s="403">
        <v>398592.29000000004</v>
      </c>
      <c r="X218" s="390"/>
      <c r="Y218" s="380">
        <v>37</v>
      </c>
      <c r="Z218" s="448">
        <v>0</v>
      </c>
      <c r="AA218" s="448">
        <v>487519.56</v>
      </c>
      <c r="AB218" s="403">
        <v>487519.56</v>
      </c>
      <c r="AC218" s="390"/>
      <c r="AD218" s="457">
        <v>35</v>
      </c>
      <c r="AE218" s="448"/>
      <c r="AF218" s="448"/>
    </row>
    <row r="219" spans="1:32" ht="14.5">
      <c r="A219" s="380" t="s">
        <v>620</v>
      </c>
      <c r="B219" s="380" t="s">
        <v>188</v>
      </c>
      <c r="C219" s="389" t="s">
        <v>621</v>
      </c>
      <c r="D219" s="380" t="s">
        <v>818</v>
      </c>
      <c r="E219" s="381">
        <v>76</v>
      </c>
      <c r="F219" s="381">
        <v>0</v>
      </c>
      <c r="G219" s="381">
        <v>566508.68999999994</v>
      </c>
      <c r="H219" s="381">
        <v>566508.68999999994</v>
      </c>
      <c r="I219" s="390"/>
      <c r="J219" s="380">
        <v>86</v>
      </c>
      <c r="K219" s="381">
        <v>227226.92</v>
      </c>
      <c r="L219" s="381">
        <v>620690.81000000006</v>
      </c>
      <c r="M219" s="381">
        <v>847917.7300000001</v>
      </c>
      <c r="N219" s="390"/>
      <c r="O219" s="380">
        <v>91</v>
      </c>
      <c r="P219" s="381">
        <v>0</v>
      </c>
      <c r="Q219" s="381">
        <v>968667.79</v>
      </c>
      <c r="R219" s="381">
        <v>968667.79</v>
      </c>
      <c r="S219" s="390"/>
      <c r="T219" s="380">
        <v>0</v>
      </c>
      <c r="U219" s="403">
        <v>0</v>
      </c>
      <c r="V219" s="403">
        <v>856302.19</v>
      </c>
      <c r="W219" s="403">
        <v>856302.19</v>
      </c>
      <c r="X219" s="390"/>
      <c r="Y219" s="380">
        <v>77</v>
      </c>
      <c r="Z219" s="448">
        <v>0</v>
      </c>
      <c r="AA219" s="448">
        <v>675730.1</v>
      </c>
      <c r="AB219" s="403">
        <v>675730.1</v>
      </c>
      <c r="AC219" s="390"/>
      <c r="AD219" s="457">
        <v>78</v>
      </c>
      <c r="AE219" s="448"/>
      <c r="AF219" s="448"/>
    </row>
    <row r="220" spans="1:32" ht="14.5">
      <c r="A220" s="380" t="s">
        <v>622</v>
      </c>
      <c r="B220" s="380" t="s">
        <v>193</v>
      </c>
      <c r="C220" s="389" t="s">
        <v>623</v>
      </c>
      <c r="E220" s="381">
        <v>66</v>
      </c>
      <c r="F220" s="381">
        <v>3976</v>
      </c>
      <c r="G220" s="381">
        <v>482838.35</v>
      </c>
      <c r="H220" s="381">
        <v>486814.35</v>
      </c>
      <c r="I220" s="390"/>
      <c r="J220" s="380">
        <v>63</v>
      </c>
      <c r="K220" s="381">
        <v>3910.09</v>
      </c>
      <c r="L220" s="381">
        <v>508005.13</v>
      </c>
      <c r="M220" s="381">
        <v>511915.22000000003</v>
      </c>
      <c r="N220" s="390"/>
      <c r="O220" s="380">
        <v>80</v>
      </c>
      <c r="P220" s="381">
        <v>0</v>
      </c>
      <c r="Q220" s="381">
        <v>747105.53</v>
      </c>
      <c r="R220" s="381">
        <v>747105.53</v>
      </c>
      <c r="S220" s="390"/>
      <c r="T220" s="380">
        <v>85</v>
      </c>
      <c r="U220" s="403">
        <v>0</v>
      </c>
      <c r="V220" s="403">
        <v>724421.79</v>
      </c>
      <c r="W220" s="403">
        <v>724421.79</v>
      </c>
      <c r="X220" s="390"/>
      <c r="Y220" s="380">
        <v>81</v>
      </c>
      <c r="Z220" s="448">
        <v>0</v>
      </c>
      <c r="AA220" s="448">
        <v>728357.83</v>
      </c>
      <c r="AB220" s="403">
        <v>728357.83</v>
      </c>
      <c r="AC220" s="390"/>
      <c r="AD220" s="457">
        <v>86</v>
      </c>
      <c r="AE220" s="448"/>
      <c r="AF220" s="448"/>
    </row>
    <row r="221" spans="1:32" ht="14.5">
      <c r="A221" s="380" t="s">
        <v>624</v>
      </c>
      <c r="B221" s="380" t="s">
        <v>204</v>
      </c>
      <c r="C221" s="389" t="s">
        <v>625</v>
      </c>
      <c r="E221" s="381">
        <v>2114</v>
      </c>
      <c r="F221" s="381">
        <v>7666273.5800000001</v>
      </c>
      <c r="G221" s="381">
        <v>19944424.02</v>
      </c>
      <c r="H221" s="381">
        <v>27610697.600000001</v>
      </c>
      <c r="I221" s="390"/>
      <c r="J221" s="380">
        <v>2198</v>
      </c>
      <c r="K221" s="381">
        <v>7489277.2699999996</v>
      </c>
      <c r="L221" s="381">
        <v>28575927.960000001</v>
      </c>
      <c r="M221" s="381">
        <v>36065205.230000004</v>
      </c>
      <c r="N221" s="390"/>
      <c r="O221" s="380">
        <v>2269</v>
      </c>
      <c r="P221" s="381">
        <v>7743168.04</v>
      </c>
      <c r="Q221" s="381">
        <v>31721602.84</v>
      </c>
      <c r="R221" s="381">
        <v>39464770.880000003</v>
      </c>
      <c r="S221" s="390"/>
      <c r="T221" s="380">
        <v>2277</v>
      </c>
      <c r="U221" s="403">
        <v>9893053.1300000008</v>
      </c>
      <c r="V221" s="403">
        <v>30472672.859999999</v>
      </c>
      <c r="W221" s="403">
        <v>40365725.990000002</v>
      </c>
      <c r="X221" s="390"/>
      <c r="Y221" s="380">
        <v>2133</v>
      </c>
      <c r="Z221" s="448">
        <v>9567951.5600000005</v>
      </c>
      <c r="AA221" s="448">
        <v>29728182.66</v>
      </c>
      <c r="AB221" s="403">
        <v>39296134.219999999</v>
      </c>
      <c r="AC221" s="390"/>
      <c r="AD221" s="457">
        <v>2150</v>
      </c>
      <c r="AE221" s="448"/>
      <c r="AF221" s="448"/>
    </row>
    <row r="222" spans="1:32" ht="14.5">
      <c r="A222" s="380" t="s">
        <v>626</v>
      </c>
      <c r="B222" s="380" t="s">
        <v>193</v>
      </c>
      <c r="C222" s="389" t="s">
        <v>627</v>
      </c>
      <c r="E222" s="381">
        <v>37</v>
      </c>
      <c r="F222" s="381">
        <v>0</v>
      </c>
      <c r="G222" s="381">
        <v>284695.78999999998</v>
      </c>
      <c r="H222" s="381">
        <v>284695.78999999998</v>
      </c>
      <c r="I222" s="390"/>
      <c r="J222" s="380">
        <v>35</v>
      </c>
      <c r="K222" s="381">
        <v>0</v>
      </c>
      <c r="L222" s="381">
        <v>295054.08000000002</v>
      </c>
      <c r="M222" s="381">
        <v>295054.08000000002</v>
      </c>
      <c r="N222" s="390"/>
      <c r="O222" s="380">
        <v>42</v>
      </c>
      <c r="P222" s="381">
        <v>18188.8</v>
      </c>
      <c r="Q222" s="381">
        <v>390483.02</v>
      </c>
      <c r="R222" s="381">
        <v>408671.82</v>
      </c>
      <c r="S222" s="390"/>
      <c r="T222" s="380">
        <v>43</v>
      </c>
      <c r="U222" s="403">
        <v>0</v>
      </c>
      <c r="V222" s="403">
        <v>425650.74</v>
      </c>
      <c r="W222" s="403">
        <v>425650.74</v>
      </c>
      <c r="X222" s="390"/>
      <c r="Y222" s="380">
        <v>60</v>
      </c>
      <c r="Z222" s="448">
        <v>0</v>
      </c>
      <c r="AA222" s="448">
        <v>439668.28</v>
      </c>
      <c r="AB222" s="403">
        <v>439668.28</v>
      </c>
      <c r="AC222" s="390"/>
      <c r="AD222" s="457">
        <v>69</v>
      </c>
      <c r="AE222" s="448"/>
      <c r="AF222" s="448"/>
    </row>
    <row r="223" spans="1:32" ht="14.5">
      <c r="A223" s="380" t="s">
        <v>628</v>
      </c>
      <c r="B223" s="380" t="s">
        <v>201</v>
      </c>
      <c r="C223" s="389" t="s">
        <v>629</v>
      </c>
      <c r="E223" s="381">
        <v>1538</v>
      </c>
      <c r="F223" s="381">
        <v>3149135.46</v>
      </c>
      <c r="G223" s="381">
        <v>12745592.34</v>
      </c>
      <c r="H223" s="381">
        <v>15894727.800000001</v>
      </c>
      <c r="I223" s="390"/>
      <c r="J223" s="380">
        <v>1550</v>
      </c>
      <c r="K223" s="381">
        <v>2913515.3</v>
      </c>
      <c r="L223" s="381">
        <v>13100595.1</v>
      </c>
      <c r="M223" s="381">
        <v>16014110.399999999</v>
      </c>
      <c r="N223" s="390"/>
      <c r="O223" s="380">
        <v>1622</v>
      </c>
      <c r="P223" s="381">
        <v>3917281.21</v>
      </c>
      <c r="Q223" s="381">
        <v>14571486.32</v>
      </c>
      <c r="R223" s="381">
        <v>18488767.530000001</v>
      </c>
      <c r="S223" s="390"/>
      <c r="T223" s="380">
        <v>1618</v>
      </c>
      <c r="U223" s="403">
        <v>2205728.13</v>
      </c>
      <c r="V223" s="403">
        <v>18614863.41</v>
      </c>
      <c r="W223" s="403">
        <v>20820591.539999999</v>
      </c>
      <c r="X223" s="390"/>
      <c r="Y223" s="380">
        <v>1705</v>
      </c>
      <c r="Z223" s="448">
        <v>3037079.73</v>
      </c>
      <c r="AA223" s="448">
        <v>20034477.800000001</v>
      </c>
      <c r="AB223" s="403">
        <v>23071557.530000001</v>
      </c>
      <c r="AC223" s="390"/>
      <c r="AD223" s="457">
        <v>1911</v>
      </c>
      <c r="AE223" s="448"/>
      <c r="AF223" s="448"/>
    </row>
    <row r="224" spans="1:32" ht="14.5">
      <c r="A224" s="380" t="s">
        <v>630</v>
      </c>
      <c r="B224" s="380" t="s">
        <v>209</v>
      </c>
      <c r="C224" s="389" t="s">
        <v>631</v>
      </c>
      <c r="E224" s="381">
        <v>318</v>
      </c>
      <c r="F224" s="381">
        <v>422768.89</v>
      </c>
      <c r="G224" s="381">
        <v>2872301.64</v>
      </c>
      <c r="H224" s="381">
        <v>3295070.5300000003</v>
      </c>
      <c r="I224" s="390"/>
      <c r="J224" s="380">
        <v>349</v>
      </c>
      <c r="K224" s="381">
        <v>523782.71</v>
      </c>
      <c r="L224" s="381">
        <v>3807101.92</v>
      </c>
      <c r="M224" s="381">
        <v>4330884.63</v>
      </c>
      <c r="N224" s="390"/>
      <c r="O224" s="380">
        <v>382</v>
      </c>
      <c r="P224" s="381">
        <v>76500</v>
      </c>
      <c r="Q224" s="381">
        <v>4287823.1100000003</v>
      </c>
      <c r="R224" s="381">
        <v>4364323.1100000003</v>
      </c>
      <c r="S224" s="390"/>
      <c r="T224" s="380">
        <v>386</v>
      </c>
      <c r="U224" s="403">
        <v>327846.28999999998</v>
      </c>
      <c r="V224" s="403">
        <v>4123235.46</v>
      </c>
      <c r="W224" s="403">
        <v>4451081.75</v>
      </c>
      <c r="X224" s="390"/>
      <c r="Y224" s="380">
        <v>425</v>
      </c>
      <c r="Z224" s="448">
        <v>485594.08</v>
      </c>
      <c r="AA224" s="448">
        <v>4580706.3099999996</v>
      </c>
      <c r="AB224" s="403">
        <v>5066300.3899999997</v>
      </c>
      <c r="AC224" s="390"/>
      <c r="AD224" s="457">
        <v>472</v>
      </c>
      <c r="AE224" s="448"/>
      <c r="AF224" s="448"/>
    </row>
    <row r="225" spans="1:32" ht="14.5">
      <c r="A225" s="380" t="s">
        <v>632</v>
      </c>
      <c r="B225" s="380" t="s">
        <v>193</v>
      </c>
      <c r="C225" s="389" t="s">
        <v>633</v>
      </c>
      <c r="E225" s="381">
        <v>28</v>
      </c>
      <c r="F225" s="381">
        <v>0</v>
      </c>
      <c r="G225" s="381">
        <v>385526.47</v>
      </c>
      <c r="H225" s="381">
        <v>385526.47</v>
      </c>
      <c r="I225" s="390"/>
      <c r="J225" s="380">
        <v>32</v>
      </c>
      <c r="K225" s="381">
        <v>0</v>
      </c>
      <c r="L225" s="381">
        <v>397084.15</v>
      </c>
      <c r="M225" s="381">
        <v>397084.15</v>
      </c>
      <c r="N225" s="390"/>
      <c r="O225" s="380">
        <v>28</v>
      </c>
      <c r="P225" s="381">
        <v>0</v>
      </c>
      <c r="Q225" s="381">
        <v>392357.39</v>
      </c>
      <c r="R225" s="381">
        <v>392357.39</v>
      </c>
      <c r="S225" s="390"/>
      <c r="T225" s="380">
        <v>25</v>
      </c>
      <c r="U225" s="403">
        <v>0</v>
      </c>
      <c r="V225" s="403">
        <v>361955.72</v>
      </c>
      <c r="W225" s="403">
        <v>361955.72</v>
      </c>
      <c r="X225" s="390"/>
      <c r="Y225" s="380">
        <v>33</v>
      </c>
      <c r="Z225" s="448">
        <v>61193.95</v>
      </c>
      <c r="AA225" s="448">
        <v>279262.40999999997</v>
      </c>
      <c r="AB225" s="403">
        <v>340456.36</v>
      </c>
      <c r="AC225" s="390"/>
      <c r="AD225" s="457">
        <v>38</v>
      </c>
      <c r="AE225" s="448"/>
      <c r="AF225" s="448"/>
    </row>
    <row r="226" spans="1:32" ht="14.5">
      <c r="A226" s="380" t="s">
        <v>634</v>
      </c>
      <c r="B226" s="380" t="s">
        <v>193</v>
      </c>
      <c r="C226" s="389" t="s">
        <v>635</v>
      </c>
      <c r="E226" s="381">
        <v>242</v>
      </c>
      <c r="F226" s="381">
        <v>0</v>
      </c>
      <c r="G226" s="381">
        <v>1952497.88</v>
      </c>
      <c r="H226" s="381">
        <v>1952497.88</v>
      </c>
      <c r="I226" s="390"/>
      <c r="J226" s="380">
        <v>229</v>
      </c>
      <c r="K226" s="381">
        <v>0</v>
      </c>
      <c r="L226" s="381">
        <v>2070853.28</v>
      </c>
      <c r="M226" s="381">
        <v>2070853.28</v>
      </c>
      <c r="N226" s="390"/>
      <c r="O226" s="380">
        <v>238</v>
      </c>
      <c r="P226" s="381">
        <v>0</v>
      </c>
      <c r="Q226" s="381">
        <v>2190905.54</v>
      </c>
      <c r="R226" s="381">
        <v>2190905.54</v>
      </c>
      <c r="S226" s="390"/>
      <c r="T226" s="380">
        <v>217</v>
      </c>
      <c r="U226" s="403">
        <v>0</v>
      </c>
      <c r="V226" s="403">
        <v>2072511.95</v>
      </c>
      <c r="W226" s="403">
        <v>2072511.95</v>
      </c>
      <c r="X226" s="390"/>
      <c r="Y226" s="380">
        <v>200</v>
      </c>
      <c r="Z226" s="448">
        <v>0</v>
      </c>
      <c r="AA226" s="448">
        <v>2101961.7200000002</v>
      </c>
      <c r="AB226" s="403">
        <v>2101961.7200000002</v>
      </c>
      <c r="AC226" s="390"/>
      <c r="AD226" s="457">
        <v>224</v>
      </c>
      <c r="AE226" s="448"/>
      <c r="AF226" s="448"/>
    </row>
    <row r="227" spans="1:32" ht="14.5">
      <c r="A227" s="380" t="s">
        <v>636</v>
      </c>
      <c r="B227" s="380" t="s">
        <v>204</v>
      </c>
      <c r="C227" s="389" t="s">
        <v>637</v>
      </c>
      <c r="E227" s="381">
        <v>344</v>
      </c>
      <c r="F227" s="381">
        <v>703183.44</v>
      </c>
      <c r="G227" s="381">
        <v>2758967.84</v>
      </c>
      <c r="H227" s="381">
        <v>3462151.28</v>
      </c>
      <c r="I227" s="390"/>
      <c r="J227" s="380">
        <v>346</v>
      </c>
      <c r="K227" s="381">
        <v>593419.86</v>
      </c>
      <c r="L227" s="381">
        <v>3742849.59</v>
      </c>
      <c r="M227" s="381">
        <v>4336269.45</v>
      </c>
      <c r="N227" s="390"/>
      <c r="O227" s="380">
        <v>353</v>
      </c>
      <c r="P227" s="381">
        <v>318991.34000000003</v>
      </c>
      <c r="Q227" s="381">
        <v>4330812.2699999996</v>
      </c>
      <c r="R227" s="381">
        <v>4649803.6099999994</v>
      </c>
      <c r="S227" s="390"/>
      <c r="T227" s="380">
        <v>331</v>
      </c>
      <c r="U227" s="403">
        <v>257317.38</v>
      </c>
      <c r="V227" s="403">
        <v>4539421.53</v>
      </c>
      <c r="W227" s="403">
        <v>4796738.91</v>
      </c>
      <c r="X227" s="390"/>
      <c r="Y227" s="380">
        <v>332</v>
      </c>
      <c r="Z227" s="448">
        <v>768515.05</v>
      </c>
      <c r="AA227" s="448">
        <v>3949255.09</v>
      </c>
      <c r="AB227" s="403">
        <v>4717770.1399999997</v>
      </c>
      <c r="AC227" s="390"/>
      <c r="AD227" s="457">
        <v>322</v>
      </c>
      <c r="AE227" s="448"/>
      <c r="AF227" s="448"/>
    </row>
    <row r="228" spans="1:32" ht="14.5">
      <c r="A228" s="380" t="s">
        <v>638</v>
      </c>
      <c r="B228" s="380" t="s">
        <v>188</v>
      </c>
      <c r="C228" s="389" t="s">
        <v>639</v>
      </c>
      <c r="E228" s="381">
        <v>374</v>
      </c>
      <c r="F228" s="381">
        <v>896009.05</v>
      </c>
      <c r="G228" s="381">
        <v>2897672.62</v>
      </c>
      <c r="H228" s="381">
        <v>3793681.67</v>
      </c>
      <c r="I228" s="390"/>
      <c r="J228" s="380">
        <v>344</v>
      </c>
      <c r="K228" s="381">
        <v>879743.09</v>
      </c>
      <c r="L228" s="381">
        <v>3381831.53</v>
      </c>
      <c r="M228" s="381">
        <v>4261574.62</v>
      </c>
      <c r="N228" s="390"/>
      <c r="O228" s="380">
        <v>326</v>
      </c>
      <c r="P228" s="381">
        <v>908284.07</v>
      </c>
      <c r="Q228" s="381">
        <v>3657352.11</v>
      </c>
      <c r="R228" s="381">
        <v>4565636.18</v>
      </c>
      <c r="S228" s="390"/>
      <c r="T228" s="380">
        <v>312</v>
      </c>
      <c r="U228" s="403">
        <v>1062118.3999999999</v>
      </c>
      <c r="V228" s="403">
        <v>3551108.5</v>
      </c>
      <c r="W228" s="403">
        <v>4613226.9000000004</v>
      </c>
      <c r="X228" s="390"/>
      <c r="Y228" s="380">
        <v>284</v>
      </c>
      <c r="Z228" s="448">
        <v>1150294.48</v>
      </c>
      <c r="AA228" s="448">
        <v>3379051.67</v>
      </c>
      <c r="AB228" s="403">
        <v>4529346.1500000004</v>
      </c>
      <c r="AC228" s="390"/>
      <c r="AD228" s="457">
        <v>308</v>
      </c>
      <c r="AE228" s="448"/>
      <c r="AF228" s="448"/>
    </row>
    <row r="229" spans="1:32" ht="14.5">
      <c r="A229" s="380" t="s">
        <v>640</v>
      </c>
      <c r="B229" s="380" t="s">
        <v>209</v>
      </c>
      <c r="C229" s="389" t="s">
        <v>641</v>
      </c>
      <c r="D229" s="380" t="s">
        <v>818</v>
      </c>
      <c r="E229" s="381">
        <v>0</v>
      </c>
      <c r="F229" s="381">
        <v>0</v>
      </c>
      <c r="G229" s="381">
        <v>4948.08</v>
      </c>
      <c r="H229" s="381">
        <v>4948.08</v>
      </c>
      <c r="I229" s="390"/>
      <c r="J229" s="380">
        <v>2</v>
      </c>
      <c r="K229" s="381">
        <v>0</v>
      </c>
      <c r="L229" s="381">
        <v>26865.98</v>
      </c>
      <c r="M229" s="381">
        <v>26865.98</v>
      </c>
      <c r="N229" s="390"/>
      <c r="O229" s="380">
        <v>4</v>
      </c>
      <c r="P229" s="381">
        <v>0</v>
      </c>
      <c r="Q229" s="381">
        <v>36671.83</v>
      </c>
      <c r="R229" s="381">
        <v>36671.83</v>
      </c>
      <c r="S229" s="390"/>
      <c r="T229" s="380">
        <v>0</v>
      </c>
      <c r="U229" s="403">
        <v>0</v>
      </c>
      <c r="V229" s="403">
        <v>61134.8</v>
      </c>
      <c r="W229" s="403">
        <v>61134.8</v>
      </c>
      <c r="X229" s="390"/>
      <c r="Y229" s="380">
        <v>5</v>
      </c>
      <c r="Z229" s="448">
        <v>0</v>
      </c>
      <c r="AA229" s="448">
        <v>52937.56</v>
      </c>
      <c r="AB229" s="403">
        <v>52937.56</v>
      </c>
      <c r="AC229" s="390"/>
      <c r="AD229" s="457">
        <v>2</v>
      </c>
      <c r="AE229" s="448"/>
      <c r="AF229" s="448"/>
    </row>
    <row r="230" spans="1:32" ht="14.5">
      <c r="A230" s="380" t="s">
        <v>642</v>
      </c>
      <c r="B230" s="380" t="s">
        <v>193</v>
      </c>
      <c r="C230" s="389" t="s">
        <v>643</v>
      </c>
      <c r="E230" s="381">
        <v>23</v>
      </c>
      <c r="F230" s="381">
        <v>1587.16</v>
      </c>
      <c r="G230" s="381">
        <v>184929</v>
      </c>
      <c r="H230" s="381">
        <v>186516.16</v>
      </c>
      <c r="I230" s="390"/>
      <c r="J230" s="380">
        <v>32</v>
      </c>
      <c r="K230" s="381">
        <v>0</v>
      </c>
      <c r="L230" s="381">
        <v>233974.84</v>
      </c>
      <c r="M230" s="381">
        <v>233974.84</v>
      </c>
      <c r="N230" s="390"/>
      <c r="O230" s="380">
        <v>40</v>
      </c>
      <c r="P230" s="381">
        <v>21322.41</v>
      </c>
      <c r="Q230" s="381">
        <v>231820.27</v>
      </c>
      <c r="R230" s="381">
        <v>253142.68</v>
      </c>
      <c r="S230" s="390"/>
      <c r="T230" s="380">
        <v>26</v>
      </c>
      <c r="U230" s="403">
        <v>0</v>
      </c>
      <c r="V230" s="403">
        <v>244739.59</v>
      </c>
      <c r="W230" s="403">
        <v>244739.59</v>
      </c>
      <c r="X230" s="390"/>
      <c r="Y230" s="380">
        <v>18</v>
      </c>
      <c r="Z230" s="448">
        <v>0</v>
      </c>
      <c r="AA230" s="448">
        <v>251143.99</v>
      </c>
      <c r="AB230" s="403">
        <v>251143.99</v>
      </c>
      <c r="AC230" s="390"/>
      <c r="AD230" s="457">
        <v>21</v>
      </c>
      <c r="AE230" s="448"/>
      <c r="AF230" s="448"/>
    </row>
    <row r="231" spans="1:32" ht="14.5">
      <c r="A231" s="380" t="s">
        <v>644</v>
      </c>
      <c r="B231" s="380" t="s">
        <v>220</v>
      </c>
      <c r="C231" s="389" t="s">
        <v>645</v>
      </c>
      <c r="E231" s="381">
        <v>166</v>
      </c>
      <c r="F231" s="381">
        <v>0</v>
      </c>
      <c r="G231" s="381">
        <v>1210665.28</v>
      </c>
      <c r="H231" s="381">
        <v>1210665.28</v>
      </c>
      <c r="I231" s="390"/>
      <c r="J231" s="380">
        <v>162</v>
      </c>
      <c r="K231" s="381">
        <v>0</v>
      </c>
      <c r="L231" s="381">
        <v>1538697.69</v>
      </c>
      <c r="M231" s="381">
        <v>1538697.69</v>
      </c>
      <c r="N231" s="390"/>
      <c r="O231" s="380">
        <v>196</v>
      </c>
      <c r="P231" s="381">
        <v>0</v>
      </c>
      <c r="Q231" s="381">
        <v>1874978.71</v>
      </c>
      <c r="R231" s="381">
        <v>1874978.71</v>
      </c>
      <c r="S231" s="390"/>
      <c r="T231" s="380">
        <v>234</v>
      </c>
      <c r="U231" s="403">
        <v>0</v>
      </c>
      <c r="V231" s="403">
        <v>2217358.44</v>
      </c>
      <c r="W231" s="403">
        <v>2217358.44</v>
      </c>
      <c r="X231" s="390"/>
      <c r="Y231" s="380">
        <v>246</v>
      </c>
      <c r="Z231" s="448">
        <v>0</v>
      </c>
      <c r="AA231" s="448">
        <v>2139684.0499999998</v>
      </c>
      <c r="AB231" s="403">
        <v>2139684.0499999998</v>
      </c>
      <c r="AC231" s="390"/>
      <c r="AD231" s="457">
        <v>230</v>
      </c>
      <c r="AE231" s="448"/>
      <c r="AF231" s="448"/>
    </row>
    <row r="232" spans="1:32" ht="14.5">
      <c r="A232" s="380" t="s">
        <v>646</v>
      </c>
      <c r="B232" s="380" t="s">
        <v>196</v>
      </c>
      <c r="C232" s="389" t="s">
        <v>1205</v>
      </c>
      <c r="E232" s="381">
        <v>115</v>
      </c>
      <c r="F232" s="381">
        <v>0</v>
      </c>
      <c r="G232" s="381">
        <v>1229935.5900000001</v>
      </c>
      <c r="H232" s="381">
        <v>1229935.5900000001</v>
      </c>
      <c r="I232" s="390"/>
      <c r="J232" s="380">
        <v>117</v>
      </c>
      <c r="K232" s="381">
        <v>2810.37</v>
      </c>
      <c r="L232" s="381">
        <v>1426242.15</v>
      </c>
      <c r="M232" s="381">
        <v>1429052.52</v>
      </c>
      <c r="N232" s="390"/>
      <c r="O232" s="380">
        <v>135</v>
      </c>
      <c r="P232" s="381">
        <v>3871</v>
      </c>
      <c r="Q232" s="381">
        <v>1875954.36</v>
      </c>
      <c r="R232" s="381">
        <v>1879825.36</v>
      </c>
      <c r="S232" s="390"/>
      <c r="T232" s="380">
        <v>151</v>
      </c>
      <c r="U232" s="403">
        <v>4503.3999999999996</v>
      </c>
      <c r="V232" s="403">
        <v>1940040.6</v>
      </c>
      <c r="W232" s="403">
        <v>1944544</v>
      </c>
      <c r="X232" s="390"/>
      <c r="Y232" s="380">
        <v>143</v>
      </c>
      <c r="Z232" s="448">
        <v>2616.4499999999998</v>
      </c>
      <c r="AA232" s="448">
        <v>1871069.13</v>
      </c>
      <c r="AB232" s="403">
        <v>1873685.5799999998</v>
      </c>
      <c r="AC232" s="390"/>
      <c r="AD232" s="457">
        <v>143</v>
      </c>
      <c r="AE232" s="448"/>
      <c r="AF232" s="448"/>
    </row>
    <row r="233" spans="1:32" ht="14.5">
      <c r="A233" s="380" t="s">
        <v>648</v>
      </c>
      <c r="B233" s="380" t="s">
        <v>188</v>
      </c>
      <c r="C233" s="389" t="s">
        <v>649</v>
      </c>
      <c r="E233" s="381">
        <v>9</v>
      </c>
      <c r="F233" s="381">
        <v>10640.33</v>
      </c>
      <c r="G233" s="381">
        <v>77826.34</v>
      </c>
      <c r="H233" s="381">
        <v>88466.67</v>
      </c>
      <c r="I233" s="390"/>
      <c r="J233" s="380">
        <v>8</v>
      </c>
      <c r="K233" s="381">
        <v>32273.27</v>
      </c>
      <c r="L233" s="381">
        <v>65904.39</v>
      </c>
      <c r="M233" s="381">
        <v>98177.66</v>
      </c>
      <c r="N233" s="390"/>
      <c r="O233" s="380">
        <v>12</v>
      </c>
      <c r="P233" s="381">
        <v>0</v>
      </c>
      <c r="Q233" s="381">
        <v>110755.71</v>
      </c>
      <c r="R233" s="381">
        <v>110755.71</v>
      </c>
      <c r="S233" s="390"/>
      <c r="T233" s="380">
        <v>9</v>
      </c>
      <c r="U233" s="403">
        <v>0</v>
      </c>
      <c r="V233" s="403">
        <v>108169.74</v>
      </c>
      <c r="W233" s="403">
        <v>108169.74</v>
      </c>
      <c r="X233" s="390"/>
      <c r="Y233" s="380">
        <v>9</v>
      </c>
      <c r="Z233" s="448">
        <v>0</v>
      </c>
      <c r="AA233" s="448">
        <v>88341.9</v>
      </c>
      <c r="AB233" s="403">
        <v>88341.9</v>
      </c>
      <c r="AC233" s="390"/>
      <c r="AD233" s="457">
        <v>10</v>
      </c>
      <c r="AE233" s="448"/>
      <c r="AF233" s="448"/>
    </row>
    <row r="234" spans="1:32" ht="15.65" customHeight="1">
      <c r="A234" s="380" t="s">
        <v>650</v>
      </c>
      <c r="B234" s="380" t="s">
        <v>209</v>
      </c>
      <c r="C234" s="389" t="s">
        <v>651</v>
      </c>
      <c r="E234" s="381">
        <v>37</v>
      </c>
      <c r="F234" s="381">
        <v>0</v>
      </c>
      <c r="G234" s="381">
        <v>0</v>
      </c>
      <c r="H234" s="381">
        <v>0</v>
      </c>
      <c r="I234" s="390"/>
      <c r="J234" s="380">
        <v>40</v>
      </c>
      <c r="K234" s="381">
        <v>0</v>
      </c>
      <c r="L234" s="381">
        <v>0</v>
      </c>
      <c r="M234" s="381">
        <v>0</v>
      </c>
      <c r="N234" s="390"/>
      <c r="O234" s="380">
        <v>51</v>
      </c>
      <c r="P234" s="381">
        <v>0</v>
      </c>
      <c r="Q234" s="381">
        <v>0</v>
      </c>
      <c r="R234" s="381">
        <v>0</v>
      </c>
      <c r="S234" s="390"/>
      <c r="T234" s="380">
        <v>53</v>
      </c>
      <c r="U234" s="403">
        <v>0</v>
      </c>
      <c r="V234" s="403">
        <v>0</v>
      </c>
      <c r="W234" s="403">
        <v>0</v>
      </c>
      <c r="X234" s="390"/>
      <c r="Y234" s="380">
        <v>51</v>
      </c>
      <c r="Z234" s="448">
        <v>0</v>
      </c>
      <c r="AA234" s="448">
        <v>0</v>
      </c>
      <c r="AB234" s="403">
        <v>0</v>
      </c>
      <c r="AC234" s="390"/>
      <c r="AD234" s="457">
        <v>59</v>
      </c>
      <c r="AE234" s="448"/>
      <c r="AF234" s="448"/>
    </row>
    <row r="235" spans="1:32" ht="14.5">
      <c r="A235" s="380" t="s">
        <v>652</v>
      </c>
      <c r="B235" s="380" t="s">
        <v>209</v>
      </c>
      <c r="C235" s="389" t="s">
        <v>1206</v>
      </c>
      <c r="E235" s="381">
        <v>79</v>
      </c>
      <c r="F235" s="381">
        <v>0</v>
      </c>
      <c r="G235" s="381">
        <v>0</v>
      </c>
      <c r="H235" s="381">
        <v>0</v>
      </c>
      <c r="I235" s="390"/>
      <c r="J235" s="380">
        <v>70</v>
      </c>
      <c r="K235" s="381">
        <v>0</v>
      </c>
      <c r="L235" s="381">
        <v>0</v>
      </c>
      <c r="M235" s="381">
        <v>0</v>
      </c>
      <c r="N235" s="390"/>
      <c r="O235" s="380">
        <v>72</v>
      </c>
      <c r="P235" s="381">
        <v>0</v>
      </c>
      <c r="Q235" s="381">
        <v>0</v>
      </c>
      <c r="R235" s="381">
        <v>0</v>
      </c>
      <c r="S235" s="390"/>
      <c r="T235" s="380">
        <v>85</v>
      </c>
      <c r="U235" s="403">
        <v>0</v>
      </c>
      <c r="V235" s="403">
        <v>0</v>
      </c>
      <c r="W235" s="403">
        <v>0</v>
      </c>
      <c r="X235" s="390"/>
      <c r="Y235" s="380">
        <v>100</v>
      </c>
      <c r="Z235" s="448">
        <v>0</v>
      </c>
      <c r="AA235" s="448">
        <v>0</v>
      </c>
      <c r="AB235" s="403">
        <v>0</v>
      </c>
      <c r="AC235" s="390"/>
      <c r="AD235" s="457">
        <v>92</v>
      </c>
      <c r="AE235" s="448"/>
      <c r="AF235" s="448"/>
    </row>
    <row r="236" spans="1:32" ht="14.5">
      <c r="A236" s="380" t="s">
        <v>654</v>
      </c>
      <c r="B236" s="380" t="s">
        <v>204</v>
      </c>
      <c r="C236" s="389" t="s">
        <v>655</v>
      </c>
      <c r="E236" s="381">
        <v>7133</v>
      </c>
      <c r="F236" s="381">
        <v>66978888.869999997</v>
      </c>
      <c r="G236" s="381">
        <v>63483983.68</v>
      </c>
      <c r="H236" s="381">
        <v>130462872.55</v>
      </c>
      <c r="I236" s="390"/>
      <c r="J236" s="380">
        <v>7384</v>
      </c>
      <c r="K236" s="381">
        <v>63986137.909999996</v>
      </c>
      <c r="L236" s="381">
        <v>88233419.870000005</v>
      </c>
      <c r="M236" s="381">
        <v>152219557.78</v>
      </c>
      <c r="N236" s="390"/>
      <c r="O236" s="380">
        <v>7805</v>
      </c>
      <c r="P236" s="381">
        <v>71033511.829999998</v>
      </c>
      <c r="Q236" s="381">
        <v>96119339.459999993</v>
      </c>
      <c r="R236" s="381">
        <v>167152851.28999999</v>
      </c>
      <c r="S236" s="390"/>
      <c r="T236" s="380">
        <v>7329</v>
      </c>
      <c r="U236" s="403">
        <v>78381326.969999999</v>
      </c>
      <c r="V236" s="403">
        <v>94735663.989999995</v>
      </c>
      <c r="W236" s="403">
        <v>173116990.95999998</v>
      </c>
      <c r="X236" s="390"/>
      <c r="Y236" s="380">
        <v>7099</v>
      </c>
      <c r="Z236" s="448">
        <v>78213770.769999996</v>
      </c>
      <c r="AA236" s="448">
        <v>95826689.569999993</v>
      </c>
      <c r="AB236" s="403">
        <v>174040460.33999997</v>
      </c>
      <c r="AC236" s="390"/>
      <c r="AD236" s="457">
        <v>7433</v>
      </c>
      <c r="AE236" s="448"/>
      <c r="AF236" s="448"/>
    </row>
    <row r="237" spans="1:32" ht="14.5">
      <c r="A237" s="380" t="s">
        <v>656</v>
      </c>
      <c r="B237" s="380" t="s">
        <v>196</v>
      </c>
      <c r="C237" s="389" t="s">
        <v>1207</v>
      </c>
      <c r="E237" s="381">
        <v>714</v>
      </c>
      <c r="F237" s="381">
        <v>63556.46</v>
      </c>
      <c r="G237" s="381">
        <v>8447362.9499999993</v>
      </c>
      <c r="H237" s="381">
        <v>8510919.4100000001</v>
      </c>
      <c r="I237" s="390"/>
      <c r="J237" s="380">
        <v>786</v>
      </c>
      <c r="K237" s="381">
        <v>151183.04000000001</v>
      </c>
      <c r="L237" s="381">
        <v>10818055.59</v>
      </c>
      <c r="M237" s="381">
        <v>10969238.629999999</v>
      </c>
      <c r="N237" s="390"/>
      <c r="O237" s="380">
        <v>799</v>
      </c>
      <c r="P237" s="381">
        <v>136488.93</v>
      </c>
      <c r="Q237" s="381">
        <v>11413568.34</v>
      </c>
      <c r="R237" s="381">
        <v>11550057.27</v>
      </c>
      <c r="S237" s="390"/>
      <c r="T237" s="380">
        <v>763</v>
      </c>
      <c r="U237" s="403">
        <v>199525.68</v>
      </c>
      <c r="V237" s="403">
        <v>11442858.039999999</v>
      </c>
      <c r="W237" s="403">
        <v>11642383.719999999</v>
      </c>
      <c r="X237" s="390"/>
      <c r="Y237" s="380">
        <v>804</v>
      </c>
      <c r="Z237" s="448">
        <v>162845.68</v>
      </c>
      <c r="AA237" s="448">
        <v>12015127.25</v>
      </c>
      <c r="AB237" s="403">
        <v>12177972.93</v>
      </c>
      <c r="AC237" s="390"/>
      <c r="AD237" s="457">
        <v>774</v>
      </c>
      <c r="AE237" s="448"/>
      <c r="AF237" s="448"/>
    </row>
    <row r="238" spans="1:32" ht="14.5">
      <c r="A238" s="380" t="s">
        <v>658</v>
      </c>
      <c r="B238" s="380" t="s">
        <v>220</v>
      </c>
      <c r="C238" s="389" t="s">
        <v>659</v>
      </c>
      <c r="E238" s="381">
        <v>472</v>
      </c>
      <c r="F238" s="381">
        <v>0</v>
      </c>
      <c r="G238" s="381">
        <v>3857296.91</v>
      </c>
      <c r="H238" s="381">
        <v>3857296.91</v>
      </c>
      <c r="I238" s="390"/>
      <c r="J238" s="380">
        <v>479</v>
      </c>
      <c r="K238" s="381">
        <v>0</v>
      </c>
      <c r="L238" s="381">
        <v>4528701.5</v>
      </c>
      <c r="M238" s="381">
        <v>4528701.5</v>
      </c>
      <c r="N238" s="390"/>
      <c r="O238" s="380">
        <v>506</v>
      </c>
      <c r="P238" s="381">
        <v>0</v>
      </c>
      <c r="Q238" s="381">
        <v>5076044.2699999996</v>
      </c>
      <c r="R238" s="381">
        <v>5076044.2699999996</v>
      </c>
      <c r="S238" s="390"/>
      <c r="T238" s="380">
        <v>462</v>
      </c>
      <c r="U238" s="403">
        <v>0</v>
      </c>
      <c r="V238" s="403">
        <v>4954076.6100000003</v>
      </c>
      <c r="W238" s="403">
        <v>4954076.6100000003</v>
      </c>
      <c r="X238" s="390"/>
      <c r="Y238" s="380">
        <v>468</v>
      </c>
      <c r="Z238" s="448">
        <v>0</v>
      </c>
      <c r="AA238" s="448">
        <v>5091657.2300000004</v>
      </c>
      <c r="AB238" s="403">
        <v>5091657.2300000004</v>
      </c>
      <c r="AC238" s="390"/>
      <c r="AD238" s="457">
        <v>480</v>
      </c>
      <c r="AE238" s="448"/>
      <c r="AF238" s="448"/>
    </row>
    <row r="239" spans="1:32" ht="14.5">
      <c r="A239" s="380" t="s">
        <v>660</v>
      </c>
      <c r="B239" s="380" t="s">
        <v>193</v>
      </c>
      <c r="C239" s="389" t="s">
        <v>661</v>
      </c>
      <c r="E239" s="381">
        <v>56</v>
      </c>
      <c r="F239" s="381">
        <v>0</v>
      </c>
      <c r="G239" s="381">
        <v>389842.09</v>
      </c>
      <c r="H239" s="381">
        <v>389842.09</v>
      </c>
      <c r="I239" s="390"/>
      <c r="J239" s="380">
        <v>64</v>
      </c>
      <c r="K239" s="381">
        <v>0</v>
      </c>
      <c r="L239" s="381">
        <v>390765.79</v>
      </c>
      <c r="M239" s="381">
        <v>390765.79</v>
      </c>
      <c r="N239" s="390"/>
      <c r="O239" s="380">
        <v>52</v>
      </c>
      <c r="P239" s="381">
        <v>0</v>
      </c>
      <c r="Q239" s="381">
        <v>390872.43</v>
      </c>
      <c r="R239" s="381">
        <v>390872.43</v>
      </c>
      <c r="S239" s="390"/>
      <c r="T239" s="380">
        <v>52</v>
      </c>
      <c r="U239" s="403">
        <v>0</v>
      </c>
      <c r="V239" s="403">
        <v>402410.23</v>
      </c>
      <c r="W239" s="403">
        <v>402410.23</v>
      </c>
      <c r="X239" s="390"/>
      <c r="Y239" s="380">
        <v>50</v>
      </c>
      <c r="Z239" s="448">
        <v>0</v>
      </c>
      <c r="AA239" s="448">
        <v>389013.81</v>
      </c>
      <c r="AB239" s="403">
        <v>389013.81</v>
      </c>
      <c r="AC239" s="390"/>
      <c r="AD239" s="457">
        <v>48</v>
      </c>
      <c r="AE239" s="448"/>
      <c r="AF239" s="448"/>
    </row>
    <row r="240" spans="1:32" ht="14.5">
      <c r="A240" s="380" t="s">
        <v>662</v>
      </c>
      <c r="B240" s="380" t="s">
        <v>227</v>
      </c>
      <c r="C240" s="389" t="s">
        <v>663</v>
      </c>
      <c r="E240" s="381">
        <v>418</v>
      </c>
      <c r="F240" s="381">
        <v>0</v>
      </c>
      <c r="G240" s="381">
        <v>3973970.49</v>
      </c>
      <c r="H240" s="381">
        <v>3973970.49</v>
      </c>
      <c r="I240" s="390"/>
      <c r="J240" s="380">
        <v>444</v>
      </c>
      <c r="K240" s="381">
        <v>0</v>
      </c>
      <c r="L240" s="381">
        <v>5064488.13</v>
      </c>
      <c r="M240" s="381">
        <v>5064488.13</v>
      </c>
      <c r="N240" s="390"/>
      <c r="O240" s="380">
        <v>419</v>
      </c>
      <c r="P240" s="381">
        <v>0</v>
      </c>
      <c r="Q240" s="381">
        <v>5606594.1299999999</v>
      </c>
      <c r="R240" s="381">
        <v>5606594.1299999999</v>
      </c>
      <c r="S240" s="390"/>
      <c r="T240" s="380">
        <v>386</v>
      </c>
      <c r="U240" s="403">
        <v>49291.83</v>
      </c>
      <c r="V240" s="403">
        <v>4909692.1900000004</v>
      </c>
      <c r="W240" s="403">
        <v>4958984.0200000005</v>
      </c>
      <c r="X240" s="390"/>
      <c r="Y240" s="380">
        <v>425</v>
      </c>
      <c r="Z240" s="448">
        <v>134295.89000000001</v>
      </c>
      <c r="AA240" s="448">
        <v>5304410.82</v>
      </c>
      <c r="AB240" s="403">
        <v>5438706.71</v>
      </c>
      <c r="AC240" s="390"/>
      <c r="AD240" s="457">
        <v>432</v>
      </c>
      <c r="AE240" s="448"/>
      <c r="AF240" s="448"/>
    </row>
    <row r="241" spans="1:32" ht="14.5">
      <c r="A241" s="380" t="s">
        <v>664</v>
      </c>
      <c r="B241" s="380" t="s">
        <v>196</v>
      </c>
      <c r="C241" s="389" t="s">
        <v>665</v>
      </c>
      <c r="E241" s="381">
        <v>1</v>
      </c>
      <c r="F241" s="381">
        <v>0</v>
      </c>
      <c r="G241" s="381">
        <v>2854.01</v>
      </c>
      <c r="H241" s="381">
        <v>2854.01</v>
      </c>
      <c r="I241" s="390"/>
      <c r="J241" s="380">
        <v>0</v>
      </c>
      <c r="K241" s="381">
        <v>0</v>
      </c>
      <c r="L241" s="381">
        <v>0</v>
      </c>
      <c r="M241" s="381">
        <v>0</v>
      </c>
      <c r="N241" s="390"/>
      <c r="O241" s="380">
        <v>0</v>
      </c>
      <c r="P241" s="381">
        <v>0</v>
      </c>
      <c r="Q241" s="381">
        <v>0</v>
      </c>
      <c r="R241" s="381">
        <v>0</v>
      </c>
      <c r="S241" s="390"/>
      <c r="T241" s="380">
        <v>0</v>
      </c>
      <c r="U241" s="403">
        <v>0</v>
      </c>
      <c r="V241" s="403">
        <v>2299.06</v>
      </c>
      <c r="W241" s="403">
        <v>2299.06</v>
      </c>
      <c r="X241" s="390"/>
      <c r="Y241" s="380">
        <v>0</v>
      </c>
      <c r="Z241" s="448">
        <v>0</v>
      </c>
      <c r="AA241" s="448">
        <v>0</v>
      </c>
      <c r="AB241" s="403">
        <v>0</v>
      </c>
      <c r="AC241" s="390"/>
      <c r="AD241" s="457">
        <v>0</v>
      </c>
      <c r="AE241" s="448"/>
      <c r="AF241" s="448"/>
    </row>
    <row r="242" spans="1:32" ht="14.5">
      <c r="A242" s="380" t="s">
        <v>666</v>
      </c>
      <c r="B242" s="380" t="s">
        <v>188</v>
      </c>
      <c r="C242" s="389" t="s">
        <v>667</v>
      </c>
      <c r="E242" s="381">
        <v>734</v>
      </c>
      <c r="F242" s="381">
        <v>1137989.51</v>
      </c>
      <c r="G242" s="381">
        <v>5571653.7999999998</v>
      </c>
      <c r="H242" s="381">
        <v>6709643.3099999996</v>
      </c>
      <c r="I242" s="390"/>
      <c r="J242" s="380">
        <v>737</v>
      </c>
      <c r="K242" s="381">
        <v>1016834.54</v>
      </c>
      <c r="L242" s="381">
        <v>6816453.6500000004</v>
      </c>
      <c r="M242" s="381">
        <v>7833288.1900000004</v>
      </c>
      <c r="N242" s="390"/>
      <c r="O242" s="380">
        <v>702</v>
      </c>
      <c r="P242" s="381">
        <v>868585.8</v>
      </c>
      <c r="Q242" s="381">
        <v>7303490.04</v>
      </c>
      <c r="R242" s="381">
        <v>8172075.8399999999</v>
      </c>
      <c r="S242" s="390"/>
      <c r="T242" s="380">
        <v>632</v>
      </c>
      <c r="U242" s="403">
        <v>1110071.82</v>
      </c>
      <c r="V242" s="403">
        <v>6781519.7000000002</v>
      </c>
      <c r="W242" s="403">
        <v>7891591.5200000005</v>
      </c>
      <c r="X242" s="390"/>
      <c r="Y242" s="380">
        <v>624</v>
      </c>
      <c r="Z242" s="448">
        <v>1211828.17</v>
      </c>
      <c r="AA242" s="448">
        <v>6783203.9400000004</v>
      </c>
      <c r="AB242" s="403">
        <v>7995032.1100000003</v>
      </c>
      <c r="AC242" s="390"/>
      <c r="AD242" s="457">
        <v>656</v>
      </c>
      <c r="AE242" s="448"/>
      <c r="AF242" s="448"/>
    </row>
    <row r="243" spans="1:32" ht="14.5">
      <c r="A243" s="380" t="s">
        <v>668</v>
      </c>
      <c r="B243" s="380" t="s">
        <v>204</v>
      </c>
      <c r="C243" s="389" t="s">
        <v>669</v>
      </c>
      <c r="E243" s="381">
        <v>1087</v>
      </c>
      <c r="F243" s="381">
        <v>6076816.8399999999</v>
      </c>
      <c r="G243" s="381">
        <v>9917742</v>
      </c>
      <c r="H243" s="381">
        <v>15994558.84</v>
      </c>
      <c r="I243" s="390"/>
      <c r="J243" s="380">
        <v>1112</v>
      </c>
      <c r="K243" s="381">
        <v>6796932.0999999996</v>
      </c>
      <c r="L243" s="381">
        <v>13976748.539999999</v>
      </c>
      <c r="M243" s="381">
        <v>20773680.640000001</v>
      </c>
      <c r="N243" s="390"/>
      <c r="O243" s="380">
        <v>1145</v>
      </c>
      <c r="P243" s="381">
        <v>5042195.3600000003</v>
      </c>
      <c r="Q243" s="381">
        <v>15919083.5</v>
      </c>
      <c r="R243" s="381">
        <v>20961278.859999999</v>
      </c>
      <c r="S243" s="390"/>
      <c r="T243" s="380">
        <v>1096</v>
      </c>
      <c r="U243" s="403">
        <v>6865669.5</v>
      </c>
      <c r="V243" s="403">
        <v>14855149.66</v>
      </c>
      <c r="W243" s="403">
        <v>21720819.16</v>
      </c>
      <c r="X243" s="390"/>
      <c r="Y243" s="380">
        <v>1101</v>
      </c>
      <c r="Z243" s="448">
        <v>6909025.8700000001</v>
      </c>
      <c r="AA243" s="448">
        <v>15165179</v>
      </c>
      <c r="AB243" s="403">
        <v>22074204.870000001</v>
      </c>
      <c r="AC243" s="390"/>
      <c r="AD243" s="457">
        <v>1111</v>
      </c>
      <c r="AE243" s="448"/>
      <c r="AF243" s="448"/>
    </row>
    <row r="244" spans="1:32" ht="14.5">
      <c r="A244" s="380" t="s">
        <v>670</v>
      </c>
      <c r="B244" s="380" t="s">
        <v>209</v>
      </c>
      <c r="C244" s="389" t="s">
        <v>671</v>
      </c>
      <c r="D244" s="380" t="s">
        <v>818</v>
      </c>
      <c r="E244" s="381">
        <v>12</v>
      </c>
      <c r="F244" s="381">
        <v>0</v>
      </c>
      <c r="G244" s="381">
        <v>100021.02</v>
      </c>
      <c r="H244" s="381">
        <v>100021.02</v>
      </c>
      <c r="I244" s="390"/>
      <c r="J244" s="380">
        <v>13</v>
      </c>
      <c r="K244" s="381">
        <v>0</v>
      </c>
      <c r="L244" s="381">
        <v>135130.04999999999</v>
      </c>
      <c r="M244" s="381">
        <v>135130.04999999999</v>
      </c>
      <c r="N244" s="390"/>
      <c r="O244" s="380">
        <v>13</v>
      </c>
      <c r="P244" s="381">
        <v>0</v>
      </c>
      <c r="Q244" s="381">
        <v>117778.32</v>
      </c>
      <c r="R244" s="381">
        <v>117778.32</v>
      </c>
      <c r="S244" s="390"/>
      <c r="T244" s="380">
        <v>0</v>
      </c>
      <c r="U244" s="403">
        <v>0</v>
      </c>
      <c r="V244" s="403">
        <v>78454.92</v>
      </c>
      <c r="W244" s="403">
        <v>78454.92</v>
      </c>
      <c r="X244" s="390"/>
      <c r="Y244" s="380">
        <v>9</v>
      </c>
      <c r="Z244" s="448">
        <v>0</v>
      </c>
      <c r="AA244" s="448">
        <v>90508.21</v>
      </c>
      <c r="AB244" s="403">
        <v>90508.21</v>
      </c>
      <c r="AC244" s="390"/>
      <c r="AD244" s="457">
        <v>8</v>
      </c>
      <c r="AE244" s="448"/>
      <c r="AF244" s="448"/>
    </row>
    <row r="245" spans="1:32" ht="14.5">
      <c r="A245" s="380" t="s">
        <v>672</v>
      </c>
      <c r="B245" s="380" t="s">
        <v>204</v>
      </c>
      <c r="C245" s="389" t="s">
        <v>673</v>
      </c>
      <c r="E245" s="381">
        <v>15</v>
      </c>
      <c r="F245" s="381">
        <v>0</v>
      </c>
      <c r="G245" s="381">
        <v>174287.52</v>
      </c>
      <c r="H245" s="381">
        <v>174287.52</v>
      </c>
      <c r="I245" s="390"/>
      <c r="J245" s="380">
        <v>21</v>
      </c>
      <c r="K245" s="381">
        <v>0</v>
      </c>
      <c r="L245" s="381">
        <v>236155.33</v>
      </c>
      <c r="M245" s="381">
        <v>236155.33</v>
      </c>
      <c r="N245" s="390"/>
      <c r="O245" s="380">
        <v>22</v>
      </c>
      <c r="P245" s="381">
        <v>0</v>
      </c>
      <c r="Q245" s="381">
        <v>239720.58</v>
      </c>
      <c r="R245" s="381">
        <v>239720.58</v>
      </c>
      <c r="S245" s="390"/>
      <c r="T245" s="380">
        <v>16</v>
      </c>
      <c r="U245" s="403">
        <v>0</v>
      </c>
      <c r="V245" s="403">
        <v>228084.95</v>
      </c>
      <c r="W245" s="403">
        <v>228084.95</v>
      </c>
      <c r="X245" s="390"/>
      <c r="Y245" s="380">
        <v>14</v>
      </c>
      <c r="Z245" s="448">
        <v>0</v>
      </c>
      <c r="AA245" s="448">
        <v>204724.08</v>
      </c>
      <c r="AB245" s="403">
        <v>204724.08</v>
      </c>
      <c r="AC245" s="390"/>
      <c r="AD245" s="457">
        <v>13</v>
      </c>
      <c r="AE245" s="448"/>
      <c r="AF245" s="448"/>
    </row>
    <row r="246" spans="1:32" ht="14.5">
      <c r="A246" s="380" t="s">
        <v>674</v>
      </c>
      <c r="B246" s="380" t="s">
        <v>196</v>
      </c>
      <c r="C246" s="389" t="s">
        <v>675</v>
      </c>
      <c r="E246" s="381">
        <v>1292</v>
      </c>
      <c r="F246" s="381">
        <v>149224.49</v>
      </c>
      <c r="G246" s="381">
        <v>16961911.609999999</v>
      </c>
      <c r="H246" s="381">
        <v>17111136.099999998</v>
      </c>
      <c r="I246" s="390"/>
      <c r="J246" s="380">
        <v>1285</v>
      </c>
      <c r="K246" s="381">
        <v>59269.98</v>
      </c>
      <c r="L246" s="381">
        <v>18959208.370000001</v>
      </c>
      <c r="M246" s="381">
        <v>19018478.350000001</v>
      </c>
      <c r="N246" s="390"/>
      <c r="O246" s="380">
        <v>1250</v>
      </c>
      <c r="P246" s="381">
        <v>0</v>
      </c>
      <c r="Q246" s="381">
        <v>19009224.129999999</v>
      </c>
      <c r="R246" s="381">
        <v>19009224.129999999</v>
      </c>
      <c r="S246" s="390"/>
      <c r="T246" s="380">
        <v>1188</v>
      </c>
      <c r="U246" s="403">
        <v>0</v>
      </c>
      <c r="V246" s="403">
        <v>18950982.18</v>
      </c>
      <c r="W246" s="403">
        <v>18950982.18</v>
      </c>
      <c r="X246" s="390"/>
      <c r="Y246" s="380">
        <v>1190</v>
      </c>
      <c r="Z246" s="448">
        <v>0</v>
      </c>
      <c r="AA246" s="448">
        <v>19776758.550000001</v>
      </c>
      <c r="AB246" s="403">
        <v>19776758.550000001</v>
      </c>
      <c r="AC246" s="390"/>
      <c r="AD246" s="457">
        <v>1233</v>
      </c>
      <c r="AE246" s="448"/>
      <c r="AF246" s="448"/>
    </row>
    <row r="247" spans="1:32" ht="14.5">
      <c r="A247" s="380" t="s">
        <v>676</v>
      </c>
      <c r="B247" s="380" t="s">
        <v>204</v>
      </c>
      <c r="C247" s="389" t="s">
        <v>677</v>
      </c>
      <c r="E247" s="381">
        <v>740</v>
      </c>
      <c r="F247" s="381">
        <v>0</v>
      </c>
      <c r="G247" s="381">
        <v>9399295.6400000006</v>
      </c>
      <c r="H247" s="381">
        <v>9399295.6400000006</v>
      </c>
      <c r="I247" s="390"/>
      <c r="J247" s="380">
        <v>773</v>
      </c>
      <c r="K247" s="381">
        <v>3571231.12</v>
      </c>
      <c r="L247" s="381">
        <v>7474999.0199999996</v>
      </c>
      <c r="M247" s="381">
        <v>11046230.140000001</v>
      </c>
      <c r="N247" s="390"/>
      <c r="O247" s="380">
        <v>805</v>
      </c>
      <c r="P247" s="381">
        <v>801761.25</v>
      </c>
      <c r="Q247" s="381">
        <v>10996388.949999999</v>
      </c>
      <c r="R247" s="381">
        <v>11798150.199999999</v>
      </c>
      <c r="S247" s="390"/>
      <c r="T247" s="380">
        <v>730</v>
      </c>
      <c r="U247" s="403">
        <v>2763656.08</v>
      </c>
      <c r="V247" s="403">
        <v>9846100.3699999992</v>
      </c>
      <c r="W247" s="403">
        <v>12609756.449999999</v>
      </c>
      <c r="X247" s="390"/>
      <c r="Y247" s="380">
        <v>715</v>
      </c>
      <c r="Z247" s="448">
        <v>3847184.56</v>
      </c>
      <c r="AA247" s="448">
        <v>9840151.3399999999</v>
      </c>
      <c r="AB247" s="403">
        <v>13687335.9</v>
      </c>
      <c r="AC247" s="390"/>
      <c r="AD247" s="457">
        <v>732</v>
      </c>
      <c r="AE247" s="448"/>
      <c r="AF247" s="448"/>
    </row>
    <row r="248" spans="1:32" ht="14.5">
      <c r="A248" s="380" t="s">
        <v>678</v>
      </c>
      <c r="B248" s="380" t="s">
        <v>230</v>
      </c>
      <c r="C248" s="389" t="s">
        <v>679</v>
      </c>
      <c r="E248" s="381">
        <v>77</v>
      </c>
      <c r="F248" s="381">
        <v>117746.31</v>
      </c>
      <c r="G248" s="381">
        <v>561811.69999999995</v>
      </c>
      <c r="H248" s="381">
        <v>679558.01</v>
      </c>
      <c r="I248" s="390"/>
      <c r="J248" s="380">
        <v>89</v>
      </c>
      <c r="K248" s="381">
        <v>29997.52</v>
      </c>
      <c r="L248" s="381">
        <v>782710.21</v>
      </c>
      <c r="M248" s="381">
        <v>812707.73</v>
      </c>
      <c r="N248" s="390"/>
      <c r="O248" s="380">
        <v>84</v>
      </c>
      <c r="P248" s="381">
        <v>0</v>
      </c>
      <c r="Q248" s="381">
        <v>760821.21</v>
      </c>
      <c r="R248" s="381">
        <v>760821.21</v>
      </c>
      <c r="S248" s="390"/>
      <c r="T248" s="380">
        <v>87</v>
      </c>
      <c r="U248" s="403">
        <v>0</v>
      </c>
      <c r="V248" s="403">
        <v>773340.54</v>
      </c>
      <c r="W248" s="403">
        <v>773340.54</v>
      </c>
      <c r="X248" s="390"/>
      <c r="Y248" s="380">
        <v>107</v>
      </c>
      <c r="Z248" s="448">
        <v>88699.44</v>
      </c>
      <c r="AA248" s="448">
        <v>769079.25</v>
      </c>
      <c r="AB248" s="403">
        <v>857778.69</v>
      </c>
      <c r="AC248" s="390"/>
      <c r="AD248" s="457">
        <v>100</v>
      </c>
      <c r="AE248" s="448"/>
      <c r="AF248" s="448"/>
    </row>
    <row r="249" spans="1:32" ht="14.5">
      <c r="A249" s="380" t="s">
        <v>681</v>
      </c>
      <c r="B249" s="380" t="s">
        <v>188</v>
      </c>
      <c r="C249" s="389" t="s">
        <v>682</v>
      </c>
      <c r="E249" s="381">
        <v>77</v>
      </c>
      <c r="F249" s="381">
        <v>33735.61</v>
      </c>
      <c r="G249" s="381">
        <v>662463.72</v>
      </c>
      <c r="H249" s="381">
        <v>696199.33</v>
      </c>
      <c r="I249" s="390"/>
      <c r="J249" s="380">
        <v>81</v>
      </c>
      <c r="K249" s="381">
        <v>34085.67</v>
      </c>
      <c r="L249" s="381">
        <v>798787.79</v>
      </c>
      <c r="M249" s="381">
        <v>832873.46000000008</v>
      </c>
      <c r="N249" s="390"/>
      <c r="O249" s="380">
        <v>85</v>
      </c>
      <c r="P249" s="381">
        <v>0</v>
      </c>
      <c r="Q249" s="381">
        <v>896370.31</v>
      </c>
      <c r="R249" s="381">
        <v>896370.31</v>
      </c>
      <c r="S249" s="390"/>
      <c r="T249" s="380">
        <v>72</v>
      </c>
      <c r="U249" s="403">
        <v>17764.400000000001</v>
      </c>
      <c r="V249" s="403">
        <v>835596.03</v>
      </c>
      <c r="W249" s="403">
        <v>853360.43</v>
      </c>
      <c r="X249" s="390"/>
      <c r="Y249" s="380">
        <v>80</v>
      </c>
      <c r="Z249" s="448">
        <v>17763.759999999998</v>
      </c>
      <c r="AA249" s="448">
        <v>860095.09</v>
      </c>
      <c r="AB249" s="403">
        <v>877858.85</v>
      </c>
      <c r="AC249" s="390"/>
      <c r="AD249" s="457">
        <v>88</v>
      </c>
      <c r="AE249" s="448"/>
      <c r="AF249" s="448"/>
    </row>
    <row r="250" spans="1:32" ht="14.5">
      <c r="A250" s="380" t="s">
        <v>683</v>
      </c>
      <c r="B250" s="380" t="s">
        <v>1126</v>
      </c>
      <c r="C250" s="389" t="s">
        <v>684</v>
      </c>
      <c r="E250" s="381">
        <v>1488</v>
      </c>
      <c r="F250" s="381">
        <v>0</v>
      </c>
      <c r="G250" s="381">
        <v>14247747.34</v>
      </c>
      <c r="H250" s="381">
        <v>14247747.34</v>
      </c>
      <c r="I250" s="390"/>
      <c r="J250" s="380">
        <v>1473</v>
      </c>
      <c r="K250" s="381">
        <v>1143052.6499999999</v>
      </c>
      <c r="L250" s="381">
        <v>16434175.17</v>
      </c>
      <c r="M250" s="381">
        <v>17577227.82</v>
      </c>
      <c r="N250" s="390"/>
      <c r="O250" s="380">
        <v>1531</v>
      </c>
      <c r="P250" s="381">
        <v>2548471.71</v>
      </c>
      <c r="Q250" s="381">
        <v>18207536.530000001</v>
      </c>
      <c r="R250" s="381">
        <v>20756008.240000002</v>
      </c>
      <c r="S250" s="390"/>
      <c r="T250" s="380">
        <v>1551</v>
      </c>
      <c r="U250" s="403">
        <v>4250817.3499999996</v>
      </c>
      <c r="V250" s="403">
        <v>18035184.629999999</v>
      </c>
      <c r="W250" s="403">
        <v>22286001.979999997</v>
      </c>
      <c r="X250" s="390"/>
      <c r="Y250" s="380">
        <v>1516</v>
      </c>
      <c r="Z250" s="448">
        <v>5431314</v>
      </c>
      <c r="AA250" s="448">
        <v>17907707.350000001</v>
      </c>
      <c r="AB250" s="403">
        <v>23339021.350000001</v>
      </c>
      <c r="AC250" s="390"/>
      <c r="AD250" s="457">
        <v>1450</v>
      </c>
      <c r="AE250" s="448"/>
      <c r="AF250" s="448"/>
    </row>
    <row r="251" spans="1:32" ht="14.5">
      <c r="A251" s="380" t="s">
        <v>685</v>
      </c>
      <c r="B251" s="380" t="s">
        <v>196</v>
      </c>
      <c r="C251" s="389" t="s">
        <v>686</v>
      </c>
      <c r="E251" s="381">
        <v>201</v>
      </c>
      <c r="F251" s="381">
        <v>0</v>
      </c>
      <c r="G251" s="381">
        <v>2131154.3199999998</v>
      </c>
      <c r="H251" s="381">
        <v>2131154.3199999998</v>
      </c>
      <c r="I251" s="390"/>
      <c r="J251" s="380">
        <v>202</v>
      </c>
      <c r="K251" s="381">
        <v>0</v>
      </c>
      <c r="L251" s="381">
        <v>2474720.44</v>
      </c>
      <c r="M251" s="381">
        <v>2474720.44</v>
      </c>
      <c r="N251" s="390"/>
      <c r="O251" s="380">
        <v>204</v>
      </c>
      <c r="P251" s="381">
        <v>0</v>
      </c>
      <c r="Q251" s="381">
        <v>2516838.62</v>
      </c>
      <c r="R251" s="381">
        <v>2516838.62</v>
      </c>
      <c r="S251" s="390"/>
      <c r="T251" s="380">
        <v>189</v>
      </c>
      <c r="U251" s="403">
        <v>0</v>
      </c>
      <c r="V251" s="403">
        <v>2403087.79</v>
      </c>
      <c r="W251" s="403">
        <v>2403087.79</v>
      </c>
      <c r="X251" s="390"/>
      <c r="Y251" s="380">
        <v>183</v>
      </c>
      <c r="Z251" s="448">
        <v>0</v>
      </c>
      <c r="AA251" s="448">
        <v>2683531.85</v>
      </c>
      <c r="AB251" s="403">
        <v>2683531.85</v>
      </c>
      <c r="AC251" s="390"/>
      <c r="AD251" s="457">
        <v>177</v>
      </c>
      <c r="AE251" s="448"/>
      <c r="AF251" s="448"/>
    </row>
    <row r="252" spans="1:32" ht="14.5">
      <c r="A252" s="380" t="s">
        <v>687</v>
      </c>
      <c r="B252" s="380" t="s">
        <v>188</v>
      </c>
      <c r="C252" s="389" t="s">
        <v>688</v>
      </c>
      <c r="E252" s="381">
        <v>21</v>
      </c>
      <c r="F252" s="381">
        <v>0</v>
      </c>
      <c r="G252" s="381">
        <v>196756.84</v>
      </c>
      <c r="H252" s="381">
        <v>196756.84</v>
      </c>
      <c r="I252" s="390"/>
      <c r="J252" s="380">
        <v>23</v>
      </c>
      <c r="K252" s="381">
        <v>0</v>
      </c>
      <c r="L252" s="381">
        <v>288535.94</v>
      </c>
      <c r="M252" s="381">
        <v>288535.94</v>
      </c>
      <c r="N252" s="390"/>
      <c r="O252" s="380">
        <v>30</v>
      </c>
      <c r="P252" s="381">
        <v>0</v>
      </c>
      <c r="Q252" s="381">
        <v>262579.42</v>
      </c>
      <c r="R252" s="381">
        <v>262579.42</v>
      </c>
      <c r="S252" s="390"/>
      <c r="T252" s="380">
        <v>31</v>
      </c>
      <c r="U252" s="403">
        <v>0</v>
      </c>
      <c r="V252" s="403">
        <v>247390</v>
      </c>
      <c r="W252" s="403">
        <v>247390</v>
      </c>
      <c r="X252" s="390"/>
      <c r="Y252" s="380">
        <v>31</v>
      </c>
      <c r="Z252" s="448">
        <v>0</v>
      </c>
      <c r="AA252" s="448">
        <v>291322.62</v>
      </c>
      <c r="AB252" s="403">
        <v>291322.62</v>
      </c>
      <c r="AC252" s="390"/>
      <c r="AD252" s="457">
        <v>28</v>
      </c>
      <c r="AE252" s="448"/>
      <c r="AF252" s="448"/>
    </row>
    <row r="253" spans="1:32" ht="14.5">
      <c r="A253" s="380" t="s">
        <v>689</v>
      </c>
      <c r="B253" s="380" t="s">
        <v>193</v>
      </c>
      <c r="C253" s="389" t="s">
        <v>690</v>
      </c>
      <c r="E253" s="381">
        <v>4744</v>
      </c>
      <c r="F253" s="381">
        <v>9179491.4299999997</v>
      </c>
      <c r="G253" s="381">
        <v>38034608.619999997</v>
      </c>
      <c r="H253" s="381">
        <v>47214100.049999997</v>
      </c>
      <c r="I253" s="390"/>
      <c r="J253" s="380">
        <v>4843</v>
      </c>
      <c r="K253" s="381">
        <v>5358575.4400000004</v>
      </c>
      <c r="L253" s="381">
        <v>47702053.490000002</v>
      </c>
      <c r="M253" s="381">
        <v>53060628.93</v>
      </c>
      <c r="N253" s="390"/>
      <c r="O253" s="380">
        <v>4808</v>
      </c>
      <c r="P253" s="381">
        <v>2116191.62</v>
      </c>
      <c r="Q253" s="381">
        <v>50699501.789999999</v>
      </c>
      <c r="R253" s="381">
        <v>52815693.409999996</v>
      </c>
      <c r="S253" s="390"/>
      <c r="T253" s="380">
        <v>4656</v>
      </c>
      <c r="U253" s="403">
        <v>8951194.8499999996</v>
      </c>
      <c r="V253" s="403">
        <v>48122097.590000004</v>
      </c>
      <c r="W253" s="403">
        <v>57073292.440000005</v>
      </c>
      <c r="X253" s="390"/>
      <c r="Y253" s="380">
        <v>4723</v>
      </c>
      <c r="Z253" s="448">
        <v>8969202.1899999995</v>
      </c>
      <c r="AA253" s="448">
        <v>48313578.159999996</v>
      </c>
      <c r="AB253" s="403">
        <v>57282780.349999994</v>
      </c>
      <c r="AC253" s="390"/>
      <c r="AD253" s="457">
        <v>4931</v>
      </c>
      <c r="AE253" s="448"/>
      <c r="AF253" s="448"/>
    </row>
    <row r="254" spans="1:32" ht="14.5">
      <c r="A254" s="380" t="s">
        <v>691</v>
      </c>
      <c r="B254" s="380" t="s">
        <v>193</v>
      </c>
      <c r="C254" s="389" t="s">
        <v>1263</v>
      </c>
      <c r="E254" s="381">
        <v>39</v>
      </c>
      <c r="F254" s="381">
        <v>0</v>
      </c>
      <c r="G254" s="381">
        <v>271805.34000000003</v>
      </c>
      <c r="H254" s="381">
        <v>271805.34000000003</v>
      </c>
      <c r="I254" s="390"/>
      <c r="J254" s="380">
        <v>57</v>
      </c>
      <c r="K254" s="381">
        <v>0</v>
      </c>
      <c r="L254" s="381">
        <v>354866.34</v>
      </c>
      <c r="M254" s="381">
        <v>354866.34</v>
      </c>
      <c r="N254" s="390"/>
      <c r="O254" s="380">
        <v>56</v>
      </c>
      <c r="P254" s="381">
        <v>0</v>
      </c>
      <c r="Q254" s="381">
        <v>460168.03</v>
      </c>
      <c r="R254" s="381">
        <v>460168.03</v>
      </c>
      <c r="S254" s="390"/>
      <c r="T254" s="380">
        <v>65</v>
      </c>
      <c r="U254" s="403">
        <v>0</v>
      </c>
      <c r="V254" s="403">
        <v>551642.74</v>
      </c>
      <c r="W254" s="403">
        <v>551642.74</v>
      </c>
      <c r="X254" s="390"/>
      <c r="Y254" s="380">
        <v>78</v>
      </c>
      <c r="Z254" s="448">
        <v>0</v>
      </c>
      <c r="AA254" s="448">
        <v>678447.87</v>
      </c>
      <c r="AB254" s="403">
        <v>678447.87</v>
      </c>
      <c r="AC254" s="390"/>
      <c r="AD254" s="457">
        <v>79</v>
      </c>
      <c r="AE254" s="448"/>
      <c r="AF254" s="448"/>
    </row>
    <row r="255" spans="1:32" ht="14.5">
      <c r="A255" s="380" t="s">
        <v>693</v>
      </c>
      <c r="B255" s="380" t="s">
        <v>193</v>
      </c>
      <c r="C255" s="389" t="s">
        <v>694</v>
      </c>
      <c r="E255" s="381">
        <v>6</v>
      </c>
      <c r="F255" s="381">
        <v>0</v>
      </c>
      <c r="G255" s="381">
        <v>120608.6</v>
      </c>
      <c r="H255" s="381">
        <v>120608.6</v>
      </c>
      <c r="I255" s="390"/>
      <c r="J255" s="380">
        <v>13</v>
      </c>
      <c r="K255" s="381">
        <v>0</v>
      </c>
      <c r="L255" s="381">
        <v>147034.48000000001</v>
      </c>
      <c r="M255" s="381">
        <v>147034.48000000001</v>
      </c>
      <c r="N255" s="390"/>
      <c r="O255" s="380">
        <v>11</v>
      </c>
      <c r="P255" s="381">
        <v>0</v>
      </c>
      <c r="Q255" s="381">
        <v>125378.32</v>
      </c>
      <c r="R255" s="381">
        <v>125378.32</v>
      </c>
      <c r="S255" s="390"/>
      <c r="T255" s="380">
        <v>11</v>
      </c>
      <c r="U255" s="403">
        <v>0</v>
      </c>
      <c r="V255" s="403">
        <v>135764.09</v>
      </c>
      <c r="W255" s="403">
        <v>135764.09</v>
      </c>
      <c r="X255" s="390"/>
      <c r="Y255" s="380">
        <v>14</v>
      </c>
      <c r="Z255" s="448">
        <v>0</v>
      </c>
      <c r="AA255" s="448">
        <v>166823.67000000001</v>
      </c>
      <c r="AB255" s="403">
        <v>166823.67000000001</v>
      </c>
      <c r="AC255" s="390"/>
      <c r="AD255" s="457">
        <v>15</v>
      </c>
      <c r="AE255" s="448"/>
      <c r="AF255" s="448"/>
    </row>
    <row r="256" spans="1:32" ht="14.5">
      <c r="A256" s="380" t="s">
        <v>695</v>
      </c>
      <c r="B256" s="380" t="s">
        <v>193</v>
      </c>
      <c r="C256" s="389" t="s">
        <v>1208</v>
      </c>
      <c r="E256" s="381">
        <v>12</v>
      </c>
      <c r="F256" s="381">
        <v>0</v>
      </c>
      <c r="G256" s="381">
        <v>133130.67000000001</v>
      </c>
      <c r="H256" s="381">
        <v>133130.67000000001</v>
      </c>
      <c r="I256" s="390"/>
      <c r="J256" s="380">
        <v>14</v>
      </c>
      <c r="K256" s="381">
        <v>0</v>
      </c>
      <c r="L256" s="381">
        <v>164398.43</v>
      </c>
      <c r="M256" s="381">
        <v>164398.43</v>
      </c>
      <c r="N256" s="390"/>
      <c r="O256" s="380">
        <v>14</v>
      </c>
      <c r="P256" s="381">
        <v>0</v>
      </c>
      <c r="Q256" s="381">
        <v>143892.69</v>
      </c>
      <c r="R256" s="381">
        <v>143892.69</v>
      </c>
      <c r="S256" s="390"/>
      <c r="T256" s="380">
        <v>16</v>
      </c>
      <c r="U256" s="403">
        <v>0</v>
      </c>
      <c r="V256" s="403">
        <v>163928.12</v>
      </c>
      <c r="W256" s="403">
        <v>163928.12</v>
      </c>
      <c r="X256" s="390"/>
      <c r="Y256" s="380">
        <v>14</v>
      </c>
      <c r="Z256" s="448">
        <v>0</v>
      </c>
      <c r="AA256" s="448">
        <v>170870.33</v>
      </c>
      <c r="AB256" s="403">
        <v>170870.33</v>
      </c>
      <c r="AC256" s="390"/>
      <c r="AD256" s="457">
        <v>18</v>
      </c>
      <c r="AE256" s="448"/>
      <c r="AF256" s="448"/>
    </row>
    <row r="257" spans="1:32" ht="14.5">
      <c r="A257" s="380" t="s">
        <v>697</v>
      </c>
      <c r="B257" s="380" t="s">
        <v>196</v>
      </c>
      <c r="C257" s="389" t="s">
        <v>698</v>
      </c>
      <c r="E257" s="381">
        <v>644</v>
      </c>
      <c r="F257" s="381">
        <v>0</v>
      </c>
      <c r="G257" s="381">
        <v>8069540.6299999999</v>
      </c>
      <c r="H257" s="381">
        <v>8069540.6299999999</v>
      </c>
      <c r="I257" s="390"/>
      <c r="J257" s="380">
        <v>645</v>
      </c>
      <c r="K257" s="381">
        <v>0</v>
      </c>
      <c r="L257" s="381">
        <v>9471937.2200000007</v>
      </c>
      <c r="M257" s="381">
        <v>9471937.2200000007</v>
      </c>
      <c r="N257" s="390"/>
      <c r="O257" s="380">
        <v>707</v>
      </c>
      <c r="P257" s="381">
        <v>0</v>
      </c>
      <c r="Q257" s="381">
        <v>10480035.369999999</v>
      </c>
      <c r="R257" s="381">
        <v>10480035.369999999</v>
      </c>
      <c r="S257" s="390"/>
      <c r="T257" s="380">
        <v>699</v>
      </c>
      <c r="U257" s="403">
        <v>0</v>
      </c>
      <c r="V257" s="403">
        <v>11227348.35</v>
      </c>
      <c r="W257" s="403">
        <v>11227348.35</v>
      </c>
      <c r="X257" s="390"/>
      <c r="Y257" s="380">
        <v>683</v>
      </c>
      <c r="Z257" s="448">
        <v>0</v>
      </c>
      <c r="AA257" s="448">
        <v>12429947.23</v>
      </c>
      <c r="AB257" s="403">
        <v>12429947.23</v>
      </c>
      <c r="AC257" s="390"/>
      <c r="AD257" s="457">
        <v>731</v>
      </c>
      <c r="AE257" s="448"/>
      <c r="AF257" s="448"/>
    </row>
    <row r="258" spans="1:32" ht="14.5">
      <c r="A258" s="380" t="s">
        <v>699</v>
      </c>
      <c r="B258" s="380" t="s">
        <v>201</v>
      </c>
      <c r="C258" s="389" t="s">
        <v>700</v>
      </c>
      <c r="E258" s="381">
        <v>3</v>
      </c>
      <c r="F258" s="381">
        <v>6715.82</v>
      </c>
      <c r="G258" s="381">
        <v>11504.66</v>
      </c>
      <c r="H258" s="381">
        <v>18220.48</v>
      </c>
      <c r="I258" s="390"/>
      <c r="J258" s="380">
        <v>3</v>
      </c>
      <c r="K258" s="381">
        <v>0</v>
      </c>
      <c r="L258" s="381">
        <v>5483.94</v>
      </c>
      <c r="M258" s="381">
        <v>5483.94</v>
      </c>
      <c r="N258" s="390"/>
      <c r="O258" s="380">
        <v>0</v>
      </c>
      <c r="P258" s="381">
        <v>0</v>
      </c>
      <c r="Q258" s="381">
        <v>0</v>
      </c>
      <c r="R258" s="381">
        <v>0</v>
      </c>
      <c r="S258" s="390"/>
      <c r="T258" s="380">
        <v>0</v>
      </c>
      <c r="U258" s="403">
        <v>0</v>
      </c>
      <c r="V258" s="403">
        <v>0</v>
      </c>
      <c r="W258" s="403">
        <v>0</v>
      </c>
      <c r="X258" s="390"/>
      <c r="Y258" s="380">
        <v>0</v>
      </c>
      <c r="Z258" s="448">
        <v>0</v>
      </c>
      <c r="AA258" s="448">
        <v>0</v>
      </c>
      <c r="AB258" s="403">
        <v>0</v>
      </c>
      <c r="AC258" s="390"/>
      <c r="AD258" s="457">
        <v>0</v>
      </c>
      <c r="AE258" s="448"/>
      <c r="AF258" s="448"/>
    </row>
    <row r="259" spans="1:32" ht="14.5">
      <c r="A259" s="380" t="s">
        <v>701</v>
      </c>
      <c r="B259" s="380" t="s">
        <v>201</v>
      </c>
      <c r="C259" s="389" t="s">
        <v>702</v>
      </c>
      <c r="E259" s="381">
        <v>0</v>
      </c>
      <c r="F259" s="381">
        <v>1987.5</v>
      </c>
      <c r="G259" s="381">
        <v>0</v>
      </c>
      <c r="H259" s="381">
        <v>1987.5</v>
      </c>
      <c r="I259" s="390"/>
      <c r="J259" s="380">
        <v>4</v>
      </c>
      <c r="K259" s="381">
        <v>0</v>
      </c>
      <c r="L259" s="381">
        <v>29744.1</v>
      </c>
      <c r="M259" s="381">
        <v>29744.1</v>
      </c>
      <c r="N259" s="390"/>
      <c r="O259" s="380">
        <v>5</v>
      </c>
      <c r="P259" s="381">
        <v>0</v>
      </c>
      <c r="Q259" s="381">
        <v>33562.04</v>
      </c>
      <c r="R259" s="381">
        <v>33562.04</v>
      </c>
      <c r="S259" s="390"/>
      <c r="T259" s="380">
        <v>2</v>
      </c>
      <c r="U259" s="403">
        <v>0</v>
      </c>
      <c r="V259" s="403">
        <v>39613.370000000003</v>
      </c>
      <c r="W259" s="403">
        <v>39613.370000000003</v>
      </c>
      <c r="X259" s="390"/>
      <c r="Y259" s="380">
        <v>1</v>
      </c>
      <c r="Z259" s="448">
        <v>0</v>
      </c>
      <c r="AA259" s="448">
        <v>271237.99</v>
      </c>
      <c r="AB259" s="403">
        <v>271237.99</v>
      </c>
      <c r="AC259" s="390"/>
      <c r="AD259" s="457">
        <v>0</v>
      </c>
      <c r="AE259" s="448"/>
      <c r="AF259" s="448"/>
    </row>
    <row r="260" spans="1:32" ht="14.5">
      <c r="A260" s="380" t="s">
        <v>703</v>
      </c>
      <c r="B260" s="380" t="s">
        <v>230</v>
      </c>
      <c r="C260" s="389" t="s">
        <v>704</v>
      </c>
      <c r="E260" s="381">
        <v>0</v>
      </c>
      <c r="F260" s="381">
        <v>0</v>
      </c>
      <c r="G260" s="381">
        <v>0</v>
      </c>
      <c r="H260" s="381">
        <v>0</v>
      </c>
      <c r="I260" s="390"/>
      <c r="J260" s="380">
        <v>0</v>
      </c>
      <c r="K260" s="381">
        <v>0</v>
      </c>
      <c r="L260" s="381">
        <v>0</v>
      </c>
      <c r="M260" s="381">
        <v>0</v>
      </c>
      <c r="N260" s="390"/>
      <c r="O260" s="380">
        <v>0</v>
      </c>
      <c r="P260" s="381">
        <v>0</v>
      </c>
      <c r="Q260" s="381">
        <v>0</v>
      </c>
      <c r="R260" s="381">
        <v>0</v>
      </c>
      <c r="S260" s="390"/>
      <c r="T260" s="380">
        <v>0</v>
      </c>
      <c r="U260" s="403">
        <v>0</v>
      </c>
      <c r="V260" s="403">
        <v>0</v>
      </c>
      <c r="W260" s="403">
        <v>0</v>
      </c>
      <c r="X260" s="390"/>
      <c r="Y260" s="380">
        <v>0</v>
      </c>
      <c r="Z260" s="448">
        <v>0</v>
      </c>
      <c r="AA260" s="448">
        <v>0</v>
      </c>
      <c r="AB260" s="403">
        <v>0</v>
      </c>
      <c r="AC260" s="390"/>
      <c r="AD260" s="457">
        <v>0</v>
      </c>
      <c r="AE260" s="448"/>
      <c r="AF260" s="448"/>
    </row>
    <row r="261" spans="1:32" ht="14.5">
      <c r="A261" s="380" t="s">
        <v>705</v>
      </c>
      <c r="B261" s="380" t="s">
        <v>204</v>
      </c>
      <c r="C261" s="389" t="s">
        <v>1209</v>
      </c>
      <c r="E261" s="381">
        <v>387</v>
      </c>
      <c r="F261" s="381">
        <v>0</v>
      </c>
      <c r="G261" s="381">
        <v>3763078.76</v>
      </c>
      <c r="H261" s="381">
        <v>3763078.76</v>
      </c>
      <c r="I261" s="390"/>
      <c r="J261" s="380">
        <v>405</v>
      </c>
      <c r="K261" s="381">
        <v>0</v>
      </c>
      <c r="L261" s="381">
        <v>4544675.67</v>
      </c>
      <c r="M261" s="381">
        <v>4544675.67</v>
      </c>
      <c r="N261" s="390"/>
      <c r="O261" s="380">
        <v>443</v>
      </c>
      <c r="P261" s="381">
        <v>0</v>
      </c>
      <c r="Q261" s="381">
        <v>5008961.54</v>
      </c>
      <c r="R261" s="381">
        <v>5008961.54</v>
      </c>
      <c r="S261" s="390"/>
      <c r="T261" s="380">
        <v>414</v>
      </c>
      <c r="U261" s="403">
        <v>475972.43</v>
      </c>
      <c r="V261" s="403">
        <v>4694247.47</v>
      </c>
      <c r="W261" s="403">
        <v>5170219.8999999994</v>
      </c>
      <c r="X261" s="390"/>
      <c r="Y261" s="380">
        <v>428</v>
      </c>
      <c r="Z261" s="448">
        <v>964842.95</v>
      </c>
      <c r="AA261" s="448">
        <v>4830793</v>
      </c>
      <c r="AB261" s="403">
        <v>5795635.9500000002</v>
      </c>
      <c r="AC261" s="390"/>
      <c r="AD261" s="457">
        <v>421</v>
      </c>
      <c r="AE261" s="448"/>
      <c r="AF261" s="448"/>
    </row>
    <row r="262" spans="1:32" ht="14.5">
      <c r="A262" s="380" t="s">
        <v>707</v>
      </c>
      <c r="B262" s="380" t="s">
        <v>193</v>
      </c>
      <c r="C262" s="389" t="s">
        <v>708</v>
      </c>
      <c r="E262" s="381">
        <v>7</v>
      </c>
      <c r="F262" s="381">
        <v>0</v>
      </c>
      <c r="G262" s="381">
        <v>41985.68</v>
      </c>
      <c r="H262" s="381">
        <v>41985.68</v>
      </c>
      <c r="I262" s="390"/>
      <c r="J262" s="380">
        <v>7</v>
      </c>
      <c r="K262" s="381">
        <v>0</v>
      </c>
      <c r="L262" s="381">
        <v>32648.74</v>
      </c>
      <c r="M262" s="381">
        <v>32648.74</v>
      </c>
      <c r="N262" s="390"/>
      <c r="O262" s="380">
        <v>8</v>
      </c>
      <c r="P262" s="381">
        <v>0</v>
      </c>
      <c r="Q262" s="381">
        <v>47212.04</v>
      </c>
      <c r="R262" s="381">
        <v>47212.04</v>
      </c>
      <c r="S262" s="390"/>
      <c r="T262" s="380">
        <v>6</v>
      </c>
      <c r="U262" s="403">
        <v>0</v>
      </c>
      <c r="V262" s="403">
        <v>52175.06</v>
      </c>
      <c r="W262" s="403">
        <v>52175.06</v>
      </c>
      <c r="X262" s="390"/>
      <c r="Y262" s="380">
        <v>7</v>
      </c>
      <c r="Z262" s="448">
        <v>0</v>
      </c>
      <c r="AA262" s="448">
        <v>48793.69</v>
      </c>
      <c r="AB262" s="403">
        <v>48793.69</v>
      </c>
      <c r="AC262" s="390"/>
      <c r="AD262" s="457">
        <v>4</v>
      </c>
      <c r="AE262" s="448"/>
      <c r="AF262" s="448"/>
    </row>
    <row r="263" spans="1:32" ht="14.5">
      <c r="A263" s="380" t="s">
        <v>709</v>
      </c>
      <c r="B263" s="380" t="s">
        <v>209</v>
      </c>
      <c r="C263" s="389" t="s">
        <v>710</v>
      </c>
      <c r="D263" s="380" t="s">
        <v>818</v>
      </c>
      <c r="E263" s="381">
        <v>150</v>
      </c>
      <c r="F263" s="381">
        <v>0</v>
      </c>
      <c r="G263" s="381">
        <v>1178357.67</v>
      </c>
      <c r="H263" s="381">
        <v>1178357.67</v>
      </c>
      <c r="I263" s="390"/>
      <c r="J263" s="380">
        <v>164</v>
      </c>
      <c r="K263" s="381">
        <v>0</v>
      </c>
      <c r="L263" s="381">
        <v>1381756.82</v>
      </c>
      <c r="M263" s="381">
        <v>1381756.82</v>
      </c>
      <c r="N263" s="390"/>
      <c r="O263" s="380">
        <v>159</v>
      </c>
      <c r="P263" s="381">
        <v>0</v>
      </c>
      <c r="Q263" s="381">
        <v>1423619.37</v>
      </c>
      <c r="R263" s="381">
        <v>1423619.37</v>
      </c>
      <c r="S263" s="390"/>
      <c r="T263" s="380">
        <v>0</v>
      </c>
      <c r="U263" s="403">
        <v>0</v>
      </c>
      <c r="V263" s="403">
        <v>1401999.4</v>
      </c>
      <c r="W263" s="403">
        <v>1401999.4</v>
      </c>
      <c r="X263" s="390"/>
      <c r="Y263" s="380">
        <v>135</v>
      </c>
      <c r="Z263" s="448">
        <v>0</v>
      </c>
      <c r="AA263" s="448">
        <v>1350476.42</v>
      </c>
      <c r="AB263" s="403">
        <v>1350476.42</v>
      </c>
      <c r="AC263" s="390"/>
      <c r="AD263" s="457">
        <v>136</v>
      </c>
      <c r="AE263" s="448"/>
      <c r="AF263" s="448"/>
    </row>
    <row r="264" spans="1:32" ht="14.5">
      <c r="A264" s="380" t="s">
        <v>711</v>
      </c>
      <c r="B264" s="380" t="s">
        <v>196</v>
      </c>
      <c r="C264" s="389" t="s">
        <v>712</v>
      </c>
      <c r="E264" s="381">
        <v>358</v>
      </c>
      <c r="F264" s="381">
        <v>650650.01</v>
      </c>
      <c r="G264" s="381">
        <v>2672521.7000000002</v>
      </c>
      <c r="H264" s="381">
        <v>3323171.71</v>
      </c>
      <c r="I264" s="390"/>
      <c r="J264" s="380">
        <v>334</v>
      </c>
      <c r="K264" s="381">
        <v>0</v>
      </c>
      <c r="L264" s="381">
        <v>3899385.52</v>
      </c>
      <c r="M264" s="381">
        <v>3899385.52</v>
      </c>
      <c r="N264" s="390"/>
      <c r="O264" s="380">
        <v>331</v>
      </c>
      <c r="P264" s="381">
        <v>0</v>
      </c>
      <c r="Q264" s="381">
        <v>4563153.67</v>
      </c>
      <c r="R264" s="381">
        <v>4563153.67</v>
      </c>
      <c r="S264" s="390"/>
      <c r="T264" s="380">
        <v>331</v>
      </c>
      <c r="U264" s="403">
        <v>1562.27</v>
      </c>
      <c r="V264" s="403">
        <v>4347305.05</v>
      </c>
      <c r="W264" s="403">
        <v>4348867.3199999994</v>
      </c>
      <c r="X264" s="390"/>
      <c r="Y264" s="380">
        <v>337</v>
      </c>
      <c r="Z264" s="448">
        <v>0</v>
      </c>
      <c r="AA264" s="448">
        <v>4399572.7699999996</v>
      </c>
      <c r="AB264" s="403">
        <v>4399572.7699999996</v>
      </c>
      <c r="AC264" s="390"/>
      <c r="AD264" s="457">
        <v>330</v>
      </c>
      <c r="AE264" s="448"/>
      <c r="AF264" s="448"/>
    </row>
    <row r="265" spans="1:32" ht="14.5">
      <c r="A265" s="380" t="s">
        <v>713</v>
      </c>
      <c r="B265" s="380" t="s">
        <v>204</v>
      </c>
      <c r="C265" s="393" t="s">
        <v>1235</v>
      </c>
      <c r="E265" s="381">
        <v>29</v>
      </c>
      <c r="F265" s="381">
        <v>0</v>
      </c>
      <c r="G265" s="381">
        <v>220547.92</v>
      </c>
      <c r="H265" s="381">
        <v>220547.92</v>
      </c>
      <c r="I265" s="390"/>
      <c r="J265" s="380">
        <v>57</v>
      </c>
      <c r="K265" s="381">
        <v>0</v>
      </c>
      <c r="L265" s="381">
        <v>594046.56999999995</v>
      </c>
      <c r="M265" s="381">
        <v>594046.56999999995</v>
      </c>
      <c r="N265" s="390"/>
      <c r="O265" s="380">
        <v>77</v>
      </c>
      <c r="P265" s="381">
        <v>0</v>
      </c>
      <c r="Q265" s="381">
        <v>579055.32999999996</v>
      </c>
      <c r="R265" s="381">
        <v>579055.32999999996</v>
      </c>
      <c r="S265" s="390"/>
      <c r="T265" s="380">
        <v>75</v>
      </c>
      <c r="U265" s="403">
        <v>0</v>
      </c>
      <c r="V265" s="403">
        <v>837294.65</v>
      </c>
      <c r="W265" s="403">
        <v>837294.65</v>
      </c>
      <c r="X265" s="390"/>
      <c r="Y265" s="380">
        <v>86</v>
      </c>
      <c r="Z265" s="448">
        <v>10991.68</v>
      </c>
      <c r="AA265" s="448">
        <v>751200.14</v>
      </c>
      <c r="AB265" s="403">
        <v>762191.82000000007</v>
      </c>
      <c r="AC265" s="390"/>
      <c r="AD265" s="457">
        <v>93</v>
      </c>
      <c r="AE265" s="448"/>
      <c r="AF265" s="448"/>
    </row>
    <row r="266" spans="1:32" ht="14.5">
      <c r="A266" s="380" t="s">
        <v>715</v>
      </c>
      <c r="B266" s="380" t="s">
        <v>204</v>
      </c>
      <c r="C266" s="393" t="s">
        <v>1243</v>
      </c>
      <c r="E266" s="381">
        <v>29</v>
      </c>
      <c r="F266" s="381">
        <v>0</v>
      </c>
      <c r="G266" s="381">
        <v>209078.85</v>
      </c>
      <c r="H266" s="381">
        <v>209078.85</v>
      </c>
      <c r="I266" s="390"/>
      <c r="J266" s="380">
        <v>40</v>
      </c>
      <c r="K266" s="381">
        <v>0</v>
      </c>
      <c r="L266" s="381">
        <v>262512.45</v>
      </c>
      <c r="M266" s="381">
        <v>262512.45</v>
      </c>
      <c r="N266" s="390"/>
      <c r="O266" s="380">
        <v>44</v>
      </c>
      <c r="P266" s="381">
        <v>0</v>
      </c>
      <c r="Q266" s="381">
        <v>250004.72</v>
      </c>
      <c r="R266" s="381">
        <v>250004.72</v>
      </c>
      <c r="S266" s="390"/>
      <c r="T266" s="380">
        <v>31</v>
      </c>
      <c r="U266" s="403">
        <v>0</v>
      </c>
      <c r="V266" s="403">
        <v>364178.59</v>
      </c>
      <c r="W266" s="403">
        <v>364178.59</v>
      </c>
      <c r="X266" s="390"/>
      <c r="Y266" s="380">
        <v>28</v>
      </c>
      <c r="Z266" s="448">
        <v>0</v>
      </c>
      <c r="AA266" s="448">
        <v>315147.05</v>
      </c>
      <c r="AB266" s="403">
        <v>315147.05</v>
      </c>
      <c r="AC266" s="390"/>
      <c r="AD266" s="457">
        <v>21</v>
      </c>
      <c r="AE266" s="448"/>
      <c r="AF266" s="448"/>
    </row>
    <row r="267" spans="1:32" ht="14.5">
      <c r="A267" s="380" t="s">
        <v>717</v>
      </c>
      <c r="B267" s="380" t="s">
        <v>193</v>
      </c>
      <c r="C267" s="393" t="s">
        <v>1234</v>
      </c>
      <c r="E267" s="381">
        <v>48</v>
      </c>
      <c r="F267" s="381">
        <v>0</v>
      </c>
      <c r="G267" s="381">
        <v>189113.52</v>
      </c>
      <c r="H267" s="381">
        <v>189113.52</v>
      </c>
      <c r="I267" s="390"/>
      <c r="J267" s="380">
        <v>58</v>
      </c>
      <c r="K267" s="381">
        <v>0</v>
      </c>
      <c r="L267" s="381">
        <v>323579.95</v>
      </c>
      <c r="M267" s="381">
        <v>323579.95</v>
      </c>
      <c r="N267" s="390"/>
      <c r="O267" s="380">
        <v>62</v>
      </c>
      <c r="P267" s="381">
        <v>0</v>
      </c>
      <c r="Q267" s="381">
        <v>423804.83</v>
      </c>
      <c r="R267" s="381">
        <v>423804.83</v>
      </c>
      <c r="S267" s="390"/>
      <c r="T267" s="380">
        <v>65</v>
      </c>
      <c r="U267" s="403">
        <v>0</v>
      </c>
      <c r="V267" s="403">
        <v>565374.4</v>
      </c>
      <c r="W267" s="403">
        <v>565374.4</v>
      </c>
      <c r="X267" s="390"/>
      <c r="Y267" s="380">
        <v>60</v>
      </c>
      <c r="Z267" s="448">
        <v>0</v>
      </c>
      <c r="AA267" s="448">
        <v>409826.18</v>
      </c>
      <c r="AB267" s="403">
        <v>409826.18</v>
      </c>
      <c r="AC267" s="390"/>
      <c r="AD267" s="457">
        <v>59</v>
      </c>
      <c r="AE267" s="448"/>
      <c r="AF267" s="448"/>
    </row>
    <row r="268" spans="1:32" ht="14.5">
      <c r="A268" s="380" t="s">
        <v>719</v>
      </c>
      <c r="B268" s="380" t="s">
        <v>193</v>
      </c>
      <c r="C268" s="389" t="s">
        <v>720</v>
      </c>
      <c r="E268" s="381">
        <v>8</v>
      </c>
      <c r="F268" s="381">
        <v>0</v>
      </c>
      <c r="G268" s="381">
        <v>67718.28</v>
      </c>
      <c r="H268" s="381">
        <v>67718.28</v>
      </c>
      <c r="I268" s="390"/>
      <c r="J268" s="380">
        <v>7</v>
      </c>
      <c r="K268" s="381">
        <v>0</v>
      </c>
      <c r="L268" s="381">
        <v>96849.1</v>
      </c>
      <c r="M268" s="381">
        <v>96849.1</v>
      </c>
      <c r="N268" s="390"/>
      <c r="O268" s="380">
        <v>7</v>
      </c>
      <c r="P268" s="381">
        <v>0</v>
      </c>
      <c r="Q268" s="381">
        <v>96983.85</v>
      </c>
      <c r="R268" s="381">
        <v>96983.85</v>
      </c>
      <c r="S268" s="390"/>
      <c r="T268" s="380">
        <v>9</v>
      </c>
      <c r="U268" s="403">
        <v>0</v>
      </c>
      <c r="V268" s="403">
        <v>70143.759999999995</v>
      </c>
      <c r="W268" s="403">
        <v>70143.759999999995</v>
      </c>
      <c r="X268" s="390"/>
      <c r="Y268" s="380">
        <v>8</v>
      </c>
      <c r="Z268" s="448">
        <v>0</v>
      </c>
      <c r="AA268" s="448">
        <v>81538.850000000006</v>
      </c>
      <c r="AB268" s="403">
        <v>81538.850000000006</v>
      </c>
      <c r="AC268" s="390"/>
      <c r="AD268" s="457">
        <v>11</v>
      </c>
      <c r="AE268" s="448"/>
      <c r="AF268" s="448"/>
    </row>
    <row r="269" spans="1:32" ht="14.5">
      <c r="A269" s="380" t="s">
        <v>721</v>
      </c>
      <c r="B269" s="380" t="s">
        <v>204</v>
      </c>
      <c r="C269" s="389" t="s">
        <v>1210</v>
      </c>
      <c r="E269" s="381">
        <v>1128</v>
      </c>
      <c r="F269" s="381">
        <v>128623.03999999999</v>
      </c>
      <c r="G269" s="381">
        <v>14435289.59</v>
      </c>
      <c r="H269" s="381">
        <v>14563912.629999999</v>
      </c>
      <c r="I269" s="390"/>
      <c r="J269" s="380">
        <v>1201</v>
      </c>
      <c r="K269" s="381">
        <v>2566558.98</v>
      </c>
      <c r="L269" s="381">
        <v>13186394.82</v>
      </c>
      <c r="M269" s="381">
        <v>15752953.800000001</v>
      </c>
      <c r="N269" s="390"/>
      <c r="O269" s="380">
        <v>1205</v>
      </c>
      <c r="P269" s="381">
        <v>1399153.13</v>
      </c>
      <c r="Q269" s="381">
        <v>14558596.67</v>
      </c>
      <c r="R269" s="381">
        <v>15957749.800000001</v>
      </c>
      <c r="S269" s="390"/>
      <c r="T269" s="380">
        <v>1143</v>
      </c>
      <c r="U269" s="403">
        <v>2838249.66</v>
      </c>
      <c r="V269" s="403">
        <v>14594317.039999999</v>
      </c>
      <c r="W269" s="403">
        <v>17432566.699999999</v>
      </c>
      <c r="X269" s="390"/>
      <c r="Y269" s="380">
        <v>1247</v>
      </c>
      <c r="Z269" s="448">
        <v>2206793.87</v>
      </c>
      <c r="AA269" s="448">
        <v>15873258.300000001</v>
      </c>
      <c r="AB269" s="403">
        <v>18080052.170000002</v>
      </c>
      <c r="AC269" s="390"/>
      <c r="AD269" s="457">
        <v>1319</v>
      </c>
      <c r="AE269" s="448"/>
      <c r="AF269" s="448"/>
    </row>
    <row r="270" spans="1:32" ht="14.5">
      <c r="A270" s="380" t="s">
        <v>723</v>
      </c>
      <c r="B270" s="380" t="s">
        <v>220</v>
      </c>
      <c r="C270" s="389" t="s">
        <v>724</v>
      </c>
      <c r="E270" s="381">
        <v>937</v>
      </c>
      <c r="F270" s="381">
        <v>0</v>
      </c>
      <c r="G270" s="381">
        <v>7535401.9000000004</v>
      </c>
      <c r="H270" s="381">
        <v>7535401.9000000004</v>
      </c>
      <c r="I270" s="390"/>
      <c r="J270" s="380">
        <v>952</v>
      </c>
      <c r="K270" s="381">
        <v>0</v>
      </c>
      <c r="L270" s="381">
        <v>9383109.4499999993</v>
      </c>
      <c r="M270" s="381">
        <v>9383109.4499999993</v>
      </c>
      <c r="N270" s="390"/>
      <c r="O270" s="380">
        <v>943</v>
      </c>
      <c r="P270" s="381">
        <v>0</v>
      </c>
      <c r="Q270" s="381">
        <v>10024405.970000001</v>
      </c>
      <c r="R270" s="381">
        <v>10024405.970000001</v>
      </c>
      <c r="S270" s="390"/>
      <c r="T270" s="380">
        <v>907</v>
      </c>
      <c r="U270" s="403">
        <v>0</v>
      </c>
      <c r="V270" s="403">
        <v>10026366.710000001</v>
      </c>
      <c r="W270" s="403">
        <v>10026366.710000001</v>
      </c>
      <c r="X270" s="390"/>
      <c r="Y270" s="380">
        <v>903</v>
      </c>
      <c r="Z270" s="448">
        <v>0</v>
      </c>
      <c r="AA270" s="448">
        <v>10164619.890000001</v>
      </c>
      <c r="AB270" s="403">
        <v>10164619.890000001</v>
      </c>
      <c r="AC270" s="390"/>
      <c r="AD270" s="457">
        <v>910</v>
      </c>
      <c r="AE270" s="448"/>
      <c r="AF270" s="448"/>
    </row>
    <row r="271" spans="1:32" ht="14.5">
      <c r="A271" s="380" t="s">
        <v>725</v>
      </c>
      <c r="C271" s="393" t="s">
        <v>1238</v>
      </c>
      <c r="E271" s="381">
        <v>0</v>
      </c>
      <c r="F271" s="381">
        <v>0</v>
      </c>
      <c r="G271" s="381">
        <v>50897.27</v>
      </c>
      <c r="H271" s="381">
        <v>50897.27</v>
      </c>
      <c r="I271" s="390"/>
      <c r="J271" s="380">
        <v>22</v>
      </c>
      <c r="K271" s="381">
        <v>0</v>
      </c>
      <c r="L271" s="381">
        <v>82191.66</v>
      </c>
      <c r="M271" s="381">
        <v>82191.66</v>
      </c>
      <c r="N271" s="390"/>
      <c r="O271" s="380">
        <v>17</v>
      </c>
      <c r="P271" s="381">
        <v>0</v>
      </c>
      <c r="Q271" s="381">
        <v>115789.27</v>
      </c>
      <c r="R271" s="381">
        <v>115789.27</v>
      </c>
      <c r="S271" s="390"/>
      <c r="T271" s="380">
        <v>18</v>
      </c>
      <c r="U271" s="403">
        <v>0</v>
      </c>
      <c r="V271" s="403">
        <v>131233.5</v>
      </c>
      <c r="W271" s="403">
        <v>131233.5</v>
      </c>
      <c r="X271" s="390"/>
      <c r="Y271" s="380">
        <v>18</v>
      </c>
      <c r="Z271" s="448">
        <v>0</v>
      </c>
      <c r="AA271" s="448">
        <v>165231.38</v>
      </c>
      <c r="AB271" s="403">
        <v>165231.38</v>
      </c>
      <c r="AC271" s="390"/>
      <c r="AD271" s="457">
        <v>19</v>
      </c>
      <c r="AE271" s="448"/>
      <c r="AF271" s="448"/>
    </row>
    <row r="272" spans="1:32" ht="14.5">
      <c r="A272" s="380" t="s">
        <v>727</v>
      </c>
      <c r="B272" s="380" t="s">
        <v>204</v>
      </c>
      <c r="C272" s="389" t="s">
        <v>728</v>
      </c>
      <c r="E272" s="381">
        <v>4160</v>
      </c>
      <c r="F272" s="381">
        <v>9531568.3499999996</v>
      </c>
      <c r="G272" s="381">
        <v>36802137.57</v>
      </c>
      <c r="H272" s="381">
        <v>46333705.920000002</v>
      </c>
      <c r="I272" s="390"/>
      <c r="J272" s="380">
        <v>4287</v>
      </c>
      <c r="K272" s="381">
        <v>6618251.0499999998</v>
      </c>
      <c r="L272" s="381">
        <v>47595340.780000001</v>
      </c>
      <c r="M272" s="381">
        <v>54213591.829999998</v>
      </c>
      <c r="N272" s="390"/>
      <c r="O272" s="380">
        <v>4421</v>
      </c>
      <c r="P272" s="381">
        <v>2703832.48</v>
      </c>
      <c r="Q272" s="381">
        <v>51738784.18</v>
      </c>
      <c r="R272" s="381">
        <v>54442616.659999996</v>
      </c>
      <c r="S272" s="390"/>
      <c r="T272" s="380">
        <v>4262</v>
      </c>
      <c r="U272" s="403">
        <v>4479792.1399999997</v>
      </c>
      <c r="V272" s="403">
        <v>48457632.850000001</v>
      </c>
      <c r="W272" s="403">
        <v>52937424.990000002</v>
      </c>
      <c r="X272" s="390"/>
      <c r="Y272" s="380">
        <v>4214</v>
      </c>
      <c r="Z272" s="448">
        <v>1684288.24</v>
      </c>
      <c r="AA272" s="448">
        <v>51136172.590000004</v>
      </c>
      <c r="AB272" s="403">
        <v>52820460.830000006</v>
      </c>
      <c r="AC272" s="390"/>
      <c r="AD272" s="457">
        <v>4329</v>
      </c>
      <c r="AE272" s="448"/>
      <c r="AF272" s="448"/>
    </row>
    <row r="273" spans="1:32" ht="14.5">
      <c r="A273" s="380" t="s">
        <v>729</v>
      </c>
      <c r="B273" s="380" t="s">
        <v>188</v>
      </c>
      <c r="C273" s="389" t="s">
        <v>730</v>
      </c>
      <c r="E273" s="381">
        <v>29</v>
      </c>
      <c r="F273" s="381">
        <v>0</v>
      </c>
      <c r="G273" s="381">
        <v>211188.15</v>
      </c>
      <c r="H273" s="381">
        <v>211188.15</v>
      </c>
      <c r="I273" s="390"/>
      <c r="J273" s="380">
        <v>28</v>
      </c>
      <c r="K273" s="381">
        <v>53244.15</v>
      </c>
      <c r="L273" s="381">
        <v>202649.2</v>
      </c>
      <c r="M273" s="381">
        <v>255893.35</v>
      </c>
      <c r="N273" s="390"/>
      <c r="O273" s="380">
        <v>34</v>
      </c>
      <c r="P273" s="381">
        <v>0</v>
      </c>
      <c r="Q273" s="381">
        <v>234623.81</v>
      </c>
      <c r="R273" s="381">
        <v>234623.81</v>
      </c>
      <c r="S273" s="390"/>
      <c r="T273" s="380">
        <v>43</v>
      </c>
      <c r="U273" s="403">
        <v>0</v>
      </c>
      <c r="V273" s="403">
        <v>247338.69</v>
      </c>
      <c r="W273" s="403">
        <v>247338.69</v>
      </c>
      <c r="X273" s="390"/>
      <c r="Y273" s="380">
        <v>43</v>
      </c>
      <c r="Z273" s="448">
        <v>0</v>
      </c>
      <c r="AA273" s="448">
        <v>239638.11</v>
      </c>
      <c r="AB273" s="403">
        <v>239638.11</v>
      </c>
      <c r="AC273" s="390"/>
      <c r="AD273" s="457">
        <v>38</v>
      </c>
      <c r="AE273" s="448"/>
      <c r="AF273" s="448"/>
    </row>
    <row r="274" spans="1:32" ht="14.5">
      <c r="A274" s="380" t="s">
        <v>731</v>
      </c>
      <c r="B274" s="380" t="s">
        <v>204</v>
      </c>
      <c r="C274" s="389" t="s">
        <v>732</v>
      </c>
      <c r="E274" s="381">
        <v>998</v>
      </c>
      <c r="F274" s="381">
        <v>1303581.55</v>
      </c>
      <c r="G274" s="381">
        <v>9369317.1600000001</v>
      </c>
      <c r="H274" s="381">
        <v>10672898.710000001</v>
      </c>
      <c r="I274" s="390"/>
      <c r="J274" s="380">
        <v>1049</v>
      </c>
      <c r="K274" s="381">
        <v>0</v>
      </c>
      <c r="L274" s="381">
        <v>12317791.550000001</v>
      </c>
      <c r="M274" s="381">
        <v>12317791.550000001</v>
      </c>
      <c r="N274" s="390"/>
      <c r="O274" s="380">
        <v>1093</v>
      </c>
      <c r="P274" s="381">
        <v>3148846.86</v>
      </c>
      <c r="Q274" s="381">
        <v>12047155.970000001</v>
      </c>
      <c r="R274" s="381">
        <v>15196002.83</v>
      </c>
      <c r="S274" s="390"/>
      <c r="T274" s="380">
        <v>1082</v>
      </c>
      <c r="U274" s="403">
        <v>3523319.59</v>
      </c>
      <c r="V274" s="403">
        <v>14786511.42</v>
      </c>
      <c r="W274" s="403">
        <v>18309831.009999998</v>
      </c>
      <c r="X274" s="390"/>
      <c r="Y274" s="380">
        <v>1093</v>
      </c>
      <c r="Z274" s="448">
        <v>4064428.8</v>
      </c>
      <c r="AA274" s="448">
        <v>16304937.859999999</v>
      </c>
      <c r="AB274" s="403">
        <v>20369366.66</v>
      </c>
      <c r="AC274" s="390"/>
      <c r="AD274" s="457">
        <v>1170</v>
      </c>
      <c r="AE274" s="448"/>
      <c r="AF274" s="448"/>
    </row>
    <row r="275" spans="1:32" ht="14.5">
      <c r="A275" s="380" t="s">
        <v>733</v>
      </c>
      <c r="B275" s="380" t="s">
        <v>193</v>
      </c>
      <c r="C275" s="389" t="s">
        <v>734</v>
      </c>
      <c r="E275" s="381">
        <v>42</v>
      </c>
      <c r="F275" s="381">
        <v>0</v>
      </c>
      <c r="G275" s="381">
        <v>248641.99</v>
      </c>
      <c r="H275" s="381">
        <v>248641.99</v>
      </c>
      <c r="I275" s="390"/>
      <c r="J275" s="380">
        <v>45</v>
      </c>
      <c r="K275" s="381">
        <v>0</v>
      </c>
      <c r="L275" s="381">
        <v>308131.15999999997</v>
      </c>
      <c r="M275" s="381">
        <v>308131.15999999997</v>
      </c>
      <c r="N275" s="390"/>
      <c r="O275" s="380">
        <v>44</v>
      </c>
      <c r="P275" s="381">
        <v>0</v>
      </c>
      <c r="Q275" s="381">
        <v>422866.1</v>
      </c>
      <c r="R275" s="381">
        <v>422866.1</v>
      </c>
      <c r="S275" s="390"/>
      <c r="T275" s="380">
        <v>36</v>
      </c>
      <c r="U275" s="403">
        <v>0</v>
      </c>
      <c r="V275" s="403">
        <v>453041.53</v>
      </c>
      <c r="W275" s="403">
        <v>453041.53</v>
      </c>
      <c r="X275" s="390"/>
      <c r="Y275" s="380">
        <v>41</v>
      </c>
      <c r="Z275" s="448">
        <v>1500</v>
      </c>
      <c r="AA275" s="448">
        <v>340493.38</v>
      </c>
      <c r="AB275" s="403">
        <v>341993.38</v>
      </c>
      <c r="AC275" s="390"/>
      <c r="AD275" s="457">
        <v>38</v>
      </c>
      <c r="AE275" s="448"/>
      <c r="AF275" s="448"/>
    </row>
    <row r="276" spans="1:32" ht="14.5">
      <c r="A276" s="380" t="s">
        <v>735</v>
      </c>
      <c r="B276" s="380" t="s">
        <v>188</v>
      </c>
      <c r="C276" s="389" t="s">
        <v>736</v>
      </c>
      <c r="E276" s="381">
        <v>167</v>
      </c>
      <c r="F276" s="381">
        <v>0</v>
      </c>
      <c r="G276" s="381">
        <v>1325438.47</v>
      </c>
      <c r="H276" s="381">
        <v>1325438.47</v>
      </c>
      <c r="I276" s="390"/>
      <c r="J276" s="380">
        <v>185</v>
      </c>
      <c r="K276" s="381">
        <v>9514.52</v>
      </c>
      <c r="L276" s="381">
        <v>1859891.09</v>
      </c>
      <c r="M276" s="381">
        <v>1869405.61</v>
      </c>
      <c r="N276" s="390"/>
      <c r="O276" s="380">
        <v>202</v>
      </c>
      <c r="P276" s="381">
        <v>0</v>
      </c>
      <c r="Q276" s="381">
        <v>2169723.2599999998</v>
      </c>
      <c r="R276" s="381">
        <v>2169723.2599999998</v>
      </c>
      <c r="S276" s="390"/>
      <c r="T276" s="380">
        <v>207</v>
      </c>
      <c r="U276" s="403">
        <v>0</v>
      </c>
      <c r="V276" s="403">
        <v>2108953.7400000002</v>
      </c>
      <c r="W276" s="403">
        <v>2108953.7400000002</v>
      </c>
      <c r="X276" s="390"/>
      <c r="Y276" s="380">
        <v>203</v>
      </c>
      <c r="Z276" s="448">
        <v>0</v>
      </c>
      <c r="AA276" s="448">
        <v>2003113.58</v>
      </c>
      <c r="AB276" s="403">
        <v>2003113.58</v>
      </c>
      <c r="AC276" s="390"/>
      <c r="AD276" s="457">
        <v>219</v>
      </c>
      <c r="AE276" s="448"/>
      <c r="AF276" s="448"/>
    </row>
    <row r="277" spans="1:32" ht="14.5">
      <c r="A277" s="380" t="s">
        <v>737</v>
      </c>
      <c r="B277" s="380" t="s">
        <v>220</v>
      </c>
      <c r="C277" s="389" t="s">
        <v>738</v>
      </c>
      <c r="E277" s="381">
        <v>22</v>
      </c>
      <c r="F277" s="381">
        <v>0</v>
      </c>
      <c r="G277" s="381">
        <v>247195.87</v>
      </c>
      <c r="H277" s="381">
        <v>247195.87</v>
      </c>
      <c r="I277" s="390"/>
      <c r="J277" s="380">
        <v>28</v>
      </c>
      <c r="K277" s="381">
        <v>0</v>
      </c>
      <c r="L277" s="381">
        <v>259663.18</v>
      </c>
      <c r="M277" s="381">
        <v>259663.18</v>
      </c>
      <c r="N277" s="390"/>
      <c r="O277" s="380">
        <v>32</v>
      </c>
      <c r="P277" s="381">
        <v>0</v>
      </c>
      <c r="Q277" s="381">
        <v>353888.04</v>
      </c>
      <c r="R277" s="381">
        <v>353888.04</v>
      </c>
      <c r="S277" s="390"/>
      <c r="T277" s="380">
        <v>33</v>
      </c>
      <c r="U277" s="403">
        <v>0</v>
      </c>
      <c r="V277" s="403">
        <v>395555.41</v>
      </c>
      <c r="W277" s="403">
        <v>395555.41</v>
      </c>
      <c r="X277" s="390"/>
      <c r="Y277" s="380">
        <v>35</v>
      </c>
      <c r="Z277" s="448">
        <v>0</v>
      </c>
      <c r="AA277" s="448">
        <v>392291.15</v>
      </c>
      <c r="AB277" s="403">
        <v>392291.15</v>
      </c>
      <c r="AC277" s="390"/>
      <c r="AD277" s="457">
        <v>34</v>
      </c>
      <c r="AE277" s="448"/>
      <c r="AF277" s="448"/>
    </row>
    <row r="278" spans="1:32" ht="14.5">
      <c r="A278" s="380" t="s">
        <v>739</v>
      </c>
      <c r="B278" s="380" t="s">
        <v>188</v>
      </c>
      <c r="C278" s="389" t="s">
        <v>740</v>
      </c>
      <c r="E278" s="381">
        <v>131</v>
      </c>
      <c r="F278" s="381">
        <v>326894.57</v>
      </c>
      <c r="G278" s="381">
        <v>998150.92</v>
      </c>
      <c r="H278" s="381">
        <v>1325045.49</v>
      </c>
      <c r="I278" s="390"/>
      <c r="J278" s="380">
        <v>132</v>
      </c>
      <c r="K278" s="381">
        <v>437889.97</v>
      </c>
      <c r="L278" s="381">
        <v>1198639.3899999999</v>
      </c>
      <c r="M278" s="381">
        <v>1636529.3599999999</v>
      </c>
      <c r="N278" s="390"/>
      <c r="O278" s="380">
        <v>140</v>
      </c>
      <c r="P278" s="381">
        <v>418502.97</v>
      </c>
      <c r="Q278" s="381">
        <v>1398243.72</v>
      </c>
      <c r="R278" s="381">
        <v>1816746.69</v>
      </c>
      <c r="S278" s="390"/>
      <c r="T278" s="380">
        <v>143</v>
      </c>
      <c r="U278" s="403">
        <v>53536.37</v>
      </c>
      <c r="V278" s="403">
        <v>1715455.17</v>
      </c>
      <c r="W278" s="403">
        <v>1768991.54</v>
      </c>
      <c r="X278" s="390"/>
      <c r="Y278" s="380">
        <v>133</v>
      </c>
      <c r="Z278" s="448">
        <v>0</v>
      </c>
      <c r="AA278" s="448">
        <v>1846653.56</v>
      </c>
      <c r="AB278" s="403">
        <v>1846653.56</v>
      </c>
      <c r="AC278" s="390"/>
      <c r="AD278" s="457">
        <v>140</v>
      </c>
      <c r="AE278" s="448"/>
      <c r="AF278" s="448"/>
    </row>
    <row r="279" spans="1:32" ht="14.5">
      <c r="A279" s="380" t="s">
        <v>741</v>
      </c>
      <c r="B279" s="380" t="s">
        <v>230</v>
      </c>
      <c r="C279" s="389" t="s">
        <v>742</v>
      </c>
      <c r="E279" s="381">
        <v>131</v>
      </c>
      <c r="F279" s="381">
        <v>38.75</v>
      </c>
      <c r="G279" s="381">
        <v>862551.84</v>
      </c>
      <c r="H279" s="381">
        <v>862590.59</v>
      </c>
      <c r="I279" s="390"/>
      <c r="J279" s="380">
        <v>130</v>
      </c>
      <c r="K279" s="381">
        <v>0</v>
      </c>
      <c r="L279" s="381">
        <v>1092115.96</v>
      </c>
      <c r="M279" s="381">
        <v>1092115.96</v>
      </c>
      <c r="N279" s="390"/>
      <c r="O279" s="380">
        <v>121</v>
      </c>
      <c r="P279" s="381">
        <v>0</v>
      </c>
      <c r="Q279" s="381">
        <v>1048405.49</v>
      </c>
      <c r="R279" s="381">
        <v>1048405.49</v>
      </c>
      <c r="S279" s="390"/>
      <c r="T279" s="380">
        <v>131</v>
      </c>
      <c r="U279" s="403">
        <v>0</v>
      </c>
      <c r="V279" s="403">
        <v>1351785.53</v>
      </c>
      <c r="W279" s="403">
        <v>1351785.53</v>
      </c>
      <c r="X279" s="390"/>
      <c r="Y279" s="380">
        <v>132</v>
      </c>
      <c r="Z279" s="448">
        <v>0</v>
      </c>
      <c r="AA279" s="448">
        <v>1149184.33</v>
      </c>
      <c r="AB279" s="403">
        <v>1149184.33</v>
      </c>
      <c r="AC279" s="390"/>
      <c r="AD279" s="457">
        <v>126</v>
      </c>
      <c r="AE279" s="448"/>
      <c r="AF279" s="448"/>
    </row>
    <row r="280" spans="1:32" ht="14.5">
      <c r="A280" s="380" t="s">
        <v>743</v>
      </c>
      <c r="B280" s="380" t="s">
        <v>220</v>
      </c>
      <c r="C280" s="389" t="s">
        <v>744</v>
      </c>
      <c r="E280" s="381">
        <v>534</v>
      </c>
      <c r="F280" s="381">
        <v>0</v>
      </c>
      <c r="G280" s="381">
        <v>3779602.13</v>
      </c>
      <c r="H280" s="381">
        <v>3779602.13</v>
      </c>
      <c r="I280" s="390"/>
      <c r="J280" s="380">
        <v>558</v>
      </c>
      <c r="K280" s="381">
        <v>0</v>
      </c>
      <c r="L280" s="381">
        <v>4378376.38</v>
      </c>
      <c r="M280" s="381">
        <v>4378376.38</v>
      </c>
      <c r="N280" s="390"/>
      <c r="O280" s="380">
        <v>579</v>
      </c>
      <c r="P280" s="381">
        <v>0</v>
      </c>
      <c r="Q280" s="381">
        <v>5064931.99</v>
      </c>
      <c r="R280" s="381">
        <v>5064931.99</v>
      </c>
      <c r="S280" s="390"/>
      <c r="T280" s="380">
        <v>588</v>
      </c>
      <c r="U280" s="403">
        <v>0</v>
      </c>
      <c r="V280" s="403">
        <v>4868571.6900000004</v>
      </c>
      <c r="W280" s="403">
        <v>4868571.6900000004</v>
      </c>
      <c r="X280" s="390"/>
      <c r="Y280" s="380">
        <v>556</v>
      </c>
      <c r="Z280" s="448">
        <v>0</v>
      </c>
      <c r="AA280" s="448">
        <v>4440304.57</v>
      </c>
      <c r="AB280" s="403">
        <v>4440304.57</v>
      </c>
      <c r="AC280" s="390"/>
      <c r="AD280" s="457">
        <v>544</v>
      </c>
      <c r="AE280" s="448"/>
      <c r="AF280" s="448"/>
    </row>
    <row r="281" spans="1:32" ht="14.5">
      <c r="A281" s="380" t="s">
        <v>745</v>
      </c>
      <c r="B281" s="380" t="s">
        <v>201</v>
      </c>
      <c r="C281" s="389" t="s">
        <v>746</v>
      </c>
      <c r="E281" s="381">
        <v>27</v>
      </c>
      <c r="F281" s="381">
        <v>0</v>
      </c>
      <c r="G281" s="381">
        <v>193888.59</v>
      </c>
      <c r="H281" s="381">
        <v>193888.59</v>
      </c>
      <c r="I281" s="390"/>
      <c r="J281" s="380">
        <v>26</v>
      </c>
      <c r="K281" s="381">
        <v>0</v>
      </c>
      <c r="L281" s="381">
        <v>205500</v>
      </c>
      <c r="M281" s="381">
        <v>205500</v>
      </c>
      <c r="N281" s="390"/>
      <c r="O281" s="380">
        <v>35</v>
      </c>
      <c r="P281" s="381">
        <v>0</v>
      </c>
      <c r="Q281" s="381">
        <v>244035.1</v>
      </c>
      <c r="R281" s="381">
        <v>244035.1</v>
      </c>
      <c r="S281" s="390"/>
      <c r="T281" s="380">
        <v>29</v>
      </c>
      <c r="U281" s="403">
        <v>0</v>
      </c>
      <c r="V281" s="403">
        <v>248271.13</v>
      </c>
      <c r="W281" s="403">
        <v>248271.13</v>
      </c>
      <c r="X281" s="390"/>
      <c r="Y281" s="380">
        <v>23</v>
      </c>
      <c r="Z281" s="448">
        <v>29614.58</v>
      </c>
      <c r="AA281" s="448">
        <v>228377.54</v>
      </c>
      <c r="AB281" s="403">
        <v>257992.12</v>
      </c>
      <c r="AC281" s="390"/>
      <c r="AD281" s="457">
        <v>19</v>
      </c>
      <c r="AE281" s="448"/>
      <c r="AF281" s="448"/>
    </row>
    <row r="282" spans="1:32" ht="14.5">
      <c r="A282" s="380" t="s">
        <v>747</v>
      </c>
      <c r="B282" s="380" t="s">
        <v>209</v>
      </c>
      <c r="C282" s="389" t="s">
        <v>748</v>
      </c>
      <c r="D282" s="380" t="s">
        <v>818</v>
      </c>
      <c r="E282" s="381">
        <v>75</v>
      </c>
      <c r="F282" s="381">
        <v>0</v>
      </c>
      <c r="G282" s="381">
        <v>656449.89</v>
      </c>
      <c r="H282" s="381">
        <v>656449.89</v>
      </c>
      <c r="I282" s="390"/>
      <c r="J282" s="380">
        <v>90</v>
      </c>
      <c r="K282" s="381">
        <v>0</v>
      </c>
      <c r="L282" s="381">
        <v>876409.73</v>
      </c>
      <c r="M282" s="381">
        <v>876409.73</v>
      </c>
      <c r="N282" s="390"/>
      <c r="O282" s="380">
        <v>101</v>
      </c>
      <c r="P282" s="381">
        <v>0</v>
      </c>
      <c r="Q282" s="381">
        <v>952432.85</v>
      </c>
      <c r="R282" s="381">
        <v>952432.85</v>
      </c>
      <c r="S282" s="390"/>
      <c r="T282" s="380">
        <v>0</v>
      </c>
      <c r="U282" s="403">
        <v>0</v>
      </c>
      <c r="V282" s="403">
        <v>1086222.47</v>
      </c>
      <c r="W282" s="403">
        <v>1086222.47</v>
      </c>
      <c r="X282" s="390"/>
      <c r="Y282" s="380">
        <v>108</v>
      </c>
      <c r="Z282" s="448">
        <v>0</v>
      </c>
      <c r="AA282" s="448">
        <v>1011805.92</v>
      </c>
      <c r="AB282" s="403">
        <v>1011805.92</v>
      </c>
      <c r="AC282" s="390"/>
      <c r="AD282" s="457">
        <v>103</v>
      </c>
      <c r="AE282" s="448"/>
      <c r="AF282" s="448"/>
    </row>
    <row r="283" spans="1:32" ht="14.5">
      <c r="A283" s="380" t="s">
        <v>749</v>
      </c>
      <c r="B283" s="380" t="s">
        <v>209</v>
      </c>
      <c r="C283" s="389" t="s">
        <v>750</v>
      </c>
      <c r="D283" s="380" t="s">
        <v>818</v>
      </c>
      <c r="E283" s="381">
        <v>31</v>
      </c>
      <c r="F283" s="381">
        <v>0</v>
      </c>
      <c r="G283" s="381">
        <v>212400.73</v>
      </c>
      <c r="H283" s="381">
        <v>212400.73</v>
      </c>
      <c r="I283" s="390"/>
      <c r="J283" s="380">
        <v>21</v>
      </c>
      <c r="K283" s="381">
        <v>0</v>
      </c>
      <c r="L283" s="381">
        <v>197440.92</v>
      </c>
      <c r="M283" s="381">
        <v>197440.92</v>
      </c>
      <c r="N283" s="390"/>
      <c r="O283" s="380">
        <v>24</v>
      </c>
      <c r="P283" s="381">
        <v>0</v>
      </c>
      <c r="Q283" s="381">
        <v>212833.99</v>
      </c>
      <c r="R283" s="381">
        <v>212833.99</v>
      </c>
      <c r="S283" s="390"/>
      <c r="T283" s="380">
        <v>0</v>
      </c>
      <c r="U283" s="403">
        <v>0</v>
      </c>
      <c r="V283" s="403">
        <v>149228.26</v>
      </c>
      <c r="W283" s="403">
        <v>149228.26</v>
      </c>
      <c r="X283" s="390"/>
      <c r="Y283" s="380">
        <v>18</v>
      </c>
      <c r="Z283" s="448">
        <v>0</v>
      </c>
      <c r="AA283" s="448">
        <v>174835.77</v>
      </c>
      <c r="AB283" s="403">
        <v>174835.77</v>
      </c>
      <c r="AC283" s="390"/>
      <c r="AD283" s="457">
        <v>22</v>
      </c>
      <c r="AE283" s="448"/>
      <c r="AF283" s="448"/>
    </row>
    <row r="284" spans="1:32" ht="14.5">
      <c r="A284" s="380" t="s">
        <v>751</v>
      </c>
      <c r="B284" s="380" t="s">
        <v>204</v>
      </c>
      <c r="C284" s="389" t="s">
        <v>752</v>
      </c>
      <c r="E284" s="381">
        <v>302</v>
      </c>
      <c r="F284" s="381">
        <v>0</v>
      </c>
      <c r="G284" s="381">
        <v>4075203.63</v>
      </c>
      <c r="H284" s="381">
        <v>4075203.63</v>
      </c>
      <c r="I284" s="390"/>
      <c r="J284" s="380">
        <v>317</v>
      </c>
      <c r="K284" s="381">
        <v>0</v>
      </c>
      <c r="L284" s="381">
        <v>4619615.88</v>
      </c>
      <c r="M284" s="381">
        <v>4619615.88</v>
      </c>
      <c r="N284" s="390"/>
      <c r="O284" s="380">
        <v>350</v>
      </c>
      <c r="P284" s="381">
        <v>357300.1</v>
      </c>
      <c r="Q284" s="381">
        <v>4996425.45</v>
      </c>
      <c r="R284" s="381">
        <v>5353725.55</v>
      </c>
      <c r="S284" s="390"/>
      <c r="T284" s="380">
        <v>326</v>
      </c>
      <c r="U284" s="403">
        <v>1454292.01</v>
      </c>
      <c r="V284" s="403">
        <v>4180303.04</v>
      </c>
      <c r="W284" s="403">
        <v>5634595.0499999998</v>
      </c>
      <c r="X284" s="390"/>
      <c r="Y284" s="380">
        <v>308</v>
      </c>
      <c r="Z284" s="448">
        <v>0</v>
      </c>
      <c r="AA284" s="448">
        <v>5987123.96</v>
      </c>
      <c r="AB284" s="403">
        <v>5987123.96</v>
      </c>
      <c r="AC284" s="390"/>
      <c r="AD284" s="457">
        <v>326</v>
      </c>
      <c r="AE284" s="448"/>
      <c r="AF284" s="448"/>
    </row>
    <row r="285" spans="1:32" ht="14.5">
      <c r="A285" s="380" t="s">
        <v>753</v>
      </c>
      <c r="B285" s="380" t="s">
        <v>188</v>
      </c>
      <c r="C285" s="389" t="s">
        <v>754</v>
      </c>
      <c r="E285" s="381">
        <v>824</v>
      </c>
      <c r="F285" s="381">
        <v>0</v>
      </c>
      <c r="G285" s="381">
        <v>7464334.8499999996</v>
      </c>
      <c r="H285" s="381">
        <v>7464334.8499999996</v>
      </c>
      <c r="I285" s="390"/>
      <c r="J285" s="380">
        <v>862</v>
      </c>
      <c r="K285" s="381">
        <v>749928.94</v>
      </c>
      <c r="L285" s="381">
        <v>8381878.8899999997</v>
      </c>
      <c r="M285" s="381">
        <v>9131807.8300000001</v>
      </c>
      <c r="N285" s="390"/>
      <c r="O285" s="380">
        <v>867</v>
      </c>
      <c r="P285" s="381">
        <v>92502.12</v>
      </c>
      <c r="Q285" s="381">
        <v>9401413.2100000009</v>
      </c>
      <c r="R285" s="381">
        <v>9493915.3300000001</v>
      </c>
      <c r="S285" s="390"/>
      <c r="T285" s="380">
        <v>728</v>
      </c>
      <c r="U285" s="403">
        <v>2294140.14</v>
      </c>
      <c r="V285" s="403">
        <v>8621375.4600000009</v>
      </c>
      <c r="W285" s="403">
        <v>10915515.600000001</v>
      </c>
      <c r="X285" s="390"/>
      <c r="Y285" s="380">
        <v>885</v>
      </c>
      <c r="Z285" s="448">
        <v>25285.29</v>
      </c>
      <c r="AA285" s="448">
        <v>11693116.949999999</v>
      </c>
      <c r="AB285" s="403">
        <v>11718402.239999998</v>
      </c>
      <c r="AC285" s="390"/>
      <c r="AD285" s="457">
        <v>923</v>
      </c>
      <c r="AE285" s="448"/>
      <c r="AF285" s="448"/>
    </row>
    <row r="286" spans="1:32" ht="14.5">
      <c r="A286" s="380" t="s">
        <v>755</v>
      </c>
      <c r="B286" s="380" t="s">
        <v>220</v>
      </c>
      <c r="C286" s="389" t="s">
        <v>756</v>
      </c>
      <c r="E286" s="381">
        <v>69</v>
      </c>
      <c r="F286" s="381">
        <v>0</v>
      </c>
      <c r="G286" s="381">
        <v>478645.15</v>
      </c>
      <c r="H286" s="381">
        <v>478645.15</v>
      </c>
      <c r="I286" s="390"/>
      <c r="J286" s="380">
        <v>68</v>
      </c>
      <c r="K286" s="381">
        <v>5968.09</v>
      </c>
      <c r="L286" s="381">
        <v>582451</v>
      </c>
      <c r="M286" s="381">
        <v>588419.09</v>
      </c>
      <c r="N286" s="390"/>
      <c r="O286" s="380">
        <v>74</v>
      </c>
      <c r="P286" s="381">
        <v>0</v>
      </c>
      <c r="Q286" s="381">
        <v>613370.84</v>
      </c>
      <c r="R286" s="381">
        <v>613370.84</v>
      </c>
      <c r="S286" s="390"/>
      <c r="T286" s="380">
        <v>70</v>
      </c>
      <c r="U286" s="403">
        <v>0</v>
      </c>
      <c r="V286" s="403">
        <v>623891.54</v>
      </c>
      <c r="W286" s="403">
        <v>623891.54</v>
      </c>
      <c r="X286" s="390"/>
      <c r="Y286" s="380">
        <v>74</v>
      </c>
      <c r="Z286" s="448">
        <v>0</v>
      </c>
      <c r="AA286" s="448">
        <v>643355.37</v>
      </c>
      <c r="AB286" s="403">
        <v>643355.37</v>
      </c>
      <c r="AC286" s="390"/>
      <c r="AD286" s="457">
        <v>72</v>
      </c>
      <c r="AE286" s="448"/>
      <c r="AF286" s="448"/>
    </row>
    <row r="287" spans="1:32" ht="14.5">
      <c r="A287" s="380" t="s">
        <v>757</v>
      </c>
      <c r="B287" s="380" t="s">
        <v>204</v>
      </c>
      <c r="C287" s="389" t="s">
        <v>758</v>
      </c>
      <c r="E287" s="381">
        <v>586</v>
      </c>
      <c r="F287" s="381">
        <v>53445.31</v>
      </c>
      <c r="G287" s="381">
        <v>7152239.3899999997</v>
      </c>
      <c r="H287" s="381">
        <v>7205684.6999999993</v>
      </c>
      <c r="I287" s="390"/>
      <c r="J287" s="380">
        <v>604</v>
      </c>
      <c r="K287" s="381">
        <v>66045.52</v>
      </c>
      <c r="L287" s="381">
        <v>7760389.5199999996</v>
      </c>
      <c r="M287" s="381">
        <v>7826435.0399999991</v>
      </c>
      <c r="N287" s="390"/>
      <c r="O287" s="380">
        <v>584</v>
      </c>
      <c r="P287" s="381">
        <v>47945.23</v>
      </c>
      <c r="Q287" s="381">
        <v>8704141.8900000006</v>
      </c>
      <c r="R287" s="381">
        <v>8752087.120000001</v>
      </c>
      <c r="S287" s="390"/>
      <c r="T287" s="380">
        <v>590</v>
      </c>
      <c r="U287" s="403">
        <v>597.51</v>
      </c>
      <c r="V287" s="403">
        <v>9804721.4199999999</v>
      </c>
      <c r="W287" s="403">
        <v>9805318.9299999997</v>
      </c>
      <c r="X287" s="390"/>
      <c r="Y287" s="380">
        <v>583</v>
      </c>
      <c r="Z287" s="448">
        <v>72221.52</v>
      </c>
      <c r="AA287" s="448">
        <v>10591552.699999999</v>
      </c>
      <c r="AB287" s="403">
        <v>10663774.219999999</v>
      </c>
      <c r="AC287" s="390"/>
      <c r="AD287" s="457">
        <v>557</v>
      </c>
      <c r="AE287" s="448"/>
      <c r="AF287" s="448"/>
    </row>
    <row r="288" spans="1:32" ht="14.5">
      <c r="A288" s="380" t="s">
        <v>759</v>
      </c>
      <c r="B288" s="380" t="s">
        <v>193</v>
      </c>
      <c r="C288" s="389" t="s">
        <v>1211</v>
      </c>
      <c r="E288" s="381">
        <v>94</v>
      </c>
      <c r="F288" s="381">
        <v>6978.23</v>
      </c>
      <c r="G288" s="381">
        <v>709145.67</v>
      </c>
      <c r="H288" s="381">
        <v>716123.9</v>
      </c>
      <c r="I288" s="390"/>
      <c r="J288" s="380">
        <v>96</v>
      </c>
      <c r="K288" s="381">
        <v>19419.89</v>
      </c>
      <c r="L288" s="381">
        <v>834182.88</v>
      </c>
      <c r="M288" s="381">
        <v>853602.77</v>
      </c>
      <c r="N288" s="390"/>
      <c r="O288" s="380">
        <v>106</v>
      </c>
      <c r="P288" s="381">
        <v>0</v>
      </c>
      <c r="Q288" s="381">
        <v>913423.24</v>
      </c>
      <c r="R288" s="381">
        <v>913423.24</v>
      </c>
      <c r="S288" s="390"/>
      <c r="T288" s="380">
        <v>104</v>
      </c>
      <c r="U288" s="403">
        <v>0</v>
      </c>
      <c r="V288" s="403">
        <v>971683.32</v>
      </c>
      <c r="W288" s="403">
        <v>971683.32</v>
      </c>
      <c r="X288" s="390"/>
      <c r="Y288" s="380">
        <v>117</v>
      </c>
      <c r="Z288" s="448">
        <v>0</v>
      </c>
      <c r="AA288" s="448">
        <v>1130385.97</v>
      </c>
      <c r="AB288" s="403">
        <v>1130385.97</v>
      </c>
      <c r="AC288" s="390"/>
      <c r="AD288" s="457">
        <v>110</v>
      </c>
      <c r="AE288" s="448"/>
      <c r="AF288" s="448"/>
    </row>
    <row r="289" spans="1:32" ht="14.5">
      <c r="A289" s="380" t="s">
        <v>761</v>
      </c>
      <c r="B289" s="380" t="s">
        <v>209</v>
      </c>
      <c r="C289" s="389" t="s">
        <v>762</v>
      </c>
      <c r="E289" s="381">
        <v>3019</v>
      </c>
      <c r="F289" s="381">
        <v>4885420.1900000004</v>
      </c>
      <c r="G289" s="381">
        <v>25643973.539999999</v>
      </c>
      <c r="H289" s="381">
        <v>30529393.73</v>
      </c>
      <c r="I289" s="390"/>
      <c r="J289" s="380">
        <v>2998</v>
      </c>
      <c r="K289" s="381">
        <v>4504448.7699999996</v>
      </c>
      <c r="L289" s="381">
        <v>32102273.140000001</v>
      </c>
      <c r="M289" s="381">
        <v>36606721.909999996</v>
      </c>
      <c r="N289" s="390"/>
      <c r="O289" s="380">
        <v>3052</v>
      </c>
      <c r="P289" s="381">
        <v>4540772.51</v>
      </c>
      <c r="Q289" s="381">
        <v>35423373.57</v>
      </c>
      <c r="R289" s="381">
        <v>39964146.079999998</v>
      </c>
      <c r="S289" s="390"/>
      <c r="T289" s="380">
        <v>2964</v>
      </c>
      <c r="U289" s="403">
        <v>4357500.32</v>
      </c>
      <c r="V289" s="403">
        <v>35920356.420000002</v>
      </c>
      <c r="W289" s="403">
        <v>40277856.740000002</v>
      </c>
      <c r="X289" s="390"/>
      <c r="Y289" s="380">
        <v>3022</v>
      </c>
      <c r="Z289" s="448">
        <v>4948822.22</v>
      </c>
      <c r="AA289" s="448">
        <v>38577740.32</v>
      </c>
      <c r="AB289" s="403">
        <v>43526562.539999999</v>
      </c>
      <c r="AC289" s="390"/>
      <c r="AD289" s="457">
        <v>3279</v>
      </c>
      <c r="AE289" s="448"/>
      <c r="AF289" s="448"/>
    </row>
    <row r="290" spans="1:32" ht="14.5">
      <c r="A290" s="380" t="s">
        <v>763</v>
      </c>
      <c r="B290" s="380" t="s">
        <v>204</v>
      </c>
      <c r="C290" s="389" t="s">
        <v>764</v>
      </c>
      <c r="E290" s="381">
        <v>187</v>
      </c>
      <c r="F290" s="381">
        <v>20954</v>
      </c>
      <c r="G290" s="381">
        <v>1840603.6</v>
      </c>
      <c r="H290" s="381">
        <v>1861557.6</v>
      </c>
      <c r="I290" s="390"/>
      <c r="J290" s="380">
        <v>179</v>
      </c>
      <c r="K290" s="381">
        <v>107204.38</v>
      </c>
      <c r="L290" s="381">
        <v>2307362.0499999998</v>
      </c>
      <c r="M290" s="381">
        <v>2414566.4299999997</v>
      </c>
      <c r="N290" s="390"/>
      <c r="O290" s="380">
        <v>191</v>
      </c>
      <c r="P290" s="381">
        <v>120906.88</v>
      </c>
      <c r="Q290" s="381">
        <v>2448982.66</v>
      </c>
      <c r="R290" s="381">
        <v>2569889.54</v>
      </c>
      <c r="S290" s="390"/>
      <c r="T290" s="380">
        <v>180</v>
      </c>
      <c r="U290" s="403">
        <v>120936.47</v>
      </c>
      <c r="V290" s="403">
        <v>2589566.0699999998</v>
      </c>
      <c r="W290" s="403">
        <v>2710502.54</v>
      </c>
      <c r="X290" s="390"/>
      <c r="Y290" s="380">
        <v>178</v>
      </c>
      <c r="Z290" s="448">
        <v>126661.05</v>
      </c>
      <c r="AA290" s="448">
        <v>2571620.04</v>
      </c>
      <c r="AB290" s="403">
        <v>2698281.09</v>
      </c>
      <c r="AC290" s="390"/>
      <c r="AD290" s="457">
        <v>185</v>
      </c>
      <c r="AE290" s="448"/>
      <c r="AF290" s="448"/>
    </row>
    <row r="291" spans="1:32" ht="14.5">
      <c r="A291" s="380" t="s">
        <v>765</v>
      </c>
      <c r="B291" s="380" t="s">
        <v>209</v>
      </c>
      <c r="C291" s="389" t="s">
        <v>766</v>
      </c>
      <c r="D291" s="380" t="s">
        <v>818</v>
      </c>
      <c r="E291" s="381">
        <v>93</v>
      </c>
      <c r="F291" s="381">
        <v>0</v>
      </c>
      <c r="G291" s="381">
        <v>753358.67</v>
      </c>
      <c r="H291" s="381">
        <v>753358.67</v>
      </c>
      <c r="I291" s="390"/>
      <c r="J291" s="380">
        <v>99</v>
      </c>
      <c r="K291" s="381">
        <v>0</v>
      </c>
      <c r="L291" s="381">
        <v>824959.23</v>
      </c>
      <c r="M291" s="381">
        <v>824959.23</v>
      </c>
      <c r="N291" s="390"/>
      <c r="O291" s="380">
        <v>91</v>
      </c>
      <c r="P291" s="381">
        <v>0</v>
      </c>
      <c r="Q291" s="381">
        <v>890936.37</v>
      </c>
      <c r="R291" s="381">
        <v>890936.37</v>
      </c>
      <c r="S291" s="390"/>
      <c r="T291" s="380">
        <v>0</v>
      </c>
      <c r="U291" s="403">
        <v>0</v>
      </c>
      <c r="V291" s="403">
        <v>830324.99</v>
      </c>
      <c r="W291" s="403">
        <v>830324.99</v>
      </c>
      <c r="X291" s="390"/>
      <c r="Y291" s="380">
        <v>82</v>
      </c>
      <c r="Z291" s="448">
        <v>0</v>
      </c>
      <c r="AA291" s="448">
        <v>732218.66</v>
      </c>
      <c r="AB291" s="403">
        <v>732218.66</v>
      </c>
      <c r="AC291" s="390"/>
      <c r="AD291" s="457">
        <v>72</v>
      </c>
      <c r="AE291" s="448"/>
      <c r="AF291" s="448"/>
    </row>
    <row r="292" spans="1:32" ht="14.5">
      <c r="A292" s="380" t="s">
        <v>767</v>
      </c>
      <c r="B292" s="380" t="s">
        <v>220</v>
      </c>
      <c r="C292" s="389" t="s">
        <v>768</v>
      </c>
      <c r="E292" s="381">
        <v>346</v>
      </c>
      <c r="F292" s="381">
        <v>0</v>
      </c>
      <c r="G292" s="381">
        <v>2348190.29</v>
      </c>
      <c r="H292" s="381">
        <v>2348190.29</v>
      </c>
      <c r="I292" s="390"/>
      <c r="J292" s="380">
        <v>336</v>
      </c>
      <c r="K292" s="381">
        <v>47219.37</v>
      </c>
      <c r="L292" s="381">
        <v>2742125.05</v>
      </c>
      <c r="M292" s="381">
        <v>2789344.42</v>
      </c>
      <c r="N292" s="390"/>
      <c r="O292" s="380">
        <v>341</v>
      </c>
      <c r="P292" s="381">
        <v>0</v>
      </c>
      <c r="Q292" s="381">
        <v>3210124.48</v>
      </c>
      <c r="R292" s="381">
        <v>3210124.48</v>
      </c>
      <c r="S292" s="390"/>
      <c r="T292" s="380">
        <v>318</v>
      </c>
      <c r="U292" s="403">
        <v>0</v>
      </c>
      <c r="V292" s="403">
        <v>3114699.25</v>
      </c>
      <c r="W292" s="403">
        <v>3114699.25</v>
      </c>
      <c r="X292" s="390"/>
      <c r="Y292" s="380">
        <v>313</v>
      </c>
      <c r="Z292" s="448">
        <v>0</v>
      </c>
      <c r="AA292" s="448">
        <v>3050258.34</v>
      </c>
      <c r="AB292" s="403">
        <v>3050258.34</v>
      </c>
      <c r="AC292" s="390"/>
      <c r="AD292" s="457">
        <v>313</v>
      </c>
      <c r="AE292" s="448"/>
      <c r="AF292" s="448"/>
    </row>
    <row r="293" spans="1:32" ht="14.5">
      <c r="A293" s="380" t="s">
        <v>769</v>
      </c>
      <c r="B293" s="380" t="s">
        <v>201</v>
      </c>
      <c r="C293" s="389" t="s">
        <v>770</v>
      </c>
      <c r="E293" s="381">
        <v>41</v>
      </c>
      <c r="F293" s="381">
        <v>0</v>
      </c>
      <c r="G293" s="381">
        <v>267690.95</v>
      </c>
      <c r="H293" s="381">
        <v>267690.95</v>
      </c>
      <c r="I293" s="390"/>
      <c r="J293" s="380">
        <v>31</v>
      </c>
      <c r="K293" s="381">
        <v>0</v>
      </c>
      <c r="L293" s="381">
        <v>190004.39</v>
      </c>
      <c r="M293" s="381">
        <v>190004.39</v>
      </c>
      <c r="N293" s="390"/>
      <c r="O293" s="380">
        <v>24</v>
      </c>
      <c r="P293" s="381">
        <v>71746.73</v>
      </c>
      <c r="Q293" s="381">
        <v>147979.73000000001</v>
      </c>
      <c r="R293" s="381">
        <v>219726.46000000002</v>
      </c>
      <c r="S293" s="390"/>
      <c r="T293" s="380">
        <v>20</v>
      </c>
      <c r="U293" s="403">
        <v>0</v>
      </c>
      <c r="V293" s="403">
        <v>210788.07</v>
      </c>
      <c r="W293" s="403">
        <v>210788.07</v>
      </c>
      <c r="X293" s="390"/>
      <c r="Y293" s="380">
        <v>24</v>
      </c>
      <c r="Z293" s="448">
        <v>0</v>
      </c>
      <c r="AA293" s="448">
        <v>235014.18</v>
      </c>
      <c r="AB293" s="403">
        <v>235014.18</v>
      </c>
      <c r="AC293" s="390"/>
      <c r="AD293" s="457">
        <v>23</v>
      </c>
      <c r="AE293" s="448"/>
      <c r="AF293" s="448"/>
    </row>
    <row r="294" spans="1:32" ht="14.5">
      <c r="A294" s="380" t="s">
        <v>771</v>
      </c>
      <c r="B294" s="380" t="s">
        <v>201</v>
      </c>
      <c r="C294" s="389" t="s">
        <v>772</v>
      </c>
      <c r="E294" s="381">
        <v>771</v>
      </c>
      <c r="F294" s="381">
        <v>426479.33</v>
      </c>
      <c r="G294" s="381">
        <v>7102184.9400000004</v>
      </c>
      <c r="H294" s="381">
        <v>7528664.2700000005</v>
      </c>
      <c r="I294" s="390"/>
      <c r="J294" s="380">
        <v>827</v>
      </c>
      <c r="K294" s="381">
        <v>0</v>
      </c>
      <c r="L294" s="381">
        <v>7864712.1699999999</v>
      </c>
      <c r="M294" s="381">
        <v>7864712.1699999999</v>
      </c>
      <c r="N294" s="390"/>
      <c r="O294" s="380">
        <v>818</v>
      </c>
      <c r="P294" s="381">
        <v>0</v>
      </c>
      <c r="Q294" s="381">
        <v>8331459.6900000004</v>
      </c>
      <c r="R294" s="381">
        <v>8331459.6900000004</v>
      </c>
      <c r="S294" s="390"/>
      <c r="T294" s="380">
        <v>784</v>
      </c>
      <c r="U294" s="403">
        <v>0</v>
      </c>
      <c r="V294" s="403">
        <v>8410279.3499999996</v>
      </c>
      <c r="W294" s="403">
        <v>8410279.3499999996</v>
      </c>
      <c r="X294" s="390"/>
      <c r="Y294" s="380">
        <v>821</v>
      </c>
      <c r="Z294" s="448">
        <v>490649.58</v>
      </c>
      <c r="AA294" s="448">
        <v>8612840.9800000004</v>
      </c>
      <c r="AB294" s="403">
        <v>9103490.5600000005</v>
      </c>
      <c r="AC294" s="390"/>
      <c r="AD294" s="457">
        <v>853</v>
      </c>
      <c r="AE294" s="448"/>
      <c r="AF294" s="448"/>
    </row>
    <row r="295" spans="1:32" ht="14.5">
      <c r="A295" s="380" t="s">
        <v>773</v>
      </c>
      <c r="B295" s="380" t="s">
        <v>220</v>
      </c>
      <c r="C295" s="389" t="s">
        <v>774</v>
      </c>
      <c r="E295" s="381">
        <v>381</v>
      </c>
      <c r="F295" s="381">
        <v>0</v>
      </c>
      <c r="G295" s="381">
        <v>2844474.02</v>
      </c>
      <c r="H295" s="381">
        <v>2844474.02</v>
      </c>
      <c r="I295" s="390"/>
      <c r="J295" s="380">
        <v>386</v>
      </c>
      <c r="K295" s="381">
        <v>0</v>
      </c>
      <c r="L295" s="381">
        <v>3480821.72</v>
      </c>
      <c r="M295" s="381">
        <v>3480821.72</v>
      </c>
      <c r="N295" s="390"/>
      <c r="O295" s="380">
        <v>424</v>
      </c>
      <c r="P295" s="381">
        <v>0</v>
      </c>
      <c r="Q295" s="381">
        <v>3727303.96</v>
      </c>
      <c r="R295" s="381">
        <v>3727303.96</v>
      </c>
      <c r="S295" s="390"/>
      <c r="T295" s="380">
        <v>411</v>
      </c>
      <c r="U295" s="403">
        <v>0</v>
      </c>
      <c r="V295" s="403">
        <v>4103783.58</v>
      </c>
      <c r="W295" s="403">
        <v>4103783.58</v>
      </c>
      <c r="X295" s="390"/>
      <c r="Y295" s="380">
        <v>418</v>
      </c>
      <c r="Z295" s="448">
        <v>0</v>
      </c>
      <c r="AA295" s="448">
        <v>4339975.3</v>
      </c>
      <c r="AB295" s="403">
        <v>4339975.3</v>
      </c>
      <c r="AC295" s="390"/>
      <c r="AD295" s="457">
        <v>444</v>
      </c>
      <c r="AE295" s="448"/>
      <c r="AF295" s="448"/>
    </row>
    <row r="296" spans="1:32" ht="14.5">
      <c r="A296" s="380" t="s">
        <v>775</v>
      </c>
      <c r="B296" s="380" t="s">
        <v>230</v>
      </c>
      <c r="C296" s="389" t="s">
        <v>776</v>
      </c>
      <c r="E296" s="381">
        <v>143</v>
      </c>
      <c r="F296" s="381">
        <v>22455.05</v>
      </c>
      <c r="G296" s="381">
        <v>1113829.54</v>
      </c>
      <c r="H296" s="381">
        <v>1136284.5900000001</v>
      </c>
      <c r="I296" s="390"/>
      <c r="J296" s="380">
        <v>147</v>
      </c>
      <c r="K296" s="381">
        <v>0</v>
      </c>
      <c r="L296" s="381">
        <v>1293883.22</v>
      </c>
      <c r="M296" s="381">
        <v>1293883.22</v>
      </c>
      <c r="N296" s="390"/>
      <c r="O296" s="380">
        <v>153</v>
      </c>
      <c r="P296" s="381">
        <v>0</v>
      </c>
      <c r="Q296" s="381">
        <v>1351707.85</v>
      </c>
      <c r="R296" s="381">
        <v>1351707.85</v>
      </c>
      <c r="S296" s="390"/>
      <c r="T296" s="380">
        <v>134</v>
      </c>
      <c r="U296" s="403">
        <v>86534.1</v>
      </c>
      <c r="V296" s="403">
        <v>1319839.98</v>
      </c>
      <c r="W296" s="403">
        <v>1406374.08</v>
      </c>
      <c r="X296" s="390"/>
      <c r="Y296" s="380">
        <v>129</v>
      </c>
      <c r="Z296" s="448">
        <v>1781.25</v>
      </c>
      <c r="AA296" s="448">
        <v>1294613.94</v>
      </c>
      <c r="AB296" s="403">
        <v>1296395.19</v>
      </c>
      <c r="AC296" s="390"/>
      <c r="AD296" s="457">
        <v>140</v>
      </c>
      <c r="AE296" s="448"/>
      <c r="AF296" s="448"/>
    </row>
    <row r="297" spans="1:32" ht="14.5">
      <c r="A297" s="380" t="s">
        <v>777</v>
      </c>
      <c r="B297" s="380" t="s">
        <v>209</v>
      </c>
      <c r="C297" s="389" t="s">
        <v>778</v>
      </c>
      <c r="E297" s="381">
        <v>449</v>
      </c>
      <c r="F297" s="381">
        <v>337815.42</v>
      </c>
      <c r="G297" s="381">
        <v>3798822.75</v>
      </c>
      <c r="H297" s="381">
        <v>4136638.17</v>
      </c>
      <c r="I297" s="390"/>
      <c r="J297" s="380">
        <v>436</v>
      </c>
      <c r="K297" s="381">
        <v>520911.85</v>
      </c>
      <c r="L297" s="381">
        <v>4849455.63</v>
      </c>
      <c r="M297" s="381">
        <v>5370367.4799999995</v>
      </c>
      <c r="N297" s="390"/>
      <c r="O297" s="380">
        <v>488</v>
      </c>
      <c r="P297" s="381">
        <v>355307.22</v>
      </c>
      <c r="Q297" s="381">
        <v>5899295.9000000004</v>
      </c>
      <c r="R297" s="381">
        <v>6254603.1200000001</v>
      </c>
      <c r="S297" s="390"/>
      <c r="T297" s="380">
        <v>456</v>
      </c>
      <c r="U297" s="403">
        <v>358589.35</v>
      </c>
      <c r="V297" s="403">
        <v>6519449.3099999996</v>
      </c>
      <c r="W297" s="403">
        <v>6878038.6599999992</v>
      </c>
      <c r="X297" s="390"/>
      <c r="Y297" s="380">
        <v>471</v>
      </c>
      <c r="Z297" s="448">
        <v>309017.24</v>
      </c>
      <c r="AA297" s="448">
        <v>6772702.0199999996</v>
      </c>
      <c r="AB297" s="403">
        <v>7081719.2599999998</v>
      </c>
      <c r="AC297" s="390"/>
      <c r="AD297" s="457">
        <v>468</v>
      </c>
      <c r="AE297" s="448"/>
      <c r="AF297" s="448"/>
    </row>
    <row r="298" spans="1:32" ht="14.5">
      <c r="A298" s="380" t="s">
        <v>779</v>
      </c>
      <c r="B298" s="380" t="s">
        <v>193</v>
      </c>
      <c r="C298" s="389" t="s">
        <v>780</v>
      </c>
      <c r="E298" s="381">
        <v>5</v>
      </c>
      <c r="F298" s="381">
        <v>0</v>
      </c>
      <c r="G298" s="381">
        <v>96408.59</v>
      </c>
      <c r="H298" s="381">
        <v>96408.59</v>
      </c>
      <c r="I298" s="390"/>
      <c r="J298" s="380">
        <v>4</v>
      </c>
      <c r="K298" s="381">
        <v>0</v>
      </c>
      <c r="L298" s="381">
        <v>41841.07</v>
      </c>
      <c r="M298" s="381">
        <v>41841.07</v>
      </c>
      <c r="N298" s="390"/>
      <c r="O298" s="380">
        <v>4</v>
      </c>
      <c r="P298" s="381">
        <v>0</v>
      </c>
      <c r="Q298" s="381">
        <v>65466.49</v>
      </c>
      <c r="R298" s="381">
        <v>65466.49</v>
      </c>
      <c r="S298" s="390"/>
      <c r="T298" s="380">
        <v>4</v>
      </c>
      <c r="U298" s="403">
        <v>0</v>
      </c>
      <c r="V298" s="403">
        <v>90933.52</v>
      </c>
      <c r="W298" s="403">
        <v>90933.52</v>
      </c>
      <c r="X298" s="390"/>
      <c r="Y298" s="380">
        <v>10</v>
      </c>
      <c r="Z298" s="448">
        <v>0</v>
      </c>
      <c r="AA298" s="448">
        <v>95403.75</v>
      </c>
      <c r="AB298" s="403">
        <v>95403.75</v>
      </c>
      <c r="AC298" s="390"/>
      <c r="AD298" s="457">
        <v>14</v>
      </c>
      <c r="AE298" s="448"/>
      <c r="AF298" s="448"/>
    </row>
    <row r="299" spans="1:32" ht="14.5">
      <c r="A299" s="380" t="s">
        <v>781</v>
      </c>
      <c r="B299" s="380" t="s">
        <v>230</v>
      </c>
      <c r="C299" s="389" t="s">
        <v>782</v>
      </c>
      <c r="D299" s="380" t="s">
        <v>818</v>
      </c>
      <c r="E299" s="381">
        <v>48</v>
      </c>
      <c r="F299" s="381">
        <v>0</v>
      </c>
      <c r="G299" s="381">
        <v>384972.36</v>
      </c>
      <c r="H299" s="381">
        <v>384972.36</v>
      </c>
      <c r="I299" s="390"/>
      <c r="J299" s="380">
        <v>52</v>
      </c>
      <c r="K299" s="381">
        <v>0</v>
      </c>
      <c r="L299" s="381">
        <v>438944.94</v>
      </c>
      <c r="M299" s="381">
        <v>438944.94</v>
      </c>
      <c r="N299" s="390"/>
      <c r="O299" s="380">
        <v>46</v>
      </c>
      <c r="P299" s="381">
        <v>0</v>
      </c>
      <c r="Q299" s="381">
        <v>425408.09</v>
      </c>
      <c r="R299" s="381">
        <v>425408.09</v>
      </c>
      <c r="S299" s="390"/>
      <c r="T299" s="380">
        <v>0</v>
      </c>
      <c r="U299" s="403">
        <v>0</v>
      </c>
      <c r="V299" s="403">
        <v>406377.91</v>
      </c>
      <c r="W299" s="403">
        <v>406377.91</v>
      </c>
      <c r="X299" s="390"/>
      <c r="Y299" s="380">
        <v>43</v>
      </c>
      <c r="Z299" s="448">
        <v>0</v>
      </c>
      <c r="AA299" s="448">
        <v>414342.2</v>
      </c>
      <c r="AB299" s="403">
        <v>414342.2</v>
      </c>
      <c r="AC299" s="390"/>
      <c r="AD299" s="457">
        <v>42</v>
      </c>
      <c r="AE299" s="448"/>
      <c r="AF299" s="448"/>
    </row>
    <row r="300" spans="1:32" ht="14.5">
      <c r="A300" s="380" t="s">
        <v>783</v>
      </c>
      <c r="B300" s="380" t="s">
        <v>193</v>
      </c>
      <c r="C300" s="389" t="s">
        <v>784</v>
      </c>
      <c r="E300" s="381">
        <v>56</v>
      </c>
      <c r="F300" s="381">
        <v>0</v>
      </c>
      <c r="G300" s="381">
        <v>412069.73</v>
      </c>
      <c r="H300" s="381">
        <v>412069.73</v>
      </c>
      <c r="I300" s="390"/>
      <c r="J300" s="380">
        <v>60</v>
      </c>
      <c r="K300" s="381">
        <v>7050.41</v>
      </c>
      <c r="L300" s="381">
        <v>595631.64</v>
      </c>
      <c r="M300" s="381">
        <v>602682.05000000005</v>
      </c>
      <c r="N300" s="390"/>
      <c r="O300" s="380">
        <v>59</v>
      </c>
      <c r="P300" s="381">
        <v>0</v>
      </c>
      <c r="Q300" s="381">
        <v>619138.35</v>
      </c>
      <c r="R300" s="381">
        <v>619138.35</v>
      </c>
      <c r="S300" s="390"/>
      <c r="T300" s="380">
        <v>73</v>
      </c>
      <c r="U300" s="403">
        <v>0</v>
      </c>
      <c r="V300" s="403">
        <v>784179.75</v>
      </c>
      <c r="W300" s="403">
        <v>784179.75</v>
      </c>
      <c r="X300" s="390"/>
      <c r="Y300" s="380">
        <v>71</v>
      </c>
      <c r="Z300" s="448">
        <v>0</v>
      </c>
      <c r="AA300" s="448">
        <v>635026.64</v>
      </c>
      <c r="AB300" s="403">
        <v>635026.64</v>
      </c>
      <c r="AC300" s="390"/>
      <c r="AD300" s="457">
        <v>61</v>
      </c>
      <c r="AE300" s="448"/>
      <c r="AF300" s="448"/>
    </row>
    <row r="301" spans="1:32" ht="14.5">
      <c r="A301" s="380" t="s">
        <v>785</v>
      </c>
      <c r="B301" s="380" t="s">
        <v>230</v>
      </c>
      <c r="C301" s="389" t="s">
        <v>786</v>
      </c>
      <c r="E301" s="381">
        <v>841</v>
      </c>
      <c r="F301" s="381">
        <v>56268.23</v>
      </c>
      <c r="G301" s="381">
        <v>8323838.9000000004</v>
      </c>
      <c r="H301" s="381">
        <v>8380107.1300000008</v>
      </c>
      <c r="I301" s="390"/>
      <c r="J301" s="380">
        <v>909</v>
      </c>
      <c r="K301" s="381">
        <v>83802</v>
      </c>
      <c r="L301" s="381">
        <v>9547317.6999999993</v>
      </c>
      <c r="M301" s="381">
        <v>9631119.6999999993</v>
      </c>
      <c r="N301" s="390"/>
      <c r="O301" s="380">
        <v>964</v>
      </c>
      <c r="P301" s="381">
        <v>56412</v>
      </c>
      <c r="Q301" s="381">
        <v>11081642.65</v>
      </c>
      <c r="R301" s="381">
        <v>11138054.65</v>
      </c>
      <c r="S301" s="390"/>
      <c r="T301" s="380">
        <v>1013</v>
      </c>
      <c r="U301" s="403">
        <v>0</v>
      </c>
      <c r="V301" s="403">
        <v>11633960.390000001</v>
      </c>
      <c r="W301" s="403">
        <v>11633960.390000001</v>
      </c>
      <c r="X301" s="390"/>
      <c r="Y301" s="380">
        <v>1029</v>
      </c>
      <c r="Z301" s="448">
        <v>94237.5</v>
      </c>
      <c r="AA301" s="448">
        <v>11947108.050000001</v>
      </c>
      <c r="AB301" s="403">
        <v>12041345.550000001</v>
      </c>
      <c r="AC301" s="390"/>
      <c r="AD301" s="457">
        <v>1047</v>
      </c>
      <c r="AE301" s="448"/>
      <c r="AF301" s="448"/>
    </row>
    <row r="302" spans="1:32" ht="14.5">
      <c r="A302" s="380" t="s">
        <v>787</v>
      </c>
      <c r="B302" s="380" t="s">
        <v>220</v>
      </c>
      <c r="C302" s="389" t="s">
        <v>1212</v>
      </c>
      <c r="E302" s="381">
        <v>720</v>
      </c>
      <c r="F302" s="381">
        <v>0</v>
      </c>
      <c r="G302" s="381">
        <v>6258938.1299999999</v>
      </c>
      <c r="H302" s="381">
        <v>6258938.1299999999</v>
      </c>
      <c r="I302" s="390"/>
      <c r="J302" s="380">
        <v>737</v>
      </c>
      <c r="K302" s="381">
        <v>0</v>
      </c>
      <c r="L302" s="381">
        <v>7953418.9000000004</v>
      </c>
      <c r="M302" s="381">
        <v>7953418.9000000004</v>
      </c>
      <c r="N302" s="390"/>
      <c r="O302" s="380">
        <v>732</v>
      </c>
      <c r="P302" s="381">
        <v>889559.83</v>
      </c>
      <c r="Q302" s="381">
        <v>7012534.6200000001</v>
      </c>
      <c r="R302" s="381">
        <v>7902094.4500000002</v>
      </c>
      <c r="S302" s="390"/>
      <c r="T302" s="380">
        <v>759</v>
      </c>
      <c r="U302" s="403">
        <v>0</v>
      </c>
      <c r="V302" s="403">
        <v>7626166.4900000002</v>
      </c>
      <c r="W302" s="403">
        <v>7626166.4900000002</v>
      </c>
      <c r="X302" s="390"/>
      <c r="Y302" s="380">
        <v>771</v>
      </c>
      <c r="Z302" s="448">
        <v>0</v>
      </c>
      <c r="AA302" s="448">
        <v>7691266.79</v>
      </c>
      <c r="AB302" s="403">
        <v>7691266.79</v>
      </c>
      <c r="AC302" s="390"/>
      <c r="AD302" s="457">
        <v>776</v>
      </c>
      <c r="AE302" s="448"/>
      <c r="AF302" s="448"/>
    </row>
    <row r="303" spans="1:32" ht="14.5">
      <c r="A303" s="380" t="s">
        <v>789</v>
      </c>
      <c r="B303" s="380" t="s">
        <v>193</v>
      </c>
      <c r="C303" s="389" t="s">
        <v>1213</v>
      </c>
      <c r="E303" s="381">
        <v>544</v>
      </c>
      <c r="F303" s="381">
        <v>407813.51</v>
      </c>
      <c r="G303" s="381">
        <v>4281684.79</v>
      </c>
      <c r="H303" s="381">
        <v>4689498.3</v>
      </c>
      <c r="I303" s="390"/>
      <c r="J303" s="380">
        <v>524</v>
      </c>
      <c r="K303" s="381">
        <v>419740.98</v>
      </c>
      <c r="L303" s="381">
        <v>4320720.92</v>
      </c>
      <c r="M303" s="381">
        <v>4740461.9000000004</v>
      </c>
      <c r="N303" s="390"/>
      <c r="O303" s="380">
        <v>522</v>
      </c>
      <c r="P303" s="381">
        <v>0</v>
      </c>
      <c r="Q303" s="381">
        <v>4777639.29</v>
      </c>
      <c r="R303" s="381">
        <v>4777639.29</v>
      </c>
      <c r="S303" s="390"/>
      <c r="T303" s="380">
        <v>451</v>
      </c>
      <c r="U303" s="403">
        <v>0</v>
      </c>
      <c r="V303" s="403">
        <v>4800566.2</v>
      </c>
      <c r="W303" s="403">
        <v>4800566.2</v>
      </c>
      <c r="X303" s="390"/>
      <c r="Y303" s="380">
        <v>471</v>
      </c>
      <c r="Z303" s="448">
        <v>0</v>
      </c>
      <c r="AA303" s="448">
        <v>5138274.38</v>
      </c>
      <c r="AB303" s="403">
        <v>5138274.38</v>
      </c>
      <c r="AC303" s="390"/>
      <c r="AD303" s="457">
        <v>526</v>
      </c>
      <c r="AE303" s="448"/>
      <c r="AF303" s="448"/>
    </row>
    <row r="304" spans="1:32" ht="14.5">
      <c r="A304" s="380" t="s">
        <v>1168</v>
      </c>
      <c r="C304" s="389" t="s">
        <v>1169</v>
      </c>
      <c r="I304" s="390"/>
      <c r="N304" s="390"/>
      <c r="O304" s="380">
        <v>0</v>
      </c>
      <c r="S304" s="390"/>
      <c r="T304" s="380">
        <v>0</v>
      </c>
      <c r="U304" s="403">
        <v>0</v>
      </c>
      <c r="V304" s="403">
        <v>0</v>
      </c>
      <c r="W304" s="403">
        <v>0</v>
      </c>
      <c r="X304" s="390"/>
      <c r="Y304" s="380">
        <v>3</v>
      </c>
      <c r="Z304" s="448">
        <v>0</v>
      </c>
      <c r="AA304" s="448">
        <v>96810.49</v>
      </c>
      <c r="AB304" s="403">
        <v>96810.49</v>
      </c>
      <c r="AC304" s="390"/>
      <c r="AD304" s="457">
        <v>10</v>
      </c>
      <c r="AE304" s="448"/>
      <c r="AF304" s="448"/>
    </row>
    <row r="305" spans="1:33" ht="14.5">
      <c r="A305" s="380" t="s">
        <v>791</v>
      </c>
      <c r="B305" s="380" t="s">
        <v>188</v>
      </c>
      <c r="C305" s="389" t="s">
        <v>792</v>
      </c>
      <c r="E305" s="381">
        <v>78</v>
      </c>
      <c r="F305" s="381">
        <v>0</v>
      </c>
      <c r="G305" s="381">
        <v>373309.15</v>
      </c>
      <c r="H305" s="381">
        <v>373309.15</v>
      </c>
      <c r="I305" s="390"/>
      <c r="J305" s="380">
        <v>74</v>
      </c>
      <c r="K305" s="381">
        <v>0</v>
      </c>
      <c r="L305" s="381">
        <v>461179.19</v>
      </c>
      <c r="M305" s="381">
        <v>461179.19</v>
      </c>
      <c r="N305" s="390"/>
      <c r="O305" s="380">
        <v>64</v>
      </c>
      <c r="P305" s="381">
        <v>4369.38</v>
      </c>
      <c r="Q305" s="381">
        <v>534343.06000000006</v>
      </c>
      <c r="R305" s="381">
        <v>538712.44000000006</v>
      </c>
      <c r="S305" s="390"/>
      <c r="T305" s="380">
        <v>57</v>
      </c>
      <c r="U305" s="403">
        <v>4185.79</v>
      </c>
      <c r="V305" s="403">
        <v>534754.49</v>
      </c>
      <c r="W305" s="403">
        <v>538940.28</v>
      </c>
      <c r="X305" s="390"/>
      <c r="Y305" s="380">
        <v>63</v>
      </c>
      <c r="Z305" s="448">
        <v>5546.32</v>
      </c>
      <c r="AA305" s="448">
        <v>646315.86</v>
      </c>
      <c r="AB305" s="403">
        <v>651862.17999999993</v>
      </c>
      <c r="AC305" s="390"/>
      <c r="AD305" s="457">
        <v>72</v>
      </c>
      <c r="AE305" s="448"/>
      <c r="AF305" s="448"/>
    </row>
    <row r="306" spans="1:33" ht="14.5">
      <c r="A306" s="380" t="s">
        <v>793</v>
      </c>
      <c r="B306" s="380" t="s">
        <v>204</v>
      </c>
      <c r="C306" s="389" t="s">
        <v>794</v>
      </c>
      <c r="E306" s="381">
        <v>509</v>
      </c>
      <c r="F306" s="381">
        <v>61458.12</v>
      </c>
      <c r="G306" s="381">
        <v>5583808.0499999998</v>
      </c>
      <c r="H306" s="381">
        <v>5645266.1699999999</v>
      </c>
      <c r="I306" s="390"/>
      <c r="J306" s="380">
        <v>536</v>
      </c>
      <c r="K306" s="381">
        <v>62944.17</v>
      </c>
      <c r="L306" s="381">
        <v>6284651.7300000004</v>
      </c>
      <c r="M306" s="381">
        <v>6347595.9000000004</v>
      </c>
      <c r="N306" s="390"/>
      <c r="O306" s="380">
        <v>575</v>
      </c>
      <c r="P306" s="381">
        <v>81435.41</v>
      </c>
      <c r="Q306" s="381">
        <v>6758950.5599999996</v>
      </c>
      <c r="R306" s="381">
        <v>6840385.9699999997</v>
      </c>
      <c r="S306" s="390"/>
      <c r="T306" s="380">
        <v>553</v>
      </c>
      <c r="U306" s="403">
        <v>1041076.67</v>
      </c>
      <c r="V306" s="403">
        <v>6196495.3399999999</v>
      </c>
      <c r="W306" s="403">
        <v>7237572.0099999998</v>
      </c>
      <c r="X306" s="390"/>
      <c r="Y306" s="380">
        <v>602</v>
      </c>
      <c r="Z306" s="448">
        <v>1017509.53</v>
      </c>
      <c r="AA306" s="448">
        <v>6767012.71</v>
      </c>
      <c r="AB306" s="403">
        <v>7784522.2400000002</v>
      </c>
      <c r="AC306" s="390"/>
      <c r="AD306" s="457">
        <v>618</v>
      </c>
      <c r="AE306" s="448"/>
      <c r="AF306" s="448"/>
    </row>
    <row r="307" spans="1:33" ht="14.5">
      <c r="A307" s="380" t="s">
        <v>795</v>
      </c>
      <c r="B307" s="380" t="s">
        <v>209</v>
      </c>
      <c r="C307" s="389" t="s">
        <v>796</v>
      </c>
      <c r="D307" s="380" t="s">
        <v>818</v>
      </c>
      <c r="E307" s="381">
        <v>196</v>
      </c>
      <c r="F307" s="381">
        <v>0</v>
      </c>
      <c r="G307" s="381">
        <v>1618411.6</v>
      </c>
      <c r="H307" s="381">
        <v>1618411.6</v>
      </c>
      <c r="I307" s="390"/>
      <c r="J307" s="380">
        <v>212</v>
      </c>
      <c r="K307" s="381">
        <v>0</v>
      </c>
      <c r="L307" s="381">
        <v>1904819.57</v>
      </c>
      <c r="M307" s="381">
        <v>1904819.57</v>
      </c>
      <c r="N307" s="390"/>
      <c r="O307" s="380">
        <v>196</v>
      </c>
      <c r="P307" s="381">
        <v>0</v>
      </c>
      <c r="Q307" s="381">
        <v>1832874.95</v>
      </c>
      <c r="R307" s="381">
        <v>1832874.95</v>
      </c>
      <c r="S307" s="390"/>
      <c r="T307" s="380">
        <v>0</v>
      </c>
      <c r="U307" s="403">
        <v>0</v>
      </c>
      <c r="V307" s="403">
        <v>1606299.87</v>
      </c>
      <c r="W307" s="403">
        <v>1606299.87</v>
      </c>
      <c r="X307" s="390"/>
      <c r="Y307" s="380">
        <v>147</v>
      </c>
      <c r="Z307" s="448">
        <v>0</v>
      </c>
      <c r="AA307" s="448">
        <v>1402419.12</v>
      </c>
      <c r="AB307" s="403">
        <v>1402419.12</v>
      </c>
      <c r="AC307" s="390"/>
      <c r="AD307" s="457">
        <v>147</v>
      </c>
      <c r="AE307" s="448"/>
      <c r="AF307" s="448"/>
    </row>
    <row r="308" spans="1:33" ht="14.5">
      <c r="A308" s="380" t="s">
        <v>246</v>
      </c>
      <c r="C308" s="389" t="s">
        <v>1184</v>
      </c>
      <c r="I308" s="390"/>
      <c r="N308" s="390"/>
      <c r="O308" s="380">
        <v>0</v>
      </c>
      <c r="S308" s="390"/>
      <c r="T308" s="380">
        <v>0</v>
      </c>
      <c r="U308" s="403">
        <v>0</v>
      </c>
      <c r="V308" s="403">
        <v>0</v>
      </c>
      <c r="W308" s="403">
        <v>0</v>
      </c>
      <c r="X308" s="390"/>
      <c r="Y308" s="380">
        <v>19</v>
      </c>
      <c r="Z308" s="448">
        <v>0</v>
      </c>
      <c r="AA308" s="448">
        <v>167203.29</v>
      </c>
      <c r="AB308" s="403">
        <v>167203.29</v>
      </c>
      <c r="AC308" s="390"/>
      <c r="AD308" s="457">
        <v>25</v>
      </c>
      <c r="AE308" s="448"/>
      <c r="AF308" s="448"/>
    </row>
    <row r="309" spans="1:33" ht="14.5">
      <c r="A309" s="380" t="s">
        <v>797</v>
      </c>
      <c r="B309" s="380" t="s">
        <v>193</v>
      </c>
      <c r="C309" s="389" t="s">
        <v>798</v>
      </c>
      <c r="E309" s="381">
        <v>42</v>
      </c>
      <c r="F309" s="381">
        <v>0</v>
      </c>
      <c r="G309" s="381">
        <v>344358.99</v>
      </c>
      <c r="H309" s="381">
        <v>344358.99</v>
      </c>
      <c r="I309" s="390"/>
      <c r="J309" s="380">
        <v>34</v>
      </c>
      <c r="K309" s="381">
        <v>26800</v>
      </c>
      <c r="L309" s="381">
        <v>296694.2</v>
      </c>
      <c r="M309" s="381">
        <v>323494.2</v>
      </c>
      <c r="N309" s="390"/>
      <c r="O309" s="380">
        <v>40</v>
      </c>
      <c r="P309" s="381">
        <v>14631.29</v>
      </c>
      <c r="Q309" s="381">
        <v>343320.72</v>
      </c>
      <c r="R309" s="381">
        <v>357952.00999999995</v>
      </c>
      <c r="S309" s="390"/>
      <c r="T309" s="380">
        <v>41</v>
      </c>
      <c r="U309" s="403">
        <v>62927.68</v>
      </c>
      <c r="V309" s="403">
        <v>322550.84999999998</v>
      </c>
      <c r="W309" s="403">
        <v>385478.52999999997</v>
      </c>
      <c r="X309" s="390"/>
      <c r="Y309" s="380">
        <v>39</v>
      </c>
      <c r="Z309" s="448">
        <v>71525.399999999994</v>
      </c>
      <c r="AA309" s="448">
        <v>339171.98</v>
      </c>
      <c r="AB309" s="403">
        <v>410697.38</v>
      </c>
      <c r="AC309" s="390"/>
      <c r="AD309" s="457">
        <v>40</v>
      </c>
      <c r="AE309" s="448"/>
      <c r="AF309" s="448"/>
    </row>
    <row r="310" spans="1:33" ht="14.5">
      <c r="A310" s="380" t="s">
        <v>799</v>
      </c>
      <c r="B310" s="380" t="s">
        <v>188</v>
      </c>
      <c r="C310" s="389" t="s">
        <v>800</v>
      </c>
      <c r="E310" s="381">
        <v>46</v>
      </c>
      <c r="F310" s="381">
        <v>59010.43</v>
      </c>
      <c r="G310" s="381">
        <v>347430.85</v>
      </c>
      <c r="H310" s="381">
        <v>406441.27999999997</v>
      </c>
      <c r="I310" s="390"/>
      <c r="J310" s="380">
        <v>48</v>
      </c>
      <c r="K310" s="381">
        <v>57819.4</v>
      </c>
      <c r="L310" s="381">
        <v>483958.16</v>
      </c>
      <c r="M310" s="381">
        <v>541777.55999999994</v>
      </c>
      <c r="N310" s="390"/>
      <c r="O310" s="380">
        <v>55</v>
      </c>
      <c r="P310" s="381">
        <v>138250.09</v>
      </c>
      <c r="Q310" s="381">
        <v>528511.44999999995</v>
      </c>
      <c r="R310" s="381">
        <v>666761.53999999992</v>
      </c>
      <c r="S310" s="390"/>
      <c r="T310" s="380">
        <v>44</v>
      </c>
      <c r="U310" s="403">
        <v>0</v>
      </c>
      <c r="V310" s="403">
        <v>756151.07</v>
      </c>
      <c r="W310" s="403">
        <v>756151.07</v>
      </c>
      <c r="X310" s="390"/>
      <c r="Y310" s="380">
        <v>42</v>
      </c>
      <c r="Z310" s="448">
        <v>138251.09</v>
      </c>
      <c r="AA310" s="448">
        <v>497941.78</v>
      </c>
      <c r="AB310" s="403">
        <v>636192.87</v>
      </c>
      <c r="AC310" s="390"/>
      <c r="AD310" s="457">
        <v>45</v>
      </c>
      <c r="AE310" s="448"/>
      <c r="AF310" s="448"/>
    </row>
    <row r="311" spans="1:33" ht="14.5">
      <c r="A311" s="380" t="s">
        <v>801</v>
      </c>
      <c r="B311" s="380" t="s">
        <v>230</v>
      </c>
      <c r="C311" s="389" t="s">
        <v>802</v>
      </c>
      <c r="E311" s="381">
        <v>8</v>
      </c>
      <c r="F311" s="381">
        <v>86515.4</v>
      </c>
      <c r="G311" s="381">
        <v>62040.31</v>
      </c>
      <c r="H311" s="381">
        <v>148555.71</v>
      </c>
      <c r="I311" s="390"/>
      <c r="J311" s="380">
        <v>15</v>
      </c>
      <c r="K311" s="381">
        <v>48917.17</v>
      </c>
      <c r="L311" s="381">
        <v>131663.35</v>
      </c>
      <c r="M311" s="381">
        <v>180580.52000000002</v>
      </c>
      <c r="N311" s="390"/>
      <c r="O311" s="380">
        <v>15</v>
      </c>
      <c r="P311" s="381">
        <v>0</v>
      </c>
      <c r="Q311" s="381">
        <v>143905.16</v>
      </c>
      <c r="R311" s="381">
        <v>143905.16</v>
      </c>
      <c r="S311" s="390"/>
      <c r="T311" s="380">
        <v>17</v>
      </c>
      <c r="U311" s="403">
        <v>51120.51</v>
      </c>
      <c r="V311" s="403">
        <v>172042.33</v>
      </c>
      <c r="W311" s="403">
        <v>223162.84</v>
      </c>
      <c r="X311" s="390"/>
      <c r="Y311" s="380">
        <v>15</v>
      </c>
      <c r="Z311" s="448">
        <v>39504.22</v>
      </c>
      <c r="AA311" s="448">
        <v>155425.10999999999</v>
      </c>
      <c r="AB311" s="403">
        <v>194929.33</v>
      </c>
      <c r="AC311" s="390"/>
      <c r="AD311" s="457">
        <v>18</v>
      </c>
      <c r="AE311" s="448"/>
      <c r="AF311" s="448"/>
    </row>
    <row r="312" spans="1:33" ht="14.5">
      <c r="A312" s="380" t="s">
        <v>803</v>
      </c>
      <c r="B312" s="380" t="s">
        <v>188</v>
      </c>
      <c r="C312" s="389" t="s">
        <v>804</v>
      </c>
      <c r="E312" s="381">
        <v>145</v>
      </c>
      <c r="F312" s="381">
        <v>0</v>
      </c>
      <c r="G312" s="381">
        <v>1027437.67</v>
      </c>
      <c r="H312" s="381">
        <v>1027437.67</v>
      </c>
      <c r="I312" s="390"/>
      <c r="J312" s="380">
        <v>148</v>
      </c>
      <c r="K312" s="381">
        <v>0</v>
      </c>
      <c r="L312" s="381">
        <v>1140078.18</v>
      </c>
      <c r="M312" s="381">
        <v>1140078.18</v>
      </c>
      <c r="N312" s="390"/>
      <c r="O312" s="380">
        <v>141</v>
      </c>
      <c r="P312" s="381">
        <v>0</v>
      </c>
      <c r="Q312" s="381">
        <v>1515043.31</v>
      </c>
      <c r="R312" s="381">
        <v>1515043.31</v>
      </c>
      <c r="S312" s="390"/>
      <c r="T312" s="380">
        <v>126</v>
      </c>
      <c r="U312" s="403">
        <v>0</v>
      </c>
      <c r="V312" s="403">
        <v>1659079.2</v>
      </c>
      <c r="W312" s="403">
        <v>1659079.2</v>
      </c>
      <c r="X312" s="390"/>
      <c r="Y312" s="380">
        <v>110</v>
      </c>
      <c r="Z312" s="448">
        <v>0</v>
      </c>
      <c r="AA312" s="448">
        <v>1575457.8</v>
      </c>
      <c r="AB312" s="403">
        <v>1575457.8</v>
      </c>
      <c r="AC312" s="390"/>
      <c r="AD312" s="457">
        <v>116</v>
      </c>
      <c r="AE312" s="448"/>
      <c r="AF312" s="448"/>
    </row>
    <row r="313" spans="1:33" ht="14.5">
      <c r="A313" s="380" t="s">
        <v>805</v>
      </c>
      <c r="B313" s="380" t="s">
        <v>188</v>
      </c>
      <c r="C313" s="389" t="s">
        <v>806</v>
      </c>
      <c r="E313" s="381">
        <v>18</v>
      </c>
      <c r="F313" s="381">
        <v>0</v>
      </c>
      <c r="G313" s="381">
        <v>129541.37</v>
      </c>
      <c r="H313" s="381">
        <v>129541.37</v>
      </c>
      <c r="I313" s="390"/>
      <c r="J313" s="380">
        <v>12</v>
      </c>
      <c r="K313" s="381">
        <v>0</v>
      </c>
      <c r="L313" s="381">
        <v>122338.64</v>
      </c>
      <c r="M313" s="381">
        <v>122338.64</v>
      </c>
      <c r="N313" s="390"/>
      <c r="O313" s="380">
        <v>27</v>
      </c>
      <c r="P313" s="381">
        <v>0</v>
      </c>
      <c r="Q313" s="381">
        <v>204245.45</v>
      </c>
      <c r="R313" s="381">
        <v>204245.45</v>
      </c>
      <c r="S313" s="390"/>
      <c r="T313" s="380">
        <v>25</v>
      </c>
      <c r="U313" s="403">
        <v>0</v>
      </c>
      <c r="V313" s="403">
        <v>204031.16</v>
      </c>
      <c r="W313" s="403">
        <v>204031.16</v>
      </c>
      <c r="X313" s="390"/>
      <c r="Y313" s="380">
        <v>18</v>
      </c>
      <c r="Z313" s="448">
        <v>0</v>
      </c>
      <c r="AA313" s="448">
        <v>230823.85</v>
      </c>
      <c r="AB313" s="403">
        <v>230823.85</v>
      </c>
      <c r="AC313" s="390"/>
      <c r="AD313" s="457">
        <v>23</v>
      </c>
      <c r="AE313" s="448"/>
      <c r="AF313" s="448"/>
    </row>
    <row r="314" spans="1:33" ht="14.5">
      <c r="A314" s="380" t="s">
        <v>807</v>
      </c>
      <c r="B314" s="380" t="s">
        <v>209</v>
      </c>
      <c r="C314" s="389" t="s">
        <v>808</v>
      </c>
      <c r="D314" s="380" t="s">
        <v>818</v>
      </c>
      <c r="E314" s="381">
        <v>9</v>
      </c>
      <c r="F314" s="381">
        <v>0</v>
      </c>
      <c r="G314" s="381">
        <v>74590.100000000006</v>
      </c>
      <c r="H314" s="381">
        <v>74590.100000000006</v>
      </c>
      <c r="I314" s="390"/>
      <c r="J314" s="380">
        <v>11</v>
      </c>
      <c r="K314" s="381">
        <v>0</v>
      </c>
      <c r="L314" s="381">
        <v>96369.81</v>
      </c>
      <c r="M314" s="381">
        <v>96369.81</v>
      </c>
      <c r="N314" s="390"/>
      <c r="O314" s="380">
        <v>10</v>
      </c>
      <c r="P314" s="381">
        <v>0</v>
      </c>
      <c r="Q314" s="381">
        <v>85680.07</v>
      </c>
      <c r="R314" s="381">
        <v>85680.07</v>
      </c>
      <c r="S314" s="390"/>
      <c r="T314" s="380">
        <v>0</v>
      </c>
      <c r="U314" s="403">
        <v>0</v>
      </c>
      <c r="V314" s="403">
        <v>78424.41</v>
      </c>
      <c r="W314" s="403">
        <v>78424.41</v>
      </c>
      <c r="X314" s="390"/>
      <c r="Y314" s="380">
        <v>7</v>
      </c>
      <c r="Z314" s="448">
        <v>0</v>
      </c>
      <c r="AA314" s="448">
        <v>53332.76</v>
      </c>
      <c r="AB314" s="403">
        <v>53332.76</v>
      </c>
      <c r="AC314" s="390"/>
      <c r="AD314" s="457">
        <v>5</v>
      </c>
      <c r="AE314" s="448"/>
      <c r="AF314" s="448"/>
    </row>
    <row r="315" spans="1:33" ht="14.5">
      <c r="A315" s="380" t="s">
        <v>809</v>
      </c>
      <c r="B315" s="380" t="s">
        <v>209</v>
      </c>
      <c r="C315" s="389" t="s">
        <v>810</v>
      </c>
      <c r="E315" s="381">
        <v>297</v>
      </c>
      <c r="F315" s="381">
        <v>517456.42</v>
      </c>
      <c r="G315" s="381">
        <v>3037763.51</v>
      </c>
      <c r="H315" s="381">
        <v>3555219.9299999997</v>
      </c>
      <c r="I315" s="390"/>
      <c r="J315" s="380">
        <v>322</v>
      </c>
      <c r="K315" s="381">
        <v>384770.06</v>
      </c>
      <c r="L315" s="381">
        <v>3627941.58</v>
      </c>
      <c r="M315" s="381">
        <v>4012711.64</v>
      </c>
      <c r="N315" s="390"/>
      <c r="O315" s="380">
        <v>322</v>
      </c>
      <c r="P315" s="381">
        <v>330987.96000000002</v>
      </c>
      <c r="Q315" s="381">
        <v>4056485</v>
      </c>
      <c r="R315" s="381">
        <v>4387472.96</v>
      </c>
      <c r="S315" s="390"/>
      <c r="T315" s="380">
        <v>315</v>
      </c>
      <c r="U315" s="403">
        <v>371213.6</v>
      </c>
      <c r="V315" s="403">
        <v>4368486</v>
      </c>
      <c r="W315" s="403">
        <v>4739699.5999999996</v>
      </c>
      <c r="X315" s="390"/>
      <c r="Y315" s="380">
        <v>337</v>
      </c>
      <c r="Z315" s="448">
        <v>373565.69</v>
      </c>
      <c r="AA315" s="448">
        <v>3599658.08</v>
      </c>
      <c r="AB315" s="403">
        <v>3973223.77</v>
      </c>
      <c r="AC315" s="390"/>
      <c r="AD315" s="457">
        <v>348</v>
      </c>
      <c r="AE315" s="448"/>
      <c r="AF315" s="448"/>
    </row>
    <row r="316" spans="1:33" ht="14.5">
      <c r="A316" s="380" t="s">
        <v>811</v>
      </c>
      <c r="B316" s="380" t="s">
        <v>220</v>
      </c>
      <c r="C316" s="389" t="s">
        <v>812</v>
      </c>
      <c r="E316" s="381">
        <v>2141</v>
      </c>
      <c r="F316" s="381">
        <v>1048009</v>
      </c>
      <c r="G316" s="381">
        <v>23328850.719999999</v>
      </c>
      <c r="H316" s="381">
        <v>24376859.719999999</v>
      </c>
      <c r="I316" s="390"/>
      <c r="J316" s="380">
        <v>2033</v>
      </c>
      <c r="K316" s="381">
        <v>5299720.8499999996</v>
      </c>
      <c r="L316" s="381">
        <v>22149581.870000001</v>
      </c>
      <c r="M316" s="381">
        <v>27449302.719999999</v>
      </c>
      <c r="N316" s="390"/>
      <c r="O316" s="380">
        <v>2241</v>
      </c>
      <c r="P316" s="381">
        <v>6102056.54</v>
      </c>
      <c r="Q316" s="381">
        <v>22926981.940000001</v>
      </c>
      <c r="R316" s="381">
        <v>29029038.48</v>
      </c>
      <c r="S316" s="390"/>
      <c r="T316" s="380">
        <v>2159</v>
      </c>
      <c r="U316" s="403">
        <v>7061921.29</v>
      </c>
      <c r="V316" s="403">
        <v>22550013</v>
      </c>
      <c r="W316" s="403">
        <v>29611934.289999999</v>
      </c>
      <c r="X316" s="390"/>
      <c r="Y316" s="380">
        <v>2219</v>
      </c>
      <c r="Z316" s="448">
        <v>5221918.3</v>
      </c>
      <c r="AA316" s="448">
        <v>27070471.640000001</v>
      </c>
      <c r="AB316" s="403">
        <v>32292389.940000001</v>
      </c>
      <c r="AC316" s="390"/>
      <c r="AD316" s="457">
        <v>2229</v>
      </c>
      <c r="AE316" s="448"/>
      <c r="AF316" s="448"/>
    </row>
    <row r="317" spans="1:33" ht="14.5">
      <c r="A317" s="380" t="s">
        <v>813</v>
      </c>
      <c r="B317" s="380" t="s">
        <v>188</v>
      </c>
      <c r="C317" s="389" t="s">
        <v>814</v>
      </c>
      <c r="E317" s="381">
        <v>754</v>
      </c>
      <c r="F317" s="381">
        <v>539795.36</v>
      </c>
      <c r="G317" s="381">
        <v>7188679.3399999999</v>
      </c>
      <c r="H317" s="381">
        <v>7728474.7000000002</v>
      </c>
      <c r="I317" s="390"/>
      <c r="J317" s="380">
        <v>794</v>
      </c>
      <c r="K317" s="381">
        <v>1074760</v>
      </c>
      <c r="L317" s="381">
        <v>8030414.8099999996</v>
      </c>
      <c r="M317" s="381">
        <v>9105174.8099999987</v>
      </c>
      <c r="N317" s="390"/>
      <c r="O317" s="380">
        <v>840</v>
      </c>
      <c r="P317" s="381">
        <v>1412356.11</v>
      </c>
      <c r="Q317" s="381">
        <v>9150030.0099999998</v>
      </c>
      <c r="R317" s="381">
        <v>10562386.119999999</v>
      </c>
      <c r="S317" s="390"/>
      <c r="T317" s="380">
        <v>816</v>
      </c>
      <c r="U317" s="403">
        <v>2326820.2799999998</v>
      </c>
      <c r="V317" s="403">
        <v>9392760.0399999991</v>
      </c>
      <c r="W317" s="403">
        <v>11719580.319999998</v>
      </c>
      <c r="X317" s="390"/>
      <c r="Y317" s="380">
        <v>788</v>
      </c>
      <c r="Z317" s="448">
        <v>2318718.5099999998</v>
      </c>
      <c r="AA317" s="448">
        <v>9615772.0399999991</v>
      </c>
      <c r="AB317" s="403">
        <v>11934490.549999999</v>
      </c>
      <c r="AC317" s="390"/>
      <c r="AD317" s="457">
        <v>833</v>
      </c>
      <c r="AE317" s="448"/>
      <c r="AF317" s="448"/>
    </row>
    <row r="318" spans="1:33" ht="15" thickBot="1">
      <c r="A318" s="412" t="s">
        <v>815</v>
      </c>
      <c r="B318" s="412" t="s">
        <v>220</v>
      </c>
      <c r="C318" s="413" t="s">
        <v>816</v>
      </c>
      <c r="D318" s="412"/>
      <c r="E318" s="414">
        <v>112</v>
      </c>
      <c r="F318" s="414">
        <v>0</v>
      </c>
      <c r="G318" s="414">
        <v>1100183.71</v>
      </c>
      <c r="H318" s="414">
        <v>1100183.71</v>
      </c>
      <c r="I318" s="415"/>
      <c r="J318" s="412">
        <v>147</v>
      </c>
      <c r="K318" s="414">
        <v>0</v>
      </c>
      <c r="L318" s="414">
        <v>1367216.16</v>
      </c>
      <c r="M318" s="414">
        <v>1367216.16</v>
      </c>
      <c r="N318" s="415"/>
      <c r="O318" s="412">
        <v>149</v>
      </c>
      <c r="P318" s="414">
        <v>0</v>
      </c>
      <c r="Q318" s="414">
        <v>1423862.59</v>
      </c>
      <c r="R318" s="414">
        <v>1423862.59</v>
      </c>
      <c r="S318" s="415"/>
      <c r="T318" s="412">
        <v>147</v>
      </c>
      <c r="U318" s="416">
        <v>0</v>
      </c>
      <c r="V318" s="416">
        <v>1429921.39</v>
      </c>
      <c r="W318" s="416">
        <v>1429921.39</v>
      </c>
      <c r="X318" s="415"/>
      <c r="Y318" s="412">
        <v>134</v>
      </c>
      <c r="Z318" s="449">
        <v>0</v>
      </c>
      <c r="AA318" s="449">
        <v>1335765.49</v>
      </c>
      <c r="AB318" s="416">
        <v>1335765.49</v>
      </c>
      <c r="AC318" s="415"/>
      <c r="AD318" s="460">
        <v>157</v>
      </c>
      <c r="AE318" s="449"/>
      <c r="AF318" s="449"/>
      <c r="AG318" s="416"/>
    </row>
    <row r="319" spans="1:33" ht="12.5" thickTop="1">
      <c r="A319" s="394"/>
      <c r="B319" s="394"/>
      <c r="C319" s="395" t="s">
        <v>1264</v>
      </c>
      <c r="D319" s="394"/>
      <c r="E319" s="396">
        <f t="shared" ref="E319:S319" si="0">SUM(E4:E318)</f>
        <v>144881</v>
      </c>
      <c r="F319" s="396">
        <f t="shared" si="0"/>
        <v>234707120.56000003</v>
      </c>
      <c r="G319" s="396">
        <f t="shared" si="0"/>
        <v>1382627160.9599996</v>
      </c>
      <c r="H319" s="396">
        <f t="shared" si="0"/>
        <v>1617334281.5200007</v>
      </c>
      <c r="I319" s="396">
        <f t="shared" si="0"/>
        <v>0</v>
      </c>
      <c r="J319" s="396">
        <f t="shared" si="0"/>
        <v>148966</v>
      </c>
      <c r="K319" s="396">
        <f t="shared" si="0"/>
        <v>224903514.61999995</v>
      </c>
      <c r="L319" s="396">
        <f t="shared" si="0"/>
        <v>1676530795.5100019</v>
      </c>
      <c r="M319" s="396">
        <f t="shared" si="0"/>
        <v>1901434310.1300015</v>
      </c>
      <c r="N319" s="396">
        <f t="shared" si="0"/>
        <v>0</v>
      </c>
      <c r="O319" s="396">
        <f t="shared" si="0"/>
        <v>152463</v>
      </c>
      <c r="P319" s="396">
        <f t="shared" si="0"/>
        <v>241959784.20000008</v>
      </c>
      <c r="Q319" s="396">
        <f t="shared" si="0"/>
        <v>1831429715.6699984</v>
      </c>
      <c r="R319" s="396">
        <f t="shared" si="0"/>
        <v>2073389499.8699973</v>
      </c>
      <c r="S319" s="396">
        <f t="shared" si="0"/>
        <v>0</v>
      </c>
      <c r="T319" s="396">
        <f>SUBTOTAL(9,T4:T318)</f>
        <v>145384</v>
      </c>
      <c r="U319" s="396">
        <f>SUBTOTAL(9,U4:U318)</f>
        <v>310229317.34000015</v>
      </c>
      <c r="V319" s="396">
        <f>SUBTOTAL(9,V4:V318)</f>
        <v>1827170219.1600003</v>
      </c>
      <c r="W319" s="396">
        <f>SUBTOTAL(9,W4:W318)</f>
        <v>2137399536.5000002</v>
      </c>
      <c r="X319" s="396">
        <f>SUM(X4:X318)</f>
        <v>0</v>
      </c>
      <c r="Y319" s="396">
        <f>SUBTOTAL(9,Y4:Y318)</f>
        <v>146644</v>
      </c>
      <c r="Z319" s="396">
        <f>SUBTOTAL(9,Z4:Z318)</f>
        <v>342204011.53999996</v>
      </c>
      <c r="AA319" s="396">
        <f>SUBTOTAL(9,AA4:AA318)</f>
        <v>1870488870.2799983</v>
      </c>
      <c r="AB319" s="396">
        <f>SUBTOTAL(9,AB4:AB318)</f>
        <v>2212692881.8199987</v>
      </c>
      <c r="AC319" s="396"/>
      <c r="AD319" s="396">
        <f>SUBTOTAL(9,AD4:AD318)</f>
        <v>153634</v>
      </c>
      <c r="AE319" s="396">
        <f>SUBTOTAL(9,AE4:AE318)</f>
        <v>0</v>
      </c>
      <c r="AF319" s="396">
        <f>SUBTOTAL(9,AF4:AF318)</f>
        <v>0</v>
      </c>
      <c r="AG319" s="396">
        <f>SUBTOTAL(9,AG4:AG318)</f>
        <v>0</v>
      </c>
    </row>
    <row r="320" spans="1:33" s="396" customFormat="1">
      <c r="A320" s="380"/>
      <c r="B320" s="380"/>
      <c r="C320" s="380"/>
      <c r="D320" s="380"/>
      <c r="E320" s="381"/>
      <c r="F320" s="381"/>
      <c r="G320" s="381"/>
      <c r="H320" s="381"/>
      <c r="I320" s="380"/>
      <c r="J320" s="380"/>
      <c r="K320" s="381"/>
      <c r="L320" s="381"/>
      <c r="M320" s="381"/>
      <c r="N320" s="380"/>
      <c r="O320" s="380"/>
      <c r="P320" s="381"/>
      <c r="Q320" s="381"/>
      <c r="R320" s="381"/>
      <c r="S320" s="380"/>
      <c r="T320" s="380"/>
      <c r="U320" s="403"/>
      <c r="V320" s="403"/>
      <c r="W320" s="403"/>
      <c r="X320" s="380"/>
      <c r="Y320" s="380"/>
      <c r="Z320" s="417"/>
      <c r="AA320" s="417"/>
      <c r="AB320" s="417"/>
      <c r="AC320" s="380"/>
      <c r="AD320" s="380"/>
      <c r="AE320" s="417"/>
      <c r="AF320" s="417"/>
      <c r="AG320" s="417"/>
    </row>
  </sheetData>
  <autoFilter ref="A3:AG318" xr:uid="{00000000-0001-0000-2B00-000000000000}"/>
  <pageMargins left="0.7" right="0.7" top="0.75" bottom="0.75" header="0.3" footer="0.3"/>
  <pageSetup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69DC-1B6F-4317-A13F-8D337FA3C762}">
  <dimension ref="A1:XFD1394"/>
  <sheetViews>
    <sheetView topLeftCell="AI1" zoomScale="90" zoomScaleNormal="90" workbookViewId="0">
      <selection activeCell="AT24" sqref="AT24"/>
    </sheetView>
  </sheetViews>
  <sheetFormatPr defaultRowHeight="14.5"/>
  <cols>
    <col min="1" max="1" width="7.1796875" bestFit="1" customWidth="1"/>
    <col min="2" max="2" width="44.54296875" bestFit="1" customWidth="1"/>
    <col min="3" max="3" width="3.1796875" customWidth="1"/>
    <col min="4" max="4" width="18.54296875" style="363" hidden="1" customWidth="1"/>
    <col min="5" max="5" width="17.453125" hidden="1" customWidth="1"/>
    <col min="6" max="6" width="3.1796875" hidden="1" customWidth="1"/>
    <col min="7" max="7" width="22.1796875" style="363" hidden="1" customWidth="1"/>
    <col min="8" max="8" width="16.1796875" hidden="1" customWidth="1"/>
    <col min="9" max="9" width="3.1796875" hidden="1" customWidth="1"/>
    <col min="10" max="10" width="16.1796875" style="363" hidden="1" customWidth="1"/>
    <col min="11" max="11" width="19.453125" hidden="1" customWidth="1"/>
    <col min="12" max="12" width="6" hidden="1" customWidth="1"/>
    <col min="13" max="13" width="18.54296875" style="363" hidden="1" customWidth="1"/>
    <col min="14" max="14" width="15" hidden="1" customWidth="1"/>
    <col min="15" max="15" width="5.26953125" hidden="1" customWidth="1"/>
    <col min="16" max="16" width="24.81640625" hidden="1" customWidth="1"/>
    <col min="17" max="17" width="5.26953125" hidden="1" customWidth="1"/>
    <col min="18" max="18" width="18.54296875" style="399" hidden="1" customWidth="1"/>
    <col min="19" max="19" width="17" style="400" hidden="1" customWidth="1"/>
    <col min="20" max="20" width="6.26953125" style="360" hidden="1" customWidth="1"/>
    <col min="21" max="21" width="16.7265625" style="399" hidden="1" customWidth="1"/>
    <col min="22" max="22" width="19.1796875" style="400" hidden="1" customWidth="1"/>
    <col min="23" max="23" width="6.1796875" style="360" hidden="1" customWidth="1"/>
    <col min="24" max="24" width="13.1796875" style="399" hidden="1" customWidth="1"/>
    <col min="25" max="25" width="15.26953125" style="400" hidden="1" customWidth="1"/>
    <col min="26" max="26" width="3.1796875" style="360" hidden="1" customWidth="1"/>
    <col min="27" max="27" width="23.7265625" style="399" hidden="1" customWidth="1"/>
    <col min="28" max="28" width="18.81640625" style="400" hidden="1" customWidth="1"/>
    <col min="29" max="29" width="5.26953125" style="360" hidden="1" customWidth="1"/>
    <col min="30" max="30" width="22.81640625" hidden="1" customWidth="1"/>
    <col min="31" max="31" width="4.7265625" style="360" hidden="1" customWidth="1"/>
    <col min="32" max="32" width="18.54296875" style="399" customWidth="1"/>
    <col min="33" max="33" width="17" style="400" customWidth="1"/>
    <col min="34" max="34" width="6.453125" style="360" customWidth="1"/>
    <col min="35" max="35" width="16.7265625" style="399" customWidth="1"/>
    <col min="36" max="36" width="19.1796875" style="400" customWidth="1"/>
    <col min="37" max="37" width="5.453125" style="360" customWidth="1"/>
    <col min="38" max="38" width="13.1796875" style="399" customWidth="1"/>
    <col min="39" max="39" width="15.26953125" style="400" customWidth="1"/>
    <col min="40" max="40" width="4.81640625" style="360" customWidth="1"/>
    <col min="41" max="41" width="23.7265625" style="399" customWidth="1"/>
    <col min="42" max="42" width="18.81640625" style="400" customWidth="1"/>
    <col min="43" max="43" width="5.26953125" style="360" customWidth="1"/>
    <col min="44" max="44" width="22.81640625" style="456" customWidth="1"/>
    <col min="45" max="45" width="4.453125" style="360" customWidth="1"/>
    <col min="46" max="46" width="18.54296875" style="399" bestFit="1" customWidth="1"/>
    <col min="47" max="47" width="17" style="400" customWidth="1"/>
    <col min="48" max="48" width="6.453125" style="360" customWidth="1"/>
    <col min="49" max="49" width="16.7265625" style="399" customWidth="1"/>
    <col min="50" max="50" width="19.1796875" style="400" customWidth="1"/>
    <col min="51" max="51" width="5.453125" style="360" customWidth="1"/>
    <col min="52" max="52" width="13.1796875" style="399" customWidth="1"/>
    <col min="53" max="53" width="15.26953125" style="400" customWidth="1"/>
    <col min="54" max="54" width="5" style="360" customWidth="1"/>
    <col min="55" max="55" width="23.7265625" style="399" customWidth="1"/>
    <col min="56" max="56" width="18.81640625" style="400" customWidth="1"/>
    <col min="57" max="57" width="5.26953125" style="360" customWidth="1"/>
    <col min="58" max="58" width="22.81640625" style="456" customWidth="1"/>
  </cols>
  <sheetData>
    <row r="1" spans="1:58">
      <c r="A1" s="489" t="s">
        <v>1133</v>
      </c>
      <c r="B1" s="489"/>
      <c r="D1" s="361"/>
      <c r="G1" s="361"/>
      <c r="J1" s="361"/>
      <c r="M1" s="361"/>
      <c r="R1" s="361"/>
      <c r="S1"/>
      <c r="T1"/>
      <c r="U1" s="361"/>
      <c r="V1"/>
      <c r="W1"/>
      <c r="X1" s="361"/>
      <c r="Y1"/>
      <c r="Z1"/>
      <c r="AA1" s="361"/>
      <c r="AB1"/>
      <c r="AC1"/>
      <c r="AE1"/>
      <c r="AF1" s="361"/>
      <c r="AG1"/>
      <c r="AH1"/>
      <c r="AI1" s="361"/>
      <c r="AJ1"/>
      <c r="AK1"/>
      <c r="AL1" s="361"/>
      <c r="AM1"/>
      <c r="AN1"/>
      <c r="AO1" s="361"/>
      <c r="AP1"/>
      <c r="AQ1"/>
      <c r="AS1"/>
      <c r="AT1" s="361"/>
      <c r="AU1"/>
      <c r="AV1"/>
      <c r="AW1" s="361"/>
      <c r="AX1"/>
      <c r="AY1"/>
      <c r="AZ1" s="361"/>
      <c r="BA1"/>
      <c r="BB1"/>
      <c r="BC1" s="361"/>
      <c r="BD1"/>
      <c r="BE1"/>
    </row>
    <row r="2" spans="1:58" s="450" customFormat="1" ht="18.5">
      <c r="A2" s="450">
        <v>1</v>
      </c>
      <c r="B2" s="450">
        <v>2</v>
      </c>
      <c r="C2" s="451">
        <v>3</v>
      </c>
      <c r="D2" s="450">
        <v>4</v>
      </c>
      <c r="E2" s="450">
        <v>5</v>
      </c>
      <c r="F2" s="451">
        <v>6</v>
      </c>
      <c r="G2" s="452">
        <v>7</v>
      </c>
      <c r="H2" s="450">
        <v>8</v>
      </c>
      <c r="I2" s="451">
        <v>9</v>
      </c>
      <c r="J2" s="452">
        <v>10</v>
      </c>
      <c r="K2" s="450">
        <v>11</v>
      </c>
      <c r="L2" s="451">
        <v>12</v>
      </c>
      <c r="M2" s="452">
        <v>13</v>
      </c>
      <c r="N2" s="450">
        <v>14</v>
      </c>
      <c r="O2" s="451">
        <v>15</v>
      </c>
      <c r="P2" s="453">
        <v>16</v>
      </c>
      <c r="Q2" s="451">
        <v>17</v>
      </c>
      <c r="R2" s="454">
        <v>18</v>
      </c>
      <c r="S2" s="455">
        <v>19</v>
      </c>
      <c r="T2" s="451">
        <v>20</v>
      </c>
      <c r="U2" s="454">
        <v>21</v>
      </c>
      <c r="V2" s="455">
        <v>22</v>
      </c>
      <c r="W2" s="451">
        <v>23</v>
      </c>
      <c r="X2" s="454">
        <v>24</v>
      </c>
      <c r="Y2" s="455">
        <v>25</v>
      </c>
      <c r="Z2" s="451">
        <v>26</v>
      </c>
      <c r="AA2" s="454">
        <v>27</v>
      </c>
      <c r="AB2" s="455">
        <v>28</v>
      </c>
      <c r="AC2" s="451">
        <v>29</v>
      </c>
      <c r="AD2" s="454">
        <v>30</v>
      </c>
      <c r="AE2" s="455">
        <v>31</v>
      </c>
      <c r="AF2" s="451">
        <v>32</v>
      </c>
      <c r="AG2" s="454">
        <v>33</v>
      </c>
      <c r="AH2" s="455">
        <v>34</v>
      </c>
      <c r="AI2" s="451">
        <v>35</v>
      </c>
      <c r="AJ2" s="454">
        <v>36</v>
      </c>
      <c r="AK2" s="455">
        <v>37</v>
      </c>
      <c r="AL2" s="451">
        <v>38</v>
      </c>
      <c r="AM2" s="454">
        <v>39</v>
      </c>
      <c r="AN2" s="455">
        <v>40</v>
      </c>
      <c r="AO2" s="451">
        <v>41</v>
      </c>
      <c r="AP2" s="454">
        <v>42</v>
      </c>
      <c r="AQ2" s="455">
        <v>43</v>
      </c>
      <c r="AR2" s="451">
        <v>44</v>
      </c>
      <c r="AS2" s="454">
        <v>45</v>
      </c>
      <c r="AT2" s="451">
        <v>32</v>
      </c>
      <c r="AU2" s="454">
        <v>33</v>
      </c>
      <c r="AV2" s="455">
        <v>34</v>
      </c>
      <c r="AW2" s="451">
        <v>35</v>
      </c>
      <c r="AX2" s="454">
        <v>36</v>
      </c>
      <c r="AY2" s="455">
        <v>37</v>
      </c>
      <c r="AZ2" s="451">
        <v>38</v>
      </c>
      <c r="BA2" s="454">
        <v>39</v>
      </c>
      <c r="BB2" s="455">
        <v>40</v>
      </c>
      <c r="BC2" s="451">
        <v>41</v>
      </c>
      <c r="BD2" s="454">
        <v>42</v>
      </c>
      <c r="BE2" s="455">
        <v>43</v>
      </c>
      <c r="BF2" s="451">
        <v>44</v>
      </c>
    </row>
    <row r="3" spans="1:58" ht="51" customHeight="1">
      <c r="C3" s="364"/>
      <c r="D3" s="492" t="s">
        <v>832</v>
      </c>
      <c r="E3" s="492"/>
      <c r="F3" s="364"/>
      <c r="G3" s="492" t="s">
        <v>832</v>
      </c>
      <c r="H3" s="492"/>
      <c r="I3" s="364"/>
      <c r="J3" s="492" t="s">
        <v>832</v>
      </c>
      <c r="K3" s="492"/>
      <c r="L3" s="364"/>
      <c r="M3" s="493" t="s">
        <v>832</v>
      </c>
      <c r="N3" s="493"/>
      <c r="O3" s="364"/>
      <c r="P3" s="367" t="s">
        <v>1153</v>
      </c>
      <c r="Q3" s="364"/>
      <c r="R3" s="490" t="s">
        <v>1152</v>
      </c>
      <c r="S3" s="490"/>
      <c r="T3" s="364"/>
      <c r="U3" s="490" t="s">
        <v>1152</v>
      </c>
      <c r="V3" s="490"/>
      <c r="W3" s="364"/>
      <c r="X3" s="488" t="s">
        <v>1152</v>
      </c>
      <c r="Y3" s="488"/>
      <c r="Z3" s="364"/>
      <c r="AA3" s="494" t="s">
        <v>1152</v>
      </c>
      <c r="AB3" s="494"/>
      <c r="AC3" s="364"/>
      <c r="AD3" s="367" t="s">
        <v>1154</v>
      </c>
      <c r="AE3" s="364"/>
      <c r="AF3" s="490" t="s">
        <v>1265</v>
      </c>
      <c r="AG3" s="490"/>
      <c r="AH3" s="364"/>
      <c r="AI3" s="490" t="s">
        <v>1265</v>
      </c>
      <c r="AJ3" s="490"/>
      <c r="AK3" s="364"/>
      <c r="AL3" s="488" t="s">
        <v>1265</v>
      </c>
      <c r="AM3" s="488"/>
      <c r="AN3" s="364"/>
      <c r="AO3" s="494" t="s">
        <v>1265</v>
      </c>
      <c r="AP3" s="494"/>
      <c r="AQ3" s="364"/>
      <c r="AR3" s="367" t="s">
        <v>1266</v>
      </c>
      <c r="AS3" s="364"/>
      <c r="AT3" s="490" t="s">
        <v>1355</v>
      </c>
      <c r="AU3" s="490"/>
      <c r="AV3" s="364"/>
      <c r="AW3" s="490" t="s">
        <v>1355</v>
      </c>
      <c r="AX3" s="490"/>
      <c r="AY3" s="364"/>
      <c r="AZ3" s="490" t="s">
        <v>1355</v>
      </c>
      <c r="BA3" s="490"/>
      <c r="BB3" s="364"/>
      <c r="BC3" s="491" t="s">
        <v>1355</v>
      </c>
      <c r="BD3" s="491"/>
      <c r="BE3" s="364"/>
      <c r="BF3" s="367" t="s">
        <v>1266</v>
      </c>
    </row>
    <row r="4" spans="1:58" s="373" customFormat="1" ht="43.5">
      <c r="A4" s="373" t="s">
        <v>184</v>
      </c>
      <c r="B4" s="373" t="s">
        <v>186</v>
      </c>
      <c r="C4" s="365"/>
      <c r="D4" s="376" t="s">
        <v>833</v>
      </c>
      <c r="E4" s="373" t="s">
        <v>117</v>
      </c>
      <c r="F4" s="365"/>
      <c r="G4" s="376" t="s">
        <v>835</v>
      </c>
      <c r="H4" s="373" t="s">
        <v>117</v>
      </c>
      <c r="I4" s="365"/>
      <c r="J4" s="376" t="s">
        <v>836</v>
      </c>
      <c r="K4" s="373" t="s">
        <v>117</v>
      </c>
      <c r="L4" s="365"/>
      <c r="M4" s="376" t="s">
        <v>837</v>
      </c>
      <c r="N4" s="373" t="s">
        <v>117</v>
      </c>
      <c r="O4" s="365"/>
      <c r="P4" s="367" t="s">
        <v>838</v>
      </c>
      <c r="Q4" s="365"/>
      <c r="R4" s="401" t="s">
        <v>833</v>
      </c>
      <c r="S4" s="402" t="s">
        <v>117</v>
      </c>
      <c r="T4" s="365"/>
      <c r="U4" s="401" t="s">
        <v>835</v>
      </c>
      <c r="V4" s="402" t="s">
        <v>117</v>
      </c>
      <c r="W4" s="365"/>
      <c r="X4" s="401" t="s">
        <v>836</v>
      </c>
      <c r="Y4" s="402" t="s">
        <v>117</v>
      </c>
      <c r="Z4" s="365"/>
      <c r="AA4" s="401" t="s">
        <v>837</v>
      </c>
      <c r="AB4" s="402" t="s">
        <v>117</v>
      </c>
      <c r="AC4" s="365"/>
      <c r="AD4" s="367" t="s">
        <v>838</v>
      </c>
      <c r="AE4" s="365"/>
      <c r="AF4" s="401" t="s">
        <v>833</v>
      </c>
      <c r="AG4" s="402" t="s">
        <v>117</v>
      </c>
      <c r="AH4" s="365"/>
      <c r="AI4" s="401" t="s">
        <v>835</v>
      </c>
      <c r="AJ4" s="402" t="s">
        <v>117</v>
      </c>
      <c r="AK4" s="365"/>
      <c r="AL4" s="401" t="s">
        <v>836</v>
      </c>
      <c r="AM4" s="402" t="s">
        <v>117</v>
      </c>
      <c r="AN4" s="365"/>
      <c r="AO4" s="401" t="s">
        <v>837</v>
      </c>
      <c r="AP4" s="402" t="s">
        <v>117</v>
      </c>
      <c r="AQ4" s="365"/>
      <c r="AR4" s="367" t="s">
        <v>838</v>
      </c>
      <c r="AS4" s="365"/>
      <c r="AT4" s="401" t="s">
        <v>833</v>
      </c>
      <c r="AU4" s="402" t="s">
        <v>117</v>
      </c>
      <c r="AV4" s="365"/>
      <c r="AW4" s="401" t="s">
        <v>835</v>
      </c>
      <c r="AX4" s="402" t="s">
        <v>117</v>
      </c>
      <c r="AY4" s="365"/>
      <c r="AZ4" s="401" t="s">
        <v>836</v>
      </c>
      <c r="BA4" s="402" t="s">
        <v>117</v>
      </c>
      <c r="BB4" s="365"/>
      <c r="BC4" s="401" t="s">
        <v>837</v>
      </c>
      <c r="BD4" s="402" t="s">
        <v>117</v>
      </c>
      <c r="BE4" s="365"/>
      <c r="BF4" s="367" t="s">
        <v>838</v>
      </c>
    </row>
    <row r="5" spans="1:58">
      <c r="A5" t="s">
        <v>187</v>
      </c>
      <c r="B5" t="s">
        <v>830</v>
      </c>
      <c r="C5" s="360"/>
      <c r="D5" s="363">
        <v>0</v>
      </c>
      <c r="E5" t="s">
        <v>834</v>
      </c>
      <c r="F5" s="360"/>
      <c r="G5" s="363">
        <v>6530149.4400000004</v>
      </c>
      <c r="H5" t="s">
        <v>834</v>
      </c>
      <c r="I5" s="360"/>
      <c r="J5" s="363">
        <v>0</v>
      </c>
      <c r="K5" t="s">
        <v>834</v>
      </c>
      <c r="L5" s="360"/>
      <c r="M5" s="363">
        <v>11297.836401384084</v>
      </c>
      <c r="N5" t="s">
        <v>834</v>
      </c>
      <c r="O5" s="360"/>
      <c r="P5" s="366" t="str">
        <f>IF(AND(E5="Did not Meet",H5="Did not Meet",K5="Did not Meet", N5="Did not Meet"),"Did not Meet","Met")</f>
        <v>Met</v>
      </c>
      <c r="Q5" s="360"/>
      <c r="R5" s="399">
        <v>0</v>
      </c>
      <c r="S5" s="400" t="str">
        <f>IF(AND(E5="Met",R5&gt;=D5),"Met","Did not Meet")</f>
        <v>Met</v>
      </c>
      <c r="U5" s="399">
        <v>5072277.54</v>
      </c>
      <c r="V5" s="400" t="str">
        <f>IF(AND(H5="Met",U5&gt;=M5),"Met","Did not Meet")</f>
        <v>Met</v>
      </c>
      <c r="X5" s="399">
        <v>0</v>
      </c>
      <c r="Y5" s="400" t="str">
        <f>IF(AND(K5="Met",X5&gt;=J5),"Met","Did not Meet")</f>
        <v>Met</v>
      </c>
      <c r="AA5" s="399">
        <v>9410.5334693877558</v>
      </c>
      <c r="AB5" s="400" t="str">
        <f>IF(AND(N5="Met",AA5&gt;=M5),"Met","Did not Meet")</f>
        <v>Did not Meet</v>
      </c>
      <c r="AD5" s="366" t="str">
        <f t="shared" ref="AD5:AD68" si="0">IF(AND(P5="Did not Meet",S5="Did not Meet",V5="Did not Meet", Y5="Did not Meet",AB5="Did not Meet",),"Did not Meet","Met")</f>
        <v>Met</v>
      </c>
      <c r="AF5" s="399">
        <v>78927.69</v>
      </c>
      <c r="AG5" s="400" t="str">
        <f>IF(AND(S5="Met",AF5&gt;=R5),"Met","Did not Meet")</f>
        <v>Met</v>
      </c>
      <c r="AI5" s="399">
        <v>5556409.4300000006</v>
      </c>
      <c r="AJ5" s="400" t="str">
        <f>IF(AND(V5="Met",AI5&gt;=U5),"Met","Did not Meet")</f>
        <v>Met</v>
      </c>
      <c r="AL5" s="399">
        <f>VLOOKUP(A5,$A$5:$AF$315,32,0)/IFERROR(VLOOKUP(A5,'21-22 child count'!$A$3:$S$317,19,0),0)</f>
        <v>145.6230442804428</v>
      </c>
      <c r="AM5" s="400" t="str">
        <f>IF(AND(Y5="Met",AL5&gt;=X5),"Met","Did not Meet")</f>
        <v>Met</v>
      </c>
      <c r="AO5" s="399">
        <f>VLOOKUP(A5,'42. SEA or LEA Worksheet'!$A$4:$AB$318,28,0)/IFERROR(VLOOKUP('42. SEA or LEA Worksheet'!A4,'21-22 child count'!$A$3:$S$317,3,0),0)</f>
        <v>48054.417964601773</v>
      </c>
      <c r="AP5" s="400" t="str">
        <f>IF(AND(AB5="Met",AO5&gt;=AA5),"Met","Did not Meet")</f>
        <v>Did not Meet</v>
      </c>
      <c r="AR5" s="366" t="str">
        <f>IF(AND(AD5="Did not Meet",AG5="Did not Meet",AJ5="Did not Meet", AM5="Did not Meet",AP5="Did not Meet",),"Did not Meet","Met")</f>
        <v>Met</v>
      </c>
      <c r="AU5" s="400" t="str">
        <f>IF(AND(AG5="Met",AT5&gt;=AF5),"Met","Did not Meet")</f>
        <v>Did not Meet</v>
      </c>
      <c r="AX5" s="400" t="str">
        <f>IF(AND(AJ5="Met",AW5&gt;=AI5),"Met","Did not Meet")</f>
        <v>Did not Meet</v>
      </c>
      <c r="BA5" s="400" t="str">
        <f>IF(AND(AM5="Met",AZ5&gt;=AL5),"Met","Did not Meet")</f>
        <v>Did not Meet</v>
      </c>
      <c r="BD5" s="400" t="str">
        <f>IF(AND(AP5="Met",BC5&gt;=AO5),"Met","Did not Meet")</f>
        <v>Did not Meet</v>
      </c>
      <c r="BF5" s="366" t="str">
        <f>IF(AND(AR5="Did not Meet",AU5="Did not Meet",AX5="Did not Meet", BA5="Did not Meet",BD5="Did not Meet",),"Did not Meet","Met")</f>
        <v>Met</v>
      </c>
    </row>
    <row r="6" spans="1:58">
      <c r="A6" t="s">
        <v>190</v>
      </c>
      <c r="B6" t="s">
        <v>831</v>
      </c>
      <c r="C6" s="360"/>
      <c r="D6" s="363">
        <v>0</v>
      </c>
      <c r="E6" t="s">
        <v>834</v>
      </c>
      <c r="F6" s="360"/>
      <c r="G6" s="363">
        <v>812780.45</v>
      </c>
      <c r="H6" t="s">
        <v>834</v>
      </c>
      <c r="I6" s="360"/>
      <c r="J6" s="363">
        <v>0</v>
      </c>
      <c r="K6" t="s">
        <v>834</v>
      </c>
      <c r="L6" s="360"/>
      <c r="M6" s="363">
        <v>13109.362096774194</v>
      </c>
      <c r="N6" t="s">
        <v>834</v>
      </c>
      <c r="O6" s="360"/>
      <c r="P6" s="366" t="str">
        <f t="shared" ref="P6:P7" si="1">IF(AND(E6="Did not Meet",H6="Did not Meet",K6="Did not Meet", N6="Did not Meet"),"Did not Meet","Met")</f>
        <v>Met</v>
      </c>
      <c r="Q6" s="360"/>
      <c r="R6" s="399">
        <v>0</v>
      </c>
      <c r="S6" s="400" t="str">
        <f t="shared" ref="S6:S7" si="2">IF(AND(E6="Met",R6&gt;=D6),"Met","Did not Meet")</f>
        <v>Met</v>
      </c>
      <c r="U6" s="399">
        <v>784195.14</v>
      </c>
      <c r="V6" s="400" t="str">
        <f t="shared" ref="V6:V7" si="3">IF(AND(H6="Met",U6&gt;=M6),"Met","Did not Meet")</f>
        <v>Met</v>
      </c>
      <c r="X6" s="399">
        <v>0</v>
      </c>
      <c r="Y6" s="400" t="str">
        <f t="shared" ref="Y6:Y7" si="4">IF(AND(K6="Met",X6&gt;=J6),"Met","Did not Meet")</f>
        <v>Met</v>
      </c>
      <c r="AA6" s="399">
        <v>12855.658032786885</v>
      </c>
      <c r="AB6" s="400" t="str">
        <f t="shared" ref="AB6:AB7" si="5">IF(AND(N6="Met",AA6&gt;=M6),"Met","Did not Meet")</f>
        <v>Did not Meet</v>
      </c>
      <c r="AD6" s="366" t="str">
        <f t="shared" si="0"/>
        <v>Met</v>
      </c>
      <c r="AF6" s="399">
        <v>0</v>
      </c>
      <c r="AG6" s="400" t="str">
        <f t="shared" ref="AG6:AG7" si="6">IF(AND(S6="Met",AF6&gt;=R6),"Met","Did not Meet")</f>
        <v>Met</v>
      </c>
      <c r="AI6" s="399">
        <v>1017731.9</v>
      </c>
      <c r="AJ6" s="400" t="str">
        <f t="shared" ref="AJ6:AJ7" si="7">IF(AND(V6="Met",AI6&gt;=U6),"Met","Did not Meet")</f>
        <v>Met</v>
      </c>
      <c r="AL6" s="399">
        <f>VLOOKUP(A6,$A$5:$AF$315,32,0)/IFERROR(VLOOKUP(A6,'21-22 child count'!$A$3:$S$317,19,0),0)</f>
        <v>0</v>
      </c>
      <c r="AM6" s="400" t="str">
        <f t="shared" ref="AM6:AM7" si="8">IF(AND(Y6="Met",AL6&gt;=X6),"Met","Did not Meet")</f>
        <v>Met</v>
      </c>
      <c r="AO6" s="399">
        <f>VLOOKUP(A6,'42. SEA or LEA Worksheet'!$A$4:$AB$318,28,0)/IFERROR(VLOOKUP('42. SEA or LEA Worksheet'!A5,'21-22 child count'!$A$3:$S$317,3,0),0)</f>
        <v>8968.2571681415939</v>
      </c>
      <c r="AP6" s="400" t="str">
        <f t="shared" ref="AP6:AP7" si="9">IF(AND(AB6="Met",AO6&gt;=AA6),"Met","Did not Meet")</f>
        <v>Did not Meet</v>
      </c>
      <c r="AR6" s="366" t="str">
        <f t="shared" ref="AR6:AR69" si="10">IF(AND(AD6="Did not Meet",AG6="Did not Meet",AJ6="Did not Meet", AM6="Did not Meet",AP6="Did not Meet",),"Did not Meet","Met")</f>
        <v>Met</v>
      </c>
      <c r="AU6" s="400" t="str">
        <f t="shared" ref="AU6:AU70" si="11">IF(AND(AG6="Met",AT6&gt;=AF6),"Met","Did not Meet")</f>
        <v>Met</v>
      </c>
      <c r="AX6" s="400" t="str">
        <f t="shared" ref="AX6:AX70" si="12">IF(AND(AJ6="Met",AW6&gt;=AI6),"Met","Did not Meet")</f>
        <v>Did not Meet</v>
      </c>
      <c r="BA6" s="400" t="str">
        <f t="shared" ref="BA6:BA70" si="13">IF(AND(AM6="Met",AZ6&gt;=AL6),"Met","Did not Meet")</f>
        <v>Met</v>
      </c>
      <c r="BD6" s="400" t="str">
        <f t="shared" ref="BD6:BD70" si="14">IF(AND(AP6="Met",BC6&gt;=AO6),"Met","Did not Meet")</f>
        <v>Did not Meet</v>
      </c>
      <c r="BF6" s="366" t="str">
        <f t="shared" ref="BF6:BF69" si="15">IF(AND(AR6="Did not Meet",AU6="Did not Meet",AX6="Did not Meet", BA6="Did not Meet",BD6="Did not Meet",),"Did not Meet","Met")</f>
        <v>Met</v>
      </c>
    </row>
    <row r="7" spans="1:58">
      <c r="A7" t="s">
        <v>192</v>
      </c>
      <c r="B7" t="s">
        <v>1134</v>
      </c>
      <c r="C7" s="360"/>
      <c r="D7" s="363">
        <v>0</v>
      </c>
      <c r="E7" t="s">
        <v>834</v>
      </c>
      <c r="F7" s="360"/>
      <c r="G7" s="363">
        <v>116138</v>
      </c>
      <c r="H7" t="s">
        <v>879</v>
      </c>
      <c r="I7" s="360"/>
      <c r="J7" s="363" t="s">
        <v>834</v>
      </c>
      <c r="K7" t="s">
        <v>855</v>
      </c>
      <c r="L7" s="360"/>
      <c r="M7" s="363">
        <v>7742.5333333333338</v>
      </c>
      <c r="N7" t="s">
        <v>855</v>
      </c>
      <c r="O7" s="360"/>
      <c r="P7" s="366" t="str">
        <f t="shared" si="1"/>
        <v>Met</v>
      </c>
      <c r="Q7" s="360"/>
      <c r="R7" s="399">
        <v>0</v>
      </c>
      <c r="S7" s="400" t="str">
        <f t="shared" si="2"/>
        <v>Met</v>
      </c>
      <c r="U7" s="399">
        <v>86062.69</v>
      </c>
      <c r="V7" s="400" t="str">
        <f t="shared" si="3"/>
        <v>Did not Meet</v>
      </c>
      <c r="X7" s="399">
        <v>0</v>
      </c>
      <c r="Y7" s="400" t="str">
        <f t="shared" si="4"/>
        <v>Did not Meet</v>
      </c>
      <c r="AA7" s="399">
        <v>7171.8908333333338</v>
      </c>
      <c r="AB7" s="400" t="str">
        <f t="shared" si="5"/>
        <v>Did not Meet</v>
      </c>
      <c r="AD7" s="366" t="str">
        <f t="shared" si="0"/>
        <v>Met</v>
      </c>
      <c r="AF7" s="399">
        <v>0</v>
      </c>
      <c r="AG7" s="400" t="str">
        <f t="shared" si="6"/>
        <v>Met</v>
      </c>
      <c r="AI7" s="399">
        <v>139830.92000000001</v>
      </c>
      <c r="AJ7" s="400" t="str">
        <f t="shared" si="7"/>
        <v>Did not Meet</v>
      </c>
      <c r="AL7" s="399">
        <f>VLOOKUP(A7,$A$5:$AF$315,32,0)/IFERROR(VLOOKUP(A7,'21-22 child count'!$A$3:$S$317,19,0),0)</f>
        <v>0</v>
      </c>
      <c r="AM7" s="400" t="str">
        <f t="shared" si="8"/>
        <v>Did not Meet</v>
      </c>
      <c r="AO7" s="399">
        <f>VLOOKUP(A7,'42. SEA or LEA Worksheet'!$A$4:$AB$318,28,0)/IFERROR(VLOOKUP('42. SEA or LEA Worksheet'!A6,'21-22 child count'!$A$3:$S$317,3,0),0)</f>
        <v>1384.4645544554458</v>
      </c>
      <c r="AP7" s="400" t="str">
        <f t="shared" si="9"/>
        <v>Did not Meet</v>
      </c>
      <c r="AR7" s="366" t="str">
        <f t="shared" si="10"/>
        <v>Met</v>
      </c>
      <c r="AU7" s="400" t="str">
        <f t="shared" si="11"/>
        <v>Met</v>
      </c>
      <c r="AX7" s="400" t="str">
        <f t="shared" si="12"/>
        <v>Did not Meet</v>
      </c>
      <c r="BA7" s="400" t="str">
        <f t="shared" si="13"/>
        <v>Did not Meet</v>
      </c>
      <c r="BD7" s="400" t="str">
        <f t="shared" si="14"/>
        <v>Did not Meet</v>
      </c>
      <c r="BF7" s="366" t="str">
        <f t="shared" si="15"/>
        <v>Met</v>
      </c>
    </row>
    <row r="8" spans="1:58">
      <c r="A8" t="s">
        <v>195</v>
      </c>
      <c r="B8" t="s">
        <v>839</v>
      </c>
      <c r="C8" s="360"/>
      <c r="D8" s="363">
        <v>0</v>
      </c>
      <c r="E8" t="s">
        <v>855</v>
      </c>
      <c r="F8" s="360"/>
      <c r="G8" s="363">
        <v>4341661.9400000004</v>
      </c>
      <c r="H8" t="s">
        <v>834</v>
      </c>
      <c r="I8" s="360"/>
      <c r="J8" s="363">
        <v>0</v>
      </c>
      <c r="K8" t="s">
        <v>855</v>
      </c>
      <c r="L8" s="360"/>
      <c r="M8" s="363">
        <v>13960.327781350483</v>
      </c>
      <c r="N8" t="s">
        <v>855</v>
      </c>
      <c r="O8" s="360"/>
      <c r="P8" s="366" t="str">
        <f t="shared" ref="P8:P44" si="16">IF(AND(E8="Did not Meet",H8="Did not Meet",K8="Did not Meet", N8="Did not Meet"),"Did not Meet","Met")</f>
        <v>Met</v>
      </c>
      <c r="Q8" s="360"/>
      <c r="R8" s="399">
        <v>0</v>
      </c>
      <c r="S8" s="400" t="str">
        <f t="shared" ref="S8:S71" si="17">IF(AND(E8="Met",R8&gt;=D8),"Met","Did not Meet")</f>
        <v>Did not Meet</v>
      </c>
      <c r="U8" s="399">
        <v>4112687.36</v>
      </c>
      <c r="V8" s="400" t="str">
        <f t="shared" ref="V8:V71" si="18">IF(AND(H8="Met",U8&gt;=M8),"Met","Did not Meet")</f>
        <v>Met</v>
      </c>
      <c r="X8" s="399">
        <v>0</v>
      </c>
      <c r="Y8" s="400" t="str">
        <f t="shared" ref="Y8:Y71" si="19">IF(AND(K8="Met",X8&gt;=J8),"Met","Did not Meet")</f>
        <v>Did not Meet</v>
      </c>
      <c r="AA8" s="399">
        <v>12462.68896969697</v>
      </c>
      <c r="AB8" s="400" t="str">
        <f t="shared" ref="AB8:AB71" si="20">IF(AND(N8="Met",AA8&gt;=M8),"Met","Did not Meet")</f>
        <v>Did not Meet</v>
      </c>
      <c r="AD8" s="366" t="str">
        <f t="shared" si="0"/>
        <v>Met</v>
      </c>
      <c r="AF8" s="399">
        <v>0</v>
      </c>
      <c r="AG8" s="400" t="str">
        <f t="shared" ref="AG8:AG71" si="21">IF(AND(S8="Met",AF8&gt;=R8),"Met","Did not Meet")</f>
        <v>Did not Meet</v>
      </c>
      <c r="AI8" s="399">
        <v>4317120.0999999996</v>
      </c>
      <c r="AJ8" s="400" t="str">
        <f t="shared" ref="AJ8:AJ71" si="22">IF(AND(V8="Met",AI8&gt;=U8),"Met","Did not Meet")</f>
        <v>Met</v>
      </c>
      <c r="AL8" s="399">
        <f>VLOOKUP(A8,$A$5:$AF$315,32,0)/IFERROR(VLOOKUP(A8,'21-22 child count'!$A$3:$S$317,19,0),0)</f>
        <v>0</v>
      </c>
      <c r="AM8" s="400" t="str">
        <f t="shared" ref="AM8:AM71" si="23">IF(AND(Y8="Met",AL8&gt;=X8),"Met","Did not Meet")</f>
        <v>Did not Meet</v>
      </c>
      <c r="AO8" s="399">
        <f>VLOOKUP(A8,'42. SEA or LEA Worksheet'!$A$4:$AB$318,28,0)/IFERROR(VLOOKUP('42. SEA or LEA Worksheet'!A7,'21-22 child count'!$A$3:$S$317,3,0),0)</f>
        <v>22465.368730158731</v>
      </c>
      <c r="AP8" s="400" t="str">
        <f t="shared" ref="AP8:AP71" si="24">IF(AND(AB8="Met",AO8&gt;=AA8),"Met","Did not Meet")</f>
        <v>Did not Meet</v>
      </c>
      <c r="AR8" s="366" t="str">
        <f t="shared" si="10"/>
        <v>Met</v>
      </c>
      <c r="AU8" s="400" t="str">
        <f t="shared" si="11"/>
        <v>Did not Meet</v>
      </c>
      <c r="AX8" s="400" t="str">
        <f t="shared" si="12"/>
        <v>Did not Meet</v>
      </c>
      <c r="BA8" s="400" t="str">
        <f t="shared" si="13"/>
        <v>Did not Meet</v>
      </c>
      <c r="BD8" s="400" t="str">
        <f t="shared" si="14"/>
        <v>Did not Meet</v>
      </c>
      <c r="BF8" s="366" t="str">
        <f t="shared" si="15"/>
        <v>Met</v>
      </c>
    </row>
    <row r="9" spans="1:58">
      <c r="A9" t="s">
        <v>198</v>
      </c>
      <c r="B9" t="s">
        <v>840</v>
      </c>
      <c r="C9" s="360"/>
      <c r="D9" s="363">
        <v>49556.2</v>
      </c>
      <c r="E9" t="s">
        <v>834</v>
      </c>
      <c r="F9" s="360"/>
      <c r="G9" s="363">
        <v>10919718.129999999</v>
      </c>
      <c r="H9" t="s">
        <v>834</v>
      </c>
      <c r="I9" s="360"/>
      <c r="J9" s="363">
        <v>61.029802955665019</v>
      </c>
      <c r="K9" t="s">
        <v>855</v>
      </c>
      <c r="L9" s="360"/>
      <c r="M9" s="363">
        <v>13447.928731527092</v>
      </c>
      <c r="N9" t="s">
        <v>834</v>
      </c>
      <c r="O9" s="360"/>
      <c r="P9" s="366" t="str">
        <f t="shared" si="16"/>
        <v>Met</v>
      </c>
      <c r="Q9" s="360"/>
      <c r="R9" s="399">
        <v>101002</v>
      </c>
      <c r="S9" s="400" t="str">
        <f t="shared" si="17"/>
        <v>Met</v>
      </c>
      <c r="U9" s="399">
        <v>12149525.16</v>
      </c>
      <c r="V9" s="400" t="str">
        <f t="shared" si="18"/>
        <v>Met</v>
      </c>
      <c r="X9" s="399">
        <v>124.23370233702337</v>
      </c>
      <c r="Y9" s="400" t="str">
        <f t="shared" si="19"/>
        <v>Did not Meet</v>
      </c>
      <c r="AA9" s="399">
        <v>14944.065387453875</v>
      </c>
      <c r="AB9" s="400" t="str">
        <f t="shared" si="20"/>
        <v>Met</v>
      </c>
      <c r="AD9" s="366" t="str">
        <f t="shared" si="0"/>
        <v>Met</v>
      </c>
      <c r="AF9" s="399">
        <v>142893.70000000001</v>
      </c>
      <c r="AG9" s="400" t="str">
        <f t="shared" si="21"/>
        <v>Met</v>
      </c>
      <c r="AI9" s="399">
        <v>12459501.59</v>
      </c>
      <c r="AJ9" s="400" t="str">
        <f t="shared" si="22"/>
        <v>Met</v>
      </c>
      <c r="AL9" s="399">
        <f>VLOOKUP(A9,$A$5:$AF$315,32,0)/IFERROR(VLOOKUP(A9,'21-22 child count'!$A$3:$S$317,19,0),0)</f>
        <v>174.04835566382462</v>
      </c>
      <c r="AM9" s="400" t="str">
        <f t="shared" si="23"/>
        <v>Did not Meet</v>
      </c>
      <c r="AO9" s="399">
        <f>VLOOKUP(A9,'42. SEA or LEA Worksheet'!$A$4:$AB$318,28,0)/IFERROR(VLOOKUP('42. SEA or LEA Worksheet'!A8,'21-22 child count'!$A$3:$S$317,3,0),0)</f>
        <v>64416.667301587295</v>
      </c>
      <c r="AP9" s="400" t="str">
        <f t="shared" si="24"/>
        <v>Met</v>
      </c>
      <c r="AR9" s="366" t="str">
        <f t="shared" si="10"/>
        <v>Met</v>
      </c>
      <c r="AU9" s="400" t="str">
        <f t="shared" si="11"/>
        <v>Did not Meet</v>
      </c>
      <c r="AX9" s="400" t="str">
        <f t="shared" si="12"/>
        <v>Did not Meet</v>
      </c>
      <c r="BA9" s="400" t="str">
        <f t="shared" si="13"/>
        <v>Did not Meet</v>
      </c>
      <c r="BD9" s="400" t="str">
        <f t="shared" si="14"/>
        <v>Did not Meet</v>
      </c>
      <c r="BF9" s="366" t="str">
        <f t="shared" si="15"/>
        <v>Met</v>
      </c>
    </row>
    <row r="10" spans="1:58">
      <c r="A10" t="s">
        <v>222</v>
      </c>
      <c r="B10" t="s">
        <v>850</v>
      </c>
      <c r="C10" s="360"/>
      <c r="D10" s="363">
        <v>22494.27</v>
      </c>
      <c r="E10" t="s">
        <v>834</v>
      </c>
      <c r="F10" s="360"/>
      <c r="G10" s="363">
        <v>4601403.55</v>
      </c>
      <c r="H10" t="s">
        <v>834</v>
      </c>
      <c r="I10" s="360"/>
      <c r="J10" s="363">
        <v>61.459754098360655</v>
      </c>
      <c r="K10" t="s">
        <v>834</v>
      </c>
      <c r="L10" s="360"/>
      <c r="M10" s="363">
        <v>12572.140846994535</v>
      </c>
      <c r="N10" t="s">
        <v>834</v>
      </c>
      <c r="O10" s="360"/>
      <c r="P10" s="366" t="str">
        <f t="shared" si="16"/>
        <v>Met</v>
      </c>
      <c r="Q10" s="360"/>
      <c r="R10" s="399">
        <v>0</v>
      </c>
      <c r="S10" s="400" t="str">
        <f t="shared" si="17"/>
        <v>Did not Meet</v>
      </c>
      <c r="U10" s="399">
        <v>4548412.3899999997</v>
      </c>
      <c r="V10" s="400" t="str">
        <f t="shared" si="18"/>
        <v>Met</v>
      </c>
      <c r="X10" s="399">
        <v>0</v>
      </c>
      <c r="Y10" s="400" t="str">
        <f t="shared" si="19"/>
        <v>Did not Meet</v>
      </c>
      <c r="AA10" s="399">
        <v>13618.00116766467</v>
      </c>
      <c r="AB10" s="400" t="str">
        <f t="shared" si="20"/>
        <v>Met</v>
      </c>
      <c r="AD10" s="366" t="str">
        <f>IF(AND(P10="Did not Meet",S10="Did not Meet",V10="Did not Meet", Y10="Did not Meet",AB10="Did not Meet",),"Did not Meet","Met")</f>
        <v>Met</v>
      </c>
      <c r="AF10" s="399">
        <v>19093</v>
      </c>
      <c r="AG10" s="400" t="str">
        <f t="shared" si="21"/>
        <v>Did not Meet</v>
      </c>
      <c r="AI10" s="399">
        <v>5228327.9400000004</v>
      </c>
      <c r="AJ10" s="400" t="str">
        <f t="shared" si="22"/>
        <v>Met</v>
      </c>
      <c r="AL10" s="399">
        <f>VLOOKUP(A10,$A$5:$AF$315,32,0)/IFERROR(VLOOKUP(A10,'21-22 child count'!$A$3:$S$317,19,0),0)</f>
        <v>60.420886075949369</v>
      </c>
      <c r="AM10" s="400" t="str">
        <f t="shared" si="23"/>
        <v>Did not Meet</v>
      </c>
      <c r="AO10" s="399">
        <f>VLOOKUP(A10,'42. SEA or LEA Worksheet'!$A$4:$AB$318,28,0)/IFERROR(VLOOKUP('42. SEA or LEA Worksheet'!A18,'21-22 child count'!$A$3:$S$317,3,0),0)</f>
        <v>27435.481322751322</v>
      </c>
      <c r="AP10" s="400" t="str">
        <f t="shared" si="24"/>
        <v>Met</v>
      </c>
      <c r="AR10" s="366" t="str">
        <f t="shared" si="10"/>
        <v>Met</v>
      </c>
      <c r="AU10" s="400" t="str">
        <f t="shared" si="11"/>
        <v>Did not Meet</v>
      </c>
      <c r="AX10" s="400" t="str">
        <f t="shared" si="12"/>
        <v>Did not Meet</v>
      </c>
      <c r="BA10" s="400" t="str">
        <f t="shared" si="13"/>
        <v>Did not Meet</v>
      </c>
      <c r="BD10" s="400" t="str">
        <f t="shared" si="14"/>
        <v>Did not Meet</v>
      </c>
      <c r="BF10" s="366" t="str">
        <f t="shared" si="15"/>
        <v>Met</v>
      </c>
    </row>
    <row r="11" spans="1:58">
      <c r="A11" t="s">
        <v>224</v>
      </c>
      <c r="B11" t="s">
        <v>851</v>
      </c>
      <c r="C11" s="360"/>
      <c r="D11" s="363">
        <v>0</v>
      </c>
      <c r="E11" t="s">
        <v>855</v>
      </c>
      <c r="F11" s="360"/>
      <c r="G11" s="363">
        <v>247785.02</v>
      </c>
      <c r="H11" t="s">
        <v>855</v>
      </c>
      <c r="I11" s="360"/>
      <c r="J11" s="363">
        <v>0</v>
      </c>
      <c r="K11" t="s">
        <v>855</v>
      </c>
      <c r="L11" s="360"/>
      <c r="M11" s="363">
        <v>12389.251</v>
      </c>
      <c r="N11" t="s">
        <v>834</v>
      </c>
      <c r="O11" s="360"/>
      <c r="P11" s="366" t="str">
        <f t="shared" si="16"/>
        <v>Met</v>
      </c>
      <c r="Q11" s="360"/>
      <c r="R11" s="399">
        <v>0</v>
      </c>
      <c r="S11" s="400" t="str">
        <f t="shared" si="17"/>
        <v>Did not Meet</v>
      </c>
      <c r="U11" s="399">
        <v>342618.34</v>
      </c>
      <c r="V11" s="400" t="str">
        <f t="shared" si="18"/>
        <v>Did not Meet</v>
      </c>
      <c r="X11" s="399">
        <v>0</v>
      </c>
      <c r="Y11" s="400" t="str">
        <f t="shared" si="19"/>
        <v>Did not Meet</v>
      </c>
      <c r="AA11" s="399">
        <v>18032.544210526317</v>
      </c>
      <c r="AB11" s="400" t="str">
        <f t="shared" si="20"/>
        <v>Met</v>
      </c>
      <c r="AD11" s="366" t="str">
        <f t="shared" si="0"/>
        <v>Met</v>
      </c>
      <c r="AF11" s="399">
        <v>0</v>
      </c>
      <c r="AG11" s="400" t="str">
        <f t="shared" si="21"/>
        <v>Did not Meet</v>
      </c>
      <c r="AI11" s="399">
        <v>346238.34</v>
      </c>
      <c r="AJ11" s="400" t="str">
        <f t="shared" si="22"/>
        <v>Did not Meet</v>
      </c>
      <c r="AL11" s="399">
        <f>VLOOKUP(A11,$A$5:$AF$315,32,0)/IFERROR(VLOOKUP(A11,'21-22 child count'!$A$3:$S$317,19,0),0)</f>
        <v>0</v>
      </c>
      <c r="AM11" s="400" t="str">
        <f t="shared" si="23"/>
        <v>Did not Meet</v>
      </c>
      <c r="AO11" s="399">
        <f>VLOOKUP(A11,'42. SEA or LEA Worksheet'!$A$4:$AB$318,28,0)/IFERROR(VLOOKUP('42. SEA or LEA Worksheet'!A19,'21-22 child count'!$A$3:$S$317,3,0),0)</f>
        <v>3064.0561061946905</v>
      </c>
      <c r="AP11" s="400" t="str">
        <f t="shared" si="24"/>
        <v>Did not Meet</v>
      </c>
      <c r="AR11" s="366" t="str">
        <f t="shared" si="10"/>
        <v>Met</v>
      </c>
      <c r="AU11" s="400" t="str">
        <f t="shared" si="11"/>
        <v>Did not Meet</v>
      </c>
      <c r="AX11" s="400" t="str">
        <f t="shared" si="12"/>
        <v>Did not Meet</v>
      </c>
      <c r="BA11" s="400" t="str">
        <f t="shared" si="13"/>
        <v>Did not Meet</v>
      </c>
      <c r="BD11" s="400" t="str">
        <f t="shared" si="14"/>
        <v>Did not Meet</v>
      </c>
      <c r="BF11" s="366" t="str">
        <f t="shared" si="15"/>
        <v>Met</v>
      </c>
    </row>
    <row r="12" spans="1:58">
      <c r="A12" t="s">
        <v>236</v>
      </c>
      <c r="B12" t="s">
        <v>856</v>
      </c>
      <c r="C12" s="360"/>
      <c r="D12" s="363">
        <v>0</v>
      </c>
      <c r="E12" t="s">
        <v>855</v>
      </c>
      <c r="F12" s="360"/>
      <c r="G12" s="363">
        <v>7214217.8600000003</v>
      </c>
      <c r="H12" t="s">
        <v>834</v>
      </c>
      <c r="I12" s="360"/>
      <c r="J12" s="363">
        <v>0</v>
      </c>
      <c r="K12" t="s">
        <v>855</v>
      </c>
      <c r="L12" s="360"/>
      <c r="M12" s="363">
        <v>13741.367352380954</v>
      </c>
      <c r="N12" t="s">
        <v>834</v>
      </c>
      <c r="O12" s="360"/>
      <c r="P12" s="366" t="str">
        <f t="shared" si="16"/>
        <v>Met</v>
      </c>
      <c r="Q12" s="360"/>
      <c r="R12" s="399">
        <v>0</v>
      </c>
      <c r="S12" s="400" t="str">
        <f t="shared" si="17"/>
        <v>Did not Meet</v>
      </c>
      <c r="U12" s="399">
        <v>7514100.2699999996</v>
      </c>
      <c r="V12" s="400" t="str">
        <f t="shared" si="18"/>
        <v>Met</v>
      </c>
      <c r="X12" s="399">
        <v>0</v>
      </c>
      <c r="Y12" s="400" t="str">
        <f t="shared" si="19"/>
        <v>Did not Meet</v>
      </c>
      <c r="AA12" s="399">
        <v>14850.000533596836</v>
      </c>
      <c r="AB12" s="400" t="str">
        <f t="shared" si="20"/>
        <v>Met</v>
      </c>
      <c r="AD12" s="366" t="str">
        <f t="shared" si="0"/>
        <v>Met</v>
      </c>
      <c r="AF12" s="399">
        <v>0</v>
      </c>
      <c r="AG12" s="400" t="str">
        <f t="shared" si="21"/>
        <v>Did not Meet</v>
      </c>
      <c r="AI12" s="399">
        <v>8008364.3200000003</v>
      </c>
      <c r="AJ12" s="400" t="str">
        <f t="shared" si="22"/>
        <v>Met</v>
      </c>
      <c r="AL12" s="399">
        <f>VLOOKUP(A12,$A$5:$AF$315,32,0)/IFERROR(VLOOKUP(A12,'21-22 child count'!$A$3:$S$317,19,0),0)</f>
        <v>0</v>
      </c>
      <c r="AM12" s="400" t="str">
        <f t="shared" si="23"/>
        <v>Did not Meet</v>
      </c>
      <c r="AO12" s="399">
        <f>VLOOKUP(A12,'42. SEA or LEA Worksheet'!$A$4:$AB$318,28,0)/IFERROR(VLOOKUP('42. SEA or LEA Worksheet'!A24,'21-22 child count'!$A$3:$S$317,3,0),0)</f>
        <v>40935.882222222222</v>
      </c>
      <c r="AP12" s="400" t="str">
        <f t="shared" si="24"/>
        <v>Met</v>
      </c>
      <c r="AR12" s="366" t="str">
        <f t="shared" si="10"/>
        <v>Met</v>
      </c>
      <c r="AU12" s="400" t="str">
        <f t="shared" si="11"/>
        <v>Did not Meet</v>
      </c>
      <c r="AX12" s="400" t="str">
        <f t="shared" si="12"/>
        <v>Did not Meet</v>
      </c>
      <c r="BA12" s="400" t="str">
        <f t="shared" si="13"/>
        <v>Did not Meet</v>
      </c>
      <c r="BD12" s="400" t="str">
        <f t="shared" si="14"/>
        <v>Did not Meet</v>
      </c>
      <c r="BF12" s="366" t="str">
        <f t="shared" si="15"/>
        <v>Met</v>
      </c>
    </row>
    <row r="13" spans="1:58">
      <c r="A13" t="s">
        <v>240</v>
      </c>
      <c r="B13" t="s">
        <v>858</v>
      </c>
      <c r="C13" s="360"/>
      <c r="D13" s="363">
        <v>0</v>
      </c>
      <c r="E13" t="s">
        <v>855</v>
      </c>
      <c r="F13" s="360"/>
      <c r="G13" s="363">
        <v>1314538.57</v>
      </c>
      <c r="H13" t="s">
        <v>834</v>
      </c>
      <c r="I13" s="360"/>
      <c r="J13" s="363">
        <v>0</v>
      </c>
      <c r="K13" t="s">
        <v>855</v>
      </c>
      <c r="L13" s="360"/>
      <c r="M13" s="363">
        <v>16639.728734177217</v>
      </c>
      <c r="N13" t="s">
        <v>855</v>
      </c>
      <c r="O13" s="360"/>
      <c r="P13" s="366" t="str">
        <f t="shared" si="16"/>
        <v>Met</v>
      </c>
      <c r="Q13" s="360"/>
      <c r="R13" s="399">
        <v>0</v>
      </c>
      <c r="S13" s="400" t="str">
        <f t="shared" si="17"/>
        <v>Did not Meet</v>
      </c>
      <c r="U13" s="399">
        <v>1322377.52</v>
      </c>
      <c r="V13" s="400" t="str">
        <f t="shared" si="18"/>
        <v>Met</v>
      </c>
      <c r="X13" s="399">
        <v>0</v>
      </c>
      <c r="Y13" s="400" t="str">
        <f t="shared" si="19"/>
        <v>Did not Meet</v>
      </c>
      <c r="AA13" s="399">
        <v>16953.557948717949</v>
      </c>
      <c r="AB13" s="400" t="str">
        <f t="shared" si="20"/>
        <v>Did not Meet</v>
      </c>
      <c r="AD13" s="366" t="str">
        <f t="shared" si="0"/>
        <v>Met</v>
      </c>
      <c r="AF13" s="399">
        <v>345228.24</v>
      </c>
      <c r="AG13" s="400" t="str">
        <f t="shared" si="21"/>
        <v>Did not Meet</v>
      </c>
      <c r="AI13" s="399">
        <v>1552784.33</v>
      </c>
      <c r="AJ13" s="400" t="str">
        <f t="shared" si="22"/>
        <v>Met</v>
      </c>
      <c r="AL13" s="399">
        <f>VLOOKUP(A13,$A$5:$AF$315,32,0)/IFERROR(VLOOKUP(A13,'21-22 child count'!$A$3:$S$317,19,0),0)</f>
        <v>4603.0432000000001</v>
      </c>
      <c r="AM13" s="400" t="str">
        <f t="shared" si="23"/>
        <v>Did not Meet</v>
      </c>
      <c r="AO13" s="399">
        <f>VLOOKUP(A13,'42. SEA or LEA Worksheet'!$A$4:$AB$318,28,0)/IFERROR(VLOOKUP('42. SEA or LEA Worksheet'!A26,'21-22 child count'!$A$3:$S$317,3,0),0)</f>
        <v>10592.597280701753</v>
      </c>
      <c r="AP13" s="400" t="str">
        <f t="shared" si="24"/>
        <v>Did not Meet</v>
      </c>
      <c r="AR13" s="366" t="str">
        <f t="shared" si="10"/>
        <v>Met</v>
      </c>
      <c r="AU13" s="400" t="str">
        <f t="shared" si="11"/>
        <v>Did not Meet</v>
      </c>
      <c r="AX13" s="400" t="str">
        <f t="shared" si="12"/>
        <v>Did not Meet</v>
      </c>
      <c r="BA13" s="400" t="str">
        <f t="shared" si="13"/>
        <v>Did not Meet</v>
      </c>
      <c r="BD13" s="400" t="str">
        <f t="shared" si="14"/>
        <v>Did not Meet</v>
      </c>
      <c r="BF13" s="366" t="str">
        <f t="shared" si="15"/>
        <v>Met</v>
      </c>
    </row>
    <row r="14" spans="1:58">
      <c r="A14" t="s">
        <v>247</v>
      </c>
      <c r="B14" t="s">
        <v>861</v>
      </c>
      <c r="C14" s="360"/>
      <c r="D14" s="363">
        <v>0</v>
      </c>
      <c r="E14" t="s">
        <v>855</v>
      </c>
      <c r="F14" s="360"/>
      <c r="G14" s="363">
        <v>2171219.31</v>
      </c>
      <c r="H14" t="s">
        <v>834</v>
      </c>
      <c r="I14" s="360"/>
      <c r="J14" s="363">
        <v>0</v>
      </c>
      <c r="K14" t="s">
        <v>855</v>
      </c>
      <c r="L14" s="360"/>
      <c r="M14" s="363">
        <v>10241.600518867925</v>
      </c>
      <c r="N14" t="s">
        <v>834</v>
      </c>
      <c r="O14" s="360"/>
      <c r="P14" s="366" t="str">
        <f t="shared" si="16"/>
        <v>Met</v>
      </c>
      <c r="Q14" s="360"/>
      <c r="R14" s="399">
        <v>0</v>
      </c>
      <c r="S14" s="400" t="str">
        <f t="shared" si="17"/>
        <v>Did not Meet</v>
      </c>
      <c r="U14" s="399">
        <v>2179889.6</v>
      </c>
      <c r="V14" s="400" t="str">
        <f t="shared" si="18"/>
        <v>Met</v>
      </c>
      <c r="X14" s="399">
        <v>0</v>
      </c>
      <c r="Y14" s="400" t="str">
        <f t="shared" si="19"/>
        <v>Did not Meet</v>
      </c>
      <c r="AA14" s="399">
        <v>9819.3225225225233</v>
      </c>
      <c r="AB14" s="400" t="str">
        <f t="shared" si="20"/>
        <v>Did not Meet</v>
      </c>
      <c r="AD14" s="366" t="str">
        <f t="shared" si="0"/>
        <v>Met</v>
      </c>
      <c r="AF14" s="399">
        <v>0</v>
      </c>
      <c r="AG14" s="400" t="str">
        <f t="shared" si="21"/>
        <v>Did not Meet</v>
      </c>
      <c r="AI14" s="399">
        <v>2443266.33</v>
      </c>
      <c r="AJ14" s="400" t="str">
        <f t="shared" si="22"/>
        <v>Met</v>
      </c>
      <c r="AL14" s="399">
        <f>VLOOKUP(A14,$A$5:$AF$315,32,0)/IFERROR(VLOOKUP(A14,'21-22 child count'!$A$3:$S$317,19,0),0)</f>
        <v>0</v>
      </c>
      <c r="AM14" s="400" t="str">
        <f t="shared" si="23"/>
        <v>Did not Meet</v>
      </c>
      <c r="AO14" s="399">
        <f>VLOOKUP(A14,'42. SEA or LEA Worksheet'!$A$4:$AB$318,28,0)/IFERROR(VLOOKUP('42. SEA or LEA Worksheet'!A29,'21-22 child count'!$A$3:$S$317,3,0),0)</f>
        <v>13883.603391812867</v>
      </c>
      <c r="AP14" s="400" t="str">
        <f t="shared" si="24"/>
        <v>Did not Meet</v>
      </c>
      <c r="AR14" s="366" t="str">
        <f t="shared" si="10"/>
        <v>Met</v>
      </c>
      <c r="AU14" s="400" t="str">
        <f t="shared" si="11"/>
        <v>Did not Meet</v>
      </c>
      <c r="AX14" s="400" t="str">
        <f t="shared" si="12"/>
        <v>Did not Meet</v>
      </c>
      <c r="BA14" s="400" t="str">
        <f t="shared" si="13"/>
        <v>Did not Meet</v>
      </c>
      <c r="BD14" s="400" t="str">
        <f t="shared" si="14"/>
        <v>Did not Meet</v>
      </c>
      <c r="BF14" s="366" t="str">
        <f t="shared" si="15"/>
        <v>Met</v>
      </c>
    </row>
    <row r="15" spans="1:58">
      <c r="A15" t="s">
        <v>261</v>
      </c>
      <c r="B15" t="s">
        <v>867</v>
      </c>
      <c r="C15" s="360"/>
      <c r="D15" s="363">
        <v>514840.94</v>
      </c>
      <c r="E15" t="s">
        <v>855</v>
      </c>
      <c r="F15" s="360"/>
      <c r="G15" s="363">
        <v>5192153.6300000008</v>
      </c>
      <c r="H15" t="s">
        <v>834</v>
      </c>
      <c r="I15" s="360"/>
      <c r="J15" s="363">
        <v>1037.9857661290323</v>
      </c>
      <c r="K15" t="s">
        <v>855</v>
      </c>
      <c r="L15" s="360"/>
      <c r="M15" s="363">
        <v>10468.051673387099</v>
      </c>
      <c r="N15" t="s">
        <v>855</v>
      </c>
      <c r="O15" s="360"/>
      <c r="P15" s="366" t="str">
        <f t="shared" si="16"/>
        <v>Met</v>
      </c>
      <c r="Q15" s="360"/>
      <c r="R15" s="399">
        <v>0</v>
      </c>
      <c r="S15" s="400" t="str">
        <f t="shared" si="17"/>
        <v>Did not Meet</v>
      </c>
      <c r="U15" s="399">
        <v>5832450.0899999999</v>
      </c>
      <c r="V15" s="400" t="str">
        <f t="shared" si="18"/>
        <v>Met</v>
      </c>
      <c r="X15" s="399">
        <v>0</v>
      </c>
      <c r="Y15" s="400" t="str">
        <f t="shared" si="19"/>
        <v>Did not Meet</v>
      </c>
      <c r="AA15" s="399">
        <v>13595.454755244755</v>
      </c>
      <c r="AB15" s="400" t="str">
        <f t="shared" si="20"/>
        <v>Did not Meet</v>
      </c>
      <c r="AD15" s="366" t="str">
        <f t="shared" si="0"/>
        <v>Met</v>
      </c>
      <c r="AF15" s="399">
        <v>0</v>
      </c>
      <c r="AG15" s="400" t="str">
        <f t="shared" si="21"/>
        <v>Did not Meet</v>
      </c>
      <c r="AI15" s="399">
        <v>6044725.21</v>
      </c>
      <c r="AJ15" s="400" t="str">
        <f t="shared" si="22"/>
        <v>Met</v>
      </c>
      <c r="AL15" s="399">
        <f>VLOOKUP(A15,$A$5:$AF$315,32,0)/IFERROR(VLOOKUP(A15,'21-22 child count'!$A$3:$S$317,19,0),0)</f>
        <v>0</v>
      </c>
      <c r="AM15" s="400" t="str">
        <f t="shared" si="23"/>
        <v>Did not Meet</v>
      </c>
      <c r="AO15" s="399">
        <f>VLOOKUP(A15,'42. SEA or LEA Worksheet'!$A$4:$AB$318,28,0)/IFERROR(VLOOKUP('42. SEA or LEA Worksheet'!A36,'21-22 child count'!$A$3:$S$317,3,0),0)</f>
        <v>53269.566194690269</v>
      </c>
      <c r="AP15" s="400" t="str">
        <f t="shared" si="24"/>
        <v>Did not Meet</v>
      </c>
      <c r="AR15" s="366" t="str">
        <f t="shared" si="10"/>
        <v>Met</v>
      </c>
      <c r="AU15" s="400" t="str">
        <f t="shared" si="11"/>
        <v>Did not Meet</v>
      </c>
      <c r="AX15" s="400" t="str">
        <f t="shared" si="12"/>
        <v>Did not Meet</v>
      </c>
      <c r="BA15" s="400" t="str">
        <f t="shared" si="13"/>
        <v>Did not Meet</v>
      </c>
      <c r="BD15" s="400" t="str">
        <f t="shared" si="14"/>
        <v>Did not Meet</v>
      </c>
      <c r="BF15" s="366" t="str">
        <f t="shared" si="15"/>
        <v>Met</v>
      </c>
    </row>
    <row r="16" spans="1:58">
      <c r="A16" t="s">
        <v>215</v>
      </c>
      <c r="B16" t="s">
        <v>847</v>
      </c>
      <c r="C16" s="360"/>
      <c r="D16" s="363">
        <v>0</v>
      </c>
      <c r="E16" t="s">
        <v>834</v>
      </c>
      <c r="F16" s="360"/>
      <c r="G16" s="363">
        <v>3374.5</v>
      </c>
      <c r="H16" t="s">
        <v>855</v>
      </c>
      <c r="I16" s="360"/>
      <c r="J16" s="363">
        <v>0</v>
      </c>
      <c r="K16" t="s">
        <v>834</v>
      </c>
      <c r="L16" s="360"/>
      <c r="M16" s="363">
        <v>3374.5</v>
      </c>
      <c r="N16" t="s">
        <v>855</v>
      </c>
      <c r="O16" s="360"/>
      <c r="P16" s="366" t="str">
        <f t="shared" si="16"/>
        <v>Met</v>
      </c>
      <c r="Q16" s="360"/>
      <c r="R16" s="399">
        <v>0</v>
      </c>
      <c r="S16" s="400" t="str">
        <f t="shared" si="17"/>
        <v>Met</v>
      </c>
      <c r="U16" s="399">
        <v>9299.5</v>
      </c>
      <c r="V16" s="400" t="str">
        <f t="shared" si="18"/>
        <v>Did not Meet</v>
      </c>
      <c r="X16" s="399">
        <v>0</v>
      </c>
      <c r="Y16" s="400" t="str">
        <f t="shared" si="19"/>
        <v>Met</v>
      </c>
      <c r="AA16" s="399">
        <v>9299.5</v>
      </c>
      <c r="AB16" s="400" t="str">
        <f t="shared" si="20"/>
        <v>Did not Meet</v>
      </c>
      <c r="AD16" s="366" t="str">
        <f t="shared" si="0"/>
        <v>Met</v>
      </c>
      <c r="AF16" s="399">
        <v>0</v>
      </c>
      <c r="AG16" s="400" t="str">
        <f t="shared" si="21"/>
        <v>Met</v>
      </c>
      <c r="AI16" s="399">
        <v>0</v>
      </c>
      <c r="AJ16" s="400" t="str">
        <f t="shared" si="22"/>
        <v>Did not Meet</v>
      </c>
      <c r="AL16" s="399">
        <v>0</v>
      </c>
      <c r="AM16" s="400" t="str">
        <f t="shared" si="23"/>
        <v>Met</v>
      </c>
      <c r="AO16" s="399">
        <v>0</v>
      </c>
      <c r="AP16" s="400" t="str">
        <f t="shared" si="24"/>
        <v>Did not Meet</v>
      </c>
      <c r="AR16" s="366" t="str">
        <f t="shared" si="10"/>
        <v>Met</v>
      </c>
      <c r="AU16" s="400" t="str">
        <f t="shared" si="11"/>
        <v>Met</v>
      </c>
      <c r="AX16" s="400" t="str">
        <f t="shared" si="12"/>
        <v>Did not Meet</v>
      </c>
      <c r="BA16" s="400" t="str">
        <f t="shared" si="13"/>
        <v>Met</v>
      </c>
      <c r="BD16" s="400" t="str">
        <f t="shared" si="14"/>
        <v>Did not Meet</v>
      </c>
      <c r="BF16" s="366" t="str">
        <f t="shared" si="15"/>
        <v>Met</v>
      </c>
    </row>
    <row r="17" spans="1:58 1606:16384">
      <c r="A17" t="s">
        <v>267</v>
      </c>
      <c r="B17" t="s">
        <v>870</v>
      </c>
      <c r="C17" s="360"/>
      <c r="D17" s="363">
        <v>5510</v>
      </c>
      <c r="E17" t="s">
        <v>855</v>
      </c>
      <c r="F17" s="360"/>
      <c r="G17" s="363">
        <v>1612287.12</v>
      </c>
      <c r="H17" t="s">
        <v>834</v>
      </c>
      <c r="I17" s="360"/>
      <c r="J17" s="363">
        <v>38.802816901408448</v>
      </c>
      <c r="K17" t="s">
        <v>855</v>
      </c>
      <c r="L17" s="360"/>
      <c r="M17" s="363">
        <v>11354.134647887326</v>
      </c>
      <c r="N17" t="s">
        <v>834</v>
      </c>
      <c r="O17" s="360"/>
      <c r="P17" s="366" t="str">
        <f t="shared" si="16"/>
        <v>Met</v>
      </c>
      <c r="Q17" s="360"/>
      <c r="R17" s="399">
        <v>0</v>
      </c>
      <c r="S17" s="400" t="str">
        <f t="shared" si="17"/>
        <v>Did not Meet</v>
      </c>
      <c r="U17" s="399">
        <v>1669871.83</v>
      </c>
      <c r="V17" s="400" t="str">
        <f t="shared" si="18"/>
        <v>Met</v>
      </c>
      <c r="X17" s="399">
        <v>0</v>
      </c>
      <c r="Y17" s="400" t="str">
        <f t="shared" si="19"/>
        <v>Did not Meet</v>
      </c>
      <c r="AA17" s="399">
        <v>12555.427293233084</v>
      </c>
      <c r="AB17" s="400" t="str">
        <f t="shared" si="20"/>
        <v>Met</v>
      </c>
      <c r="AD17" s="366" t="str">
        <f t="shared" si="0"/>
        <v>Met</v>
      </c>
      <c r="AF17" s="399">
        <v>6800</v>
      </c>
      <c r="AG17" s="400" t="str">
        <f t="shared" si="21"/>
        <v>Did not Meet</v>
      </c>
      <c r="AI17" s="399">
        <v>1775348.19</v>
      </c>
      <c r="AJ17" s="400" t="str">
        <f t="shared" si="22"/>
        <v>Met</v>
      </c>
      <c r="AL17" s="399">
        <f>VLOOKUP(A17,$A$5:$AF$315,32,0)/IFERROR(VLOOKUP(A17,'21-22 child count'!$A$3:$S$317,19,0),0)</f>
        <v>57.142857142857146</v>
      </c>
      <c r="AM17" s="400" t="str">
        <f t="shared" si="23"/>
        <v>Did not Meet</v>
      </c>
      <c r="AO17" s="399">
        <f>VLOOKUP(A17,'42. SEA or LEA Worksheet'!$A$4:$AB$318,28,0)/IFERROR(VLOOKUP('42. SEA or LEA Worksheet'!A39,'21-22 child count'!$A$3:$S$317,3,0),0)</f>
        <v>15031.091666666667</v>
      </c>
      <c r="AP17" s="400" t="str">
        <f t="shared" si="24"/>
        <v>Met</v>
      </c>
      <c r="AR17" s="366" t="str">
        <f t="shared" si="10"/>
        <v>Met</v>
      </c>
      <c r="AU17" s="400" t="str">
        <f t="shared" si="11"/>
        <v>Did not Meet</v>
      </c>
      <c r="AX17" s="400" t="str">
        <f t="shared" si="12"/>
        <v>Did not Meet</v>
      </c>
      <c r="BA17" s="400" t="str">
        <f t="shared" si="13"/>
        <v>Did not Meet</v>
      </c>
      <c r="BD17" s="400" t="str">
        <f t="shared" si="14"/>
        <v>Did not Meet</v>
      </c>
      <c r="BF17" s="366" t="str">
        <f t="shared" si="15"/>
        <v>Met</v>
      </c>
    </row>
    <row r="18" spans="1:58 1606:16384">
      <c r="A18" t="s">
        <v>219</v>
      </c>
      <c r="B18" t="s">
        <v>849</v>
      </c>
      <c r="C18" s="360"/>
      <c r="D18" s="363">
        <v>0</v>
      </c>
      <c r="E18" t="s">
        <v>834</v>
      </c>
      <c r="F18" s="360"/>
      <c r="G18" s="363">
        <v>124561.15</v>
      </c>
      <c r="H18" t="s">
        <v>834</v>
      </c>
      <c r="I18" s="360"/>
      <c r="J18" s="363">
        <v>0</v>
      </c>
      <c r="K18" t="s">
        <v>834</v>
      </c>
      <c r="L18" s="360"/>
      <c r="M18" s="363">
        <v>7785.0718749999996</v>
      </c>
      <c r="N18" t="s">
        <v>855</v>
      </c>
      <c r="O18" s="360"/>
      <c r="P18" s="366" t="str">
        <f t="shared" si="16"/>
        <v>Met</v>
      </c>
      <c r="Q18" s="360"/>
      <c r="R18" s="399">
        <v>0</v>
      </c>
      <c r="S18" s="400" t="str">
        <f t="shared" si="17"/>
        <v>Met</v>
      </c>
      <c r="U18" s="399">
        <v>178889.17</v>
      </c>
      <c r="V18" s="400" t="str">
        <f t="shared" si="18"/>
        <v>Met</v>
      </c>
      <c r="X18" s="399">
        <v>0</v>
      </c>
      <c r="Y18" s="400" t="str">
        <f t="shared" si="19"/>
        <v>Met</v>
      </c>
      <c r="AA18" s="399">
        <v>9938.2872222222231</v>
      </c>
      <c r="AB18" s="400" t="str">
        <f t="shared" si="20"/>
        <v>Did not Meet</v>
      </c>
      <c r="AD18" s="366" t="str">
        <f t="shared" si="0"/>
        <v>Met</v>
      </c>
      <c r="AF18" s="399">
        <v>0</v>
      </c>
      <c r="AG18" s="400" t="str">
        <f t="shared" si="21"/>
        <v>Met</v>
      </c>
      <c r="AI18" s="399">
        <v>175546.63</v>
      </c>
      <c r="AJ18" s="400" t="str">
        <f t="shared" si="22"/>
        <v>Did not Meet</v>
      </c>
      <c r="AL18" s="399">
        <f>VLOOKUP(A18,$A$5:$AF$315,32,0)/IFERROR(VLOOKUP(A18,'21-22 child count'!$A$3:$S$317,19,0),0)</f>
        <v>0</v>
      </c>
      <c r="AM18" s="400" t="str">
        <f t="shared" si="23"/>
        <v>Met</v>
      </c>
      <c r="AO18" s="399">
        <f>VLOOKUP(A18,'42. SEA or LEA Worksheet'!$A$4:$AB$318,28,0)/IFERROR(VLOOKUP('42. SEA or LEA Worksheet'!A17,'21-22 child count'!$A$3:$S$317,3,0),0)</f>
        <v>1671.8726666666666</v>
      </c>
      <c r="AP18" s="400" t="str">
        <f t="shared" si="24"/>
        <v>Did not Meet</v>
      </c>
      <c r="AR18" s="366" t="str">
        <f t="shared" si="10"/>
        <v>Met</v>
      </c>
      <c r="AU18" s="400" t="str">
        <f t="shared" si="11"/>
        <v>Met</v>
      </c>
      <c r="AX18" s="400" t="str">
        <f t="shared" si="12"/>
        <v>Did not Meet</v>
      </c>
      <c r="BA18" s="400" t="str">
        <f t="shared" si="13"/>
        <v>Met</v>
      </c>
      <c r="BD18" s="400" t="str">
        <f t="shared" si="14"/>
        <v>Did not Meet</v>
      </c>
      <c r="BF18" s="366" t="str">
        <f t="shared" si="15"/>
        <v>Met</v>
      </c>
    </row>
    <row r="19" spans="1:58 1606:16384">
      <c r="A19" t="s">
        <v>269</v>
      </c>
      <c r="B19" t="s">
        <v>871</v>
      </c>
      <c r="C19" s="360"/>
      <c r="D19" s="363">
        <v>0</v>
      </c>
      <c r="E19" t="s">
        <v>855</v>
      </c>
      <c r="F19" s="360"/>
      <c r="G19" s="363">
        <v>3851114.14</v>
      </c>
      <c r="H19" t="s">
        <v>834</v>
      </c>
      <c r="I19" s="360"/>
      <c r="J19" s="363">
        <v>0</v>
      </c>
      <c r="K19" t="s">
        <v>855</v>
      </c>
      <c r="L19" s="360"/>
      <c r="M19" s="363">
        <v>8894.0280369515021</v>
      </c>
      <c r="N19" t="s">
        <v>855</v>
      </c>
      <c r="O19" s="360"/>
      <c r="P19" s="366" t="str">
        <f t="shared" si="16"/>
        <v>Met</v>
      </c>
      <c r="Q19" s="360"/>
      <c r="R19" s="399">
        <v>0</v>
      </c>
      <c r="S19" s="400" t="str">
        <f t="shared" si="17"/>
        <v>Did not Meet</v>
      </c>
      <c r="U19" s="399">
        <v>3732380.28</v>
      </c>
      <c r="V19" s="400" t="str">
        <f t="shared" si="18"/>
        <v>Met</v>
      </c>
      <c r="X19" s="399">
        <v>0</v>
      </c>
      <c r="Y19" s="400" t="str">
        <f t="shared" si="19"/>
        <v>Did not Meet</v>
      </c>
      <c r="AA19" s="399">
        <v>9147.9908823529404</v>
      </c>
      <c r="AB19" s="400" t="str">
        <f t="shared" si="20"/>
        <v>Did not Meet</v>
      </c>
      <c r="AD19" s="366" t="str">
        <f t="shared" si="0"/>
        <v>Met</v>
      </c>
      <c r="AF19" s="399">
        <v>0</v>
      </c>
      <c r="AG19" s="400" t="str">
        <f t="shared" si="21"/>
        <v>Did not Meet</v>
      </c>
      <c r="AI19" s="399">
        <v>3950554.4</v>
      </c>
      <c r="AJ19" s="400" t="str">
        <f t="shared" si="22"/>
        <v>Met</v>
      </c>
      <c r="AL19" s="399">
        <f>VLOOKUP(A19,$A$5:$AF$315,32,0)/IFERROR(VLOOKUP(A19,'21-22 child count'!$A$3:$S$317,19,0),0)</f>
        <v>0</v>
      </c>
      <c r="AM19" s="400" t="str">
        <f t="shared" si="23"/>
        <v>Did not Meet</v>
      </c>
      <c r="AO19" s="399">
        <f>VLOOKUP(A19,'42. SEA or LEA Worksheet'!$A$4:$AB$318,28,0)/IFERROR(VLOOKUP('42. SEA or LEA Worksheet'!A40,'21-22 child count'!$A$3:$S$317,3,0),0)</f>
        <v>32118.328455284551</v>
      </c>
      <c r="AP19" s="400" t="str">
        <f t="shared" si="24"/>
        <v>Did not Meet</v>
      </c>
      <c r="AR19" s="366" t="str">
        <f t="shared" si="10"/>
        <v>Met</v>
      </c>
      <c r="AU19" s="400" t="str">
        <f t="shared" si="11"/>
        <v>Did not Meet</v>
      </c>
      <c r="AX19" s="400" t="str">
        <f t="shared" si="12"/>
        <v>Did not Meet</v>
      </c>
      <c r="BA19" s="400" t="str">
        <f t="shared" si="13"/>
        <v>Did not Meet</v>
      </c>
      <c r="BD19" s="400" t="str">
        <f t="shared" si="14"/>
        <v>Did not Meet</v>
      </c>
      <c r="BF19" s="366" t="str">
        <f t="shared" si="15"/>
        <v>Met</v>
      </c>
    </row>
    <row r="20" spans="1:58 1606:16384">
      <c r="A20" t="s">
        <v>271</v>
      </c>
      <c r="B20" t="s">
        <v>872</v>
      </c>
      <c r="C20" s="360"/>
      <c r="D20" s="363">
        <v>0</v>
      </c>
      <c r="E20" t="s">
        <v>855</v>
      </c>
      <c r="F20" s="360"/>
      <c r="G20" s="363">
        <v>1285558.71</v>
      </c>
      <c r="H20" t="s">
        <v>834</v>
      </c>
      <c r="I20" s="360"/>
      <c r="J20" s="363">
        <v>0</v>
      </c>
      <c r="K20" t="s">
        <v>855</v>
      </c>
      <c r="L20" s="360"/>
      <c r="M20" s="363">
        <v>9593.721716417911</v>
      </c>
      <c r="N20" t="s">
        <v>855</v>
      </c>
      <c r="O20" s="360"/>
      <c r="P20" s="366" t="str">
        <f t="shared" si="16"/>
        <v>Met</v>
      </c>
      <c r="Q20" s="360"/>
      <c r="R20" s="399">
        <v>0</v>
      </c>
      <c r="S20" s="400" t="str">
        <f t="shared" si="17"/>
        <v>Did not Meet</v>
      </c>
      <c r="U20" s="399">
        <v>1234362.19</v>
      </c>
      <c r="V20" s="400" t="str">
        <f t="shared" si="18"/>
        <v>Met</v>
      </c>
      <c r="X20" s="399">
        <v>0</v>
      </c>
      <c r="Y20" s="400" t="str">
        <f t="shared" si="19"/>
        <v>Did not Meet</v>
      </c>
      <c r="AA20" s="399">
        <v>9143.4236296296294</v>
      </c>
      <c r="AB20" s="400" t="str">
        <f t="shared" si="20"/>
        <v>Did not Meet</v>
      </c>
      <c r="AD20" s="366" t="str">
        <f t="shared" si="0"/>
        <v>Met</v>
      </c>
      <c r="AF20" s="399">
        <v>0</v>
      </c>
      <c r="AG20" s="400" t="str">
        <f t="shared" si="21"/>
        <v>Did not Meet</v>
      </c>
      <c r="AI20" s="399">
        <v>1298170.51</v>
      </c>
      <c r="AJ20" s="400" t="str">
        <f t="shared" si="22"/>
        <v>Met</v>
      </c>
      <c r="AL20" s="399">
        <f>VLOOKUP(A20,$A$5:$AF$315,32,0)/IFERROR(VLOOKUP(A20,'21-22 child count'!$A$3:$S$317,19,0),0)</f>
        <v>0</v>
      </c>
      <c r="AM20" s="400" t="str">
        <f t="shared" si="23"/>
        <v>Did not Meet</v>
      </c>
      <c r="AO20" s="399">
        <f>VLOOKUP(A20,'42. SEA or LEA Worksheet'!$A$4:$AB$318,28,0)/IFERROR(VLOOKUP('42. SEA or LEA Worksheet'!A41,'21-22 child count'!$A$3:$S$317,3,0),0)</f>
        <v>12363.528666666667</v>
      </c>
      <c r="AP20" s="400" t="str">
        <f t="shared" si="24"/>
        <v>Did not Meet</v>
      </c>
      <c r="AR20" s="366" t="str">
        <f t="shared" si="10"/>
        <v>Met</v>
      </c>
      <c r="AU20" s="400" t="str">
        <f t="shared" si="11"/>
        <v>Did not Meet</v>
      </c>
      <c r="AX20" s="400" t="str">
        <f t="shared" si="12"/>
        <v>Did not Meet</v>
      </c>
      <c r="BA20" s="400" t="str">
        <f t="shared" si="13"/>
        <v>Did not Meet</v>
      </c>
      <c r="BD20" s="400" t="str">
        <f t="shared" si="14"/>
        <v>Did not Meet</v>
      </c>
      <c r="BF20" s="366" t="str">
        <f t="shared" si="15"/>
        <v>Met</v>
      </c>
    </row>
    <row r="21" spans="1:58 1606:16384">
      <c r="A21" t="s">
        <v>285</v>
      </c>
      <c r="B21" t="s">
        <v>1136</v>
      </c>
      <c r="C21" s="360"/>
      <c r="D21" s="363">
        <v>0</v>
      </c>
      <c r="E21" t="s">
        <v>855</v>
      </c>
      <c r="F21" s="360"/>
      <c r="G21" s="363">
        <v>2758468.5</v>
      </c>
      <c r="H21" t="s">
        <v>834</v>
      </c>
      <c r="I21" s="360"/>
      <c r="J21" s="363">
        <v>0</v>
      </c>
      <c r="K21" t="s">
        <v>855</v>
      </c>
      <c r="L21" s="360"/>
      <c r="M21" s="363">
        <v>10030.794545454546</v>
      </c>
      <c r="N21" t="s">
        <v>834</v>
      </c>
      <c r="O21" s="360"/>
      <c r="P21" s="366" t="str">
        <f t="shared" si="16"/>
        <v>Met</v>
      </c>
      <c r="Q21" s="360"/>
      <c r="R21" s="399">
        <v>0</v>
      </c>
      <c r="S21" s="400" t="str">
        <f t="shared" si="17"/>
        <v>Did not Meet</v>
      </c>
      <c r="U21" s="399">
        <v>2630266.7999999998</v>
      </c>
      <c r="V21" s="400" t="str">
        <f t="shared" si="18"/>
        <v>Met</v>
      </c>
      <c r="X21" s="399">
        <v>0</v>
      </c>
      <c r="Y21" s="400" t="str">
        <f t="shared" si="19"/>
        <v>Did not Meet</v>
      </c>
      <c r="AA21" s="399">
        <v>10605.914516129031</v>
      </c>
      <c r="AB21" s="400" t="str">
        <f t="shared" si="20"/>
        <v>Met</v>
      </c>
      <c r="AD21" s="366" t="str">
        <f t="shared" si="0"/>
        <v>Met</v>
      </c>
      <c r="AF21" s="399">
        <v>0</v>
      </c>
      <c r="AG21" s="400" t="str">
        <f t="shared" si="21"/>
        <v>Did not Meet</v>
      </c>
      <c r="AI21" s="399">
        <v>2400556.1800000002</v>
      </c>
      <c r="AJ21" s="400" t="str">
        <f t="shared" si="22"/>
        <v>Did not Meet</v>
      </c>
      <c r="AL21" s="399">
        <f>VLOOKUP(A21,$A$5:$AF$315,32,0)/IFERROR(VLOOKUP(A21,'21-22 child count'!$A$3:$S$317,19,0),0)</f>
        <v>0</v>
      </c>
      <c r="AM21" s="400" t="str">
        <f t="shared" si="23"/>
        <v>Did not Meet</v>
      </c>
      <c r="AO21" s="399">
        <f>VLOOKUP(A21,'42. SEA or LEA Worksheet'!$A$4:$AB$318,28,0)/IFERROR(VLOOKUP('42. SEA or LEA Worksheet'!A48,'21-22 child count'!$A$3:$S$317,3,0),0)</f>
        <v>23767.882970297032</v>
      </c>
      <c r="AP21" s="400" t="str">
        <f t="shared" si="24"/>
        <v>Met</v>
      </c>
      <c r="AR21" s="366" t="str">
        <f t="shared" si="10"/>
        <v>Met</v>
      </c>
      <c r="AU21" s="400" t="str">
        <f t="shared" si="11"/>
        <v>Did not Meet</v>
      </c>
      <c r="AX21" s="400" t="str">
        <f t="shared" si="12"/>
        <v>Did not Meet</v>
      </c>
      <c r="BA21" s="400" t="str">
        <f t="shared" si="13"/>
        <v>Did not Meet</v>
      </c>
      <c r="BD21" s="400" t="str">
        <f t="shared" si="14"/>
        <v>Did not Meet</v>
      </c>
      <c r="BF21" s="366" t="str">
        <f t="shared" si="15"/>
        <v>Met</v>
      </c>
    </row>
    <row r="22" spans="1:58 1606:16384">
      <c r="A22" t="s">
        <v>289</v>
      </c>
      <c r="B22" t="s">
        <v>881</v>
      </c>
      <c r="C22" s="360"/>
      <c r="D22" s="363">
        <v>0</v>
      </c>
      <c r="E22" t="s">
        <v>855</v>
      </c>
      <c r="F22" s="360"/>
      <c r="G22" s="363">
        <v>724062.57</v>
      </c>
      <c r="H22" t="s">
        <v>834</v>
      </c>
      <c r="I22" s="360"/>
      <c r="J22" s="363">
        <v>0</v>
      </c>
      <c r="K22" t="s">
        <v>855</v>
      </c>
      <c r="L22" s="360"/>
      <c r="M22" s="363">
        <v>14776.787142857142</v>
      </c>
      <c r="N22" t="s">
        <v>855</v>
      </c>
      <c r="O22" s="360"/>
      <c r="P22" s="366" t="str">
        <f t="shared" si="16"/>
        <v>Met</v>
      </c>
      <c r="Q22" s="360"/>
      <c r="R22" s="399">
        <v>0</v>
      </c>
      <c r="S22" s="400" t="str">
        <f t="shared" si="17"/>
        <v>Did not Meet</v>
      </c>
      <c r="U22" s="399">
        <v>636065.31999999995</v>
      </c>
      <c r="V22" s="400" t="str">
        <f t="shared" si="18"/>
        <v>Met</v>
      </c>
      <c r="X22" s="399">
        <v>0</v>
      </c>
      <c r="Y22" s="400" t="str">
        <f t="shared" si="19"/>
        <v>Did not Meet</v>
      </c>
      <c r="AA22" s="399">
        <v>13827.506956521738</v>
      </c>
      <c r="AB22" s="400" t="str">
        <f t="shared" si="20"/>
        <v>Did not Meet</v>
      </c>
      <c r="AD22" s="366" t="str">
        <f t="shared" si="0"/>
        <v>Met</v>
      </c>
      <c r="AF22" s="399">
        <v>0</v>
      </c>
      <c r="AG22" s="400" t="str">
        <f t="shared" si="21"/>
        <v>Did not Meet</v>
      </c>
      <c r="AI22" s="399">
        <v>646881.6</v>
      </c>
      <c r="AJ22" s="400" t="str">
        <f t="shared" si="22"/>
        <v>Met</v>
      </c>
      <c r="AL22" s="399">
        <f>VLOOKUP(A22,$A$5:$AF$315,32,0)/IFERROR(VLOOKUP(A22,'21-22 child count'!$A$3:$S$317,19,0),0)</f>
        <v>0</v>
      </c>
      <c r="AM22" s="400" t="str">
        <f t="shared" si="23"/>
        <v>Did not Meet</v>
      </c>
      <c r="AO22" s="399">
        <f>VLOOKUP(A22,'42. SEA or LEA Worksheet'!$A$4:$AB$318,28,0)/IFERROR(VLOOKUP('42. SEA or LEA Worksheet'!A50,'21-22 child count'!$A$3:$S$317,3,0),0)</f>
        <v>3356.4700529100528</v>
      </c>
      <c r="AP22" s="400" t="str">
        <f t="shared" si="24"/>
        <v>Did not Meet</v>
      </c>
      <c r="AR22" s="366" t="str">
        <f t="shared" si="10"/>
        <v>Met</v>
      </c>
      <c r="AU22" s="400" t="str">
        <f t="shared" si="11"/>
        <v>Did not Meet</v>
      </c>
      <c r="AX22" s="400" t="str">
        <f t="shared" si="12"/>
        <v>Did not Meet</v>
      </c>
      <c r="BA22" s="400" t="str">
        <f t="shared" si="13"/>
        <v>Did not Meet</v>
      </c>
      <c r="BD22" s="400" t="str">
        <f t="shared" si="14"/>
        <v>Did not Meet</v>
      </c>
      <c r="BF22" s="366" t="str">
        <f t="shared" si="15"/>
        <v>Met</v>
      </c>
    </row>
    <row r="23" spans="1:58 1606:16384">
      <c r="A23" t="s">
        <v>293</v>
      </c>
      <c r="B23" t="s">
        <v>883</v>
      </c>
      <c r="C23" s="360"/>
      <c r="D23" s="363">
        <v>0</v>
      </c>
      <c r="E23" t="s">
        <v>855</v>
      </c>
      <c r="F23" s="360"/>
      <c r="G23" s="363">
        <v>238921.44</v>
      </c>
      <c r="H23" t="s">
        <v>834</v>
      </c>
      <c r="I23" s="360"/>
      <c r="J23" s="363">
        <v>0</v>
      </c>
      <c r="K23" t="s">
        <v>855</v>
      </c>
      <c r="L23" s="360"/>
      <c r="M23" s="363">
        <v>12574.812631578947</v>
      </c>
      <c r="N23" t="s">
        <v>834</v>
      </c>
      <c r="O23" s="360"/>
      <c r="P23" s="366" t="str">
        <f t="shared" si="16"/>
        <v>Met</v>
      </c>
      <c r="Q23" s="360"/>
      <c r="R23" s="399">
        <v>0</v>
      </c>
      <c r="S23" s="400" t="str">
        <f t="shared" si="17"/>
        <v>Did not Meet</v>
      </c>
      <c r="U23" s="399">
        <v>212134.08</v>
      </c>
      <c r="V23" s="400" t="str">
        <f t="shared" si="18"/>
        <v>Met</v>
      </c>
      <c r="X23" s="399">
        <v>0</v>
      </c>
      <c r="Y23" s="400" t="str">
        <f t="shared" si="19"/>
        <v>Did not Meet</v>
      </c>
      <c r="AA23" s="399">
        <v>12478.475294117647</v>
      </c>
      <c r="AB23" s="400" t="str">
        <f t="shared" si="20"/>
        <v>Did not Meet</v>
      </c>
      <c r="AD23" s="366" t="str">
        <f t="shared" si="0"/>
        <v>Met</v>
      </c>
      <c r="AF23" s="399">
        <v>0</v>
      </c>
      <c r="AG23" s="400" t="str">
        <f t="shared" si="21"/>
        <v>Did not Meet</v>
      </c>
      <c r="AI23" s="399">
        <v>248721.61</v>
      </c>
      <c r="AJ23" s="400" t="str">
        <f t="shared" si="22"/>
        <v>Met</v>
      </c>
      <c r="AL23" s="399">
        <f>VLOOKUP(A23,$A$5:$AF$315,32,0)/IFERROR(VLOOKUP(A23,'21-22 child count'!$A$3:$S$317,19,0),0)</f>
        <v>0</v>
      </c>
      <c r="AM23" s="400" t="str">
        <f t="shared" si="23"/>
        <v>Did not Meet</v>
      </c>
      <c r="AO23" s="399">
        <f>VLOOKUP(A23,'42. SEA or LEA Worksheet'!$A$4:$AB$318,28,0)/IFERROR(VLOOKUP('42. SEA or LEA Worksheet'!A52,'21-22 child count'!$A$3:$S$317,3,0),0)</f>
        <v>1454.5123391812865</v>
      </c>
      <c r="AP23" s="400" t="str">
        <f t="shared" si="24"/>
        <v>Did not Meet</v>
      </c>
      <c r="AR23" s="366" t="str">
        <f t="shared" si="10"/>
        <v>Met</v>
      </c>
      <c r="AU23" s="400" t="str">
        <f t="shared" si="11"/>
        <v>Did not Meet</v>
      </c>
      <c r="AX23" s="400" t="str">
        <f t="shared" si="12"/>
        <v>Did not Meet</v>
      </c>
      <c r="BA23" s="400" t="str">
        <f t="shared" si="13"/>
        <v>Did not Meet</v>
      </c>
      <c r="BD23" s="400" t="str">
        <f t="shared" si="14"/>
        <v>Did not Meet</v>
      </c>
      <c r="BF23" s="366" t="str">
        <f t="shared" si="15"/>
        <v>Met</v>
      </c>
    </row>
    <row r="24" spans="1:58 1606:16384">
      <c r="A24" t="s">
        <v>295</v>
      </c>
      <c r="B24" t="s">
        <v>884</v>
      </c>
      <c r="C24" s="360"/>
      <c r="D24" s="363">
        <v>10806.52</v>
      </c>
      <c r="E24" t="s">
        <v>834</v>
      </c>
      <c r="F24" s="360"/>
      <c r="G24" s="363">
        <v>1795804.18</v>
      </c>
      <c r="H24" t="s">
        <v>834</v>
      </c>
      <c r="I24" s="360"/>
      <c r="J24" s="363">
        <v>67.121242236024841</v>
      </c>
      <c r="K24" t="s">
        <v>834</v>
      </c>
      <c r="L24" s="360"/>
      <c r="M24" s="363">
        <v>11154.063229813664</v>
      </c>
      <c r="N24" t="s">
        <v>855</v>
      </c>
      <c r="O24" s="360"/>
      <c r="P24" s="366" t="str">
        <f t="shared" si="16"/>
        <v>Met</v>
      </c>
      <c r="Q24" s="360"/>
      <c r="R24" s="399">
        <v>0</v>
      </c>
      <c r="S24" s="400" t="str">
        <f t="shared" si="17"/>
        <v>Did not Meet</v>
      </c>
      <c r="U24" s="399">
        <v>1920186.98</v>
      </c>
      <c r="V24" s="400" t="str">
        <f t="shared" si="18"/>
        <v>Met</v>
      </c>
      <c r="X24" s="399">
        <v>0</v>
      </c>
      <c r="Y24" s="400" t="str">
        <f t="shared" si="19"/>
        <v>Did not Meet</v>
      </c>
      <c r="AA24" s="399">
        <v>13062.496462585033</v>
      </c>
      <c r="AB24" s="400" t="str">
        <f t="shared" si="20"/>
        <v>Did not Meet</v>
      </c>
      <c r="AD24" s="366" t="str">
        <f t="shared" si="0"/>
        <v>Met</v>
      </c>
      <c r="AF24" s="399">
        <v>0</v>
      </c>
      <c r="AG24" s="400" t="str">
        <f t="shared" si="21"/>
        <v>Did not Meet</v>
      </c>
      <c r="AI24" s="399">
        <v>2272115.48</v>
      </c>
      <c r="AJ24" s="400" t="str">
        <f t="shared" si="22"/>
        <v>Met</v>
      </c>
      <c r="AL24" s="399">
        <f>VLOOKUP(A24,$A$5:$AF$315,32,0)/IFERROR(VLOOKUP(A24,'21-22 child count'!$A$3:$S$317,19,0),0)</f>
        <v>0</v>
      </c>
      <c r="AM24" s="400" t="str">
        <f t="shared" si="23"/>
        <v>Did not Meet</v>
      </c>
      <c r="AO24" s="399">
        <f>VLOOKUP(A24,'42. SEA or LEA Worksheet'!$A$4:$AB$318,28,0)/IFERROR(VLOOKUP('42. SEA or LEA Worksheet'!A53,'21-22 child count'!$A$3:$S$317,3,0),0)</f>
        <v>11941.269947089948</v>
      </c>
      <c r="AP24" s="400" t="str">
        <f t="shared" si="24"/>
        <v>Did not Meet</v>
      </c>
      <c r="AR24" s="366" t="str">
        <f t="shared" si="10"/>
        <v>Met</v>
      </c>
      <c r="AU24" s="400" t="str">
        <f t="shared" si="11"/>
        <v>Did not Meet</v>
      </c>
      <c r="AX24" s="400" t="str">
        <f t="shared" si="12"/>
        <v>Did not Meet</v>
      </c>
      <c r="BA24" s="400" t="str">
        <f t="shared" si="13"/>
        <v>Did not Meet</v>
      </c>
      <c r="BD24" s="400" t="str">
        <f t="shared" si="14"/>
        <v>Did not Meet</v>
      </c>
      <c r="BF24" s="366" t="str">
        <f t="shared" si="15"/>
        <v>Met</v>
      </c>
    </row>
    <row r="25" spans="1:58 1606:16384">
      <c r="A25" t="s">
        <v>301</v>
      </c>
      <c r="B25" t="s">
        <v>887</v>
      </c>
      <c r="C25" s="360"/>
      <c r="D25" s="363">
        <v>0</v>
      </c>
      <c r="E25" t="s">
        <v>855</v>
      </c>
      <c r="F25" s="360"/>
      <c r="G25" s="363">
        <v>257235</v>
      </c>
      <c r="H25" t="s">
        <v>834</v>
      </c>
      <c r="I25" s="360"/>
      <c r="J25" s="363">
        <v>0</v>
      </c>
      <c r="K25" t="s">
        <v>855</v>
      </c>
      <c r="L25" s="360"/>
      <c r="M25" s="363">
        <v>11692.5</v>
      </c>
      <c r="N25" t="s">
        <v>834</v>
      </c>
      <c r="O25" s="360"/>
      <c r="P25" s="366" t="str">
        <f t="shared" si="16"/>
        <v>Met</v>
      </c>
      <c r="Q25" s="360"/>
      <c r="R25" s="399">
        <v>0</v>
      </c>
      <c r="S25" s="400" t="str">
        <f t="shared" si="17"/>
        <v>Did not Meet</v>
      </c>
      <c r="U25" s="399">
        <v>289855.90999999997</v>
      </c>
      <c r="V25" s="400" t="str">
        <f t="shared" si="18"/>
        <v>Met</v>
      </c>
      <c r="X25" s="399">
        <v>0</v>
      </c>
      <c r="Y25" s="400" t="str">
        <f t="shared" si="19"/>
        <v>Did not Meet</v>
      </c>
      <c r="AA25" s="399">
        <v>11148.30423076923</v>
      </c>
      <c r="AB25" s="400" t="str">
        <f t="shared" si="20"/>
        <v>Did not Meet</v>
      </c>
      <c r="AD25" s="366" t="str">
        <f t="shared" si="0"/>
        <v>Met</v>
      </c>
      <c r="AF25" s="399">
        <v>0</v>
      </c>
      <c r="AG25" s="400" t="str">
        <f t="shared" si="21"/>
        <v>Did not Meet</v>
      </c>
      <c r="AI25" s="399">
        <v>255586.86</v>
      </c>
      <c r="AJ25" s="400" t="str">
        <f t="shared" si="22"/>
        <v>Did not Meet</v>
      </c>
      <c r="AL25" s="399">
        <f>VLOOKUP(A25,$A$5:$AF$315,32,0)/IFERROR(VLOOKUP(A25,'21-22 child count'!$A$3:$S$317,19,0),0)</f>
        <v>0</v>
      </c>
      <c r="AM25" s="400" t="str">
        <f t="shared" si="23"/>
        <v>Did not Meet</v>
      </c>
      <c r="AO25" s="399">
        <f>VLOOKUP(A25,'42. SEA or LEA Worksheet'!$A$4:$AB$318,28,0)/IFERROR(VLOOKUP('42. SEA or LEA Worksheet'!A56,'21-22 child count'!$A$3:$S$317,3,0),0)</f>
        <v>2530.5629702970296</v>
      </c>
      <c r="AP25" s="400" t="str">
        <f t="shared" si="24"/>
        <v>Did not Meet</v>
      </c>
      <c r="AR25" s="366" t="str">
        <f t="shared" si="10"/>
        <v>Met</v>
      </c>
      <c r="AU25" s="400" t="str">
        <f t="shared" si="11"/>
        <v>Did not Meet</v>
      </c>
      <c r="AX25" s="400" t="str">
        <f t="shared" si="12"/>
        <v>Did not Meet</v>
      </c>
      <c r="BA25" s="400" t="str">
        <f t="shared" si="13"/>
        <v>Did not Meet</v>
      </c>
      <c r="BD25" s="400" t="str">
        <f t="shared" si="14"/>
        <v>Did not Meet</v>
      </c>
      <c r="BF25" s="366" t="str">
        <f t="shared" si="15"/>
        <v>Met</v>
      </c>
    </row>
    <row r="26" spans="1:58 1606:16384">
      <c r="A26" t="s">
        <v>303</v>
      </c>
      <c r="B26" t="s">
        <v>888</v>
      </c>
      <c r="C26" s="360"/>
      <c r="D26" s="363">
        <v>1000</v>
      </c>
      <c r="E26" t="s">
        <v>889</v>
      </c>
      <c r="F26" s="360"/>
      <c r="G26" s="363">
        <v>315248.36</v>
      </c>
      <c r="H26" t="s">
        <v>879</v>
      </c>
      <c r="I26" s="360"/>
      <c r="J26" s="363">
        <v>23.255813953488371</v>
      </c>
      <c r="K26" t="s">
        <v>890</v>
      </c>
      <c r="L26" s="360"/>
      <c r="M26" s="363">
        <v>7331.3572093023249</v>
      </c>
      <c r="N26" t="s">
        <v>855</v>
      </c>
      <c r="O26" s="360"/>
      <c r="P26" s="366" t="str">
        <f t="shared" si="16"/>
        <v>Met</v>
      </c>
      <c r="Q26" s="360"/>
      <c r="R26" s="399">
        <v>0</v>
      </c>
      <c r="S26" s="400" t="str">
        <f t="shared" si="17"/>
        <v>Did not Meet</v>
      </c>
      <c r="U26" s="399">
        <v>337975.58</v>
      </c>
      <c r="V26" s="400" t="str">
        <f t="shared" si="18"/>
        <v>Did not Meet</v>
      </c>
      <c r="X26" s="399">
        <v>0</v>
      </c>
      <c r="Y26" s="400" t="str">
        <f t="shared" si="19"/>
        <v>Did not Meet</v>
      </c>
      <c r="AA26" s="399">
        <v>6897.4608163265311</v>
      </c>
      <c r="AB26" s="400" t="str">
        <f t="shared" si="20"/>
        <v>Did not Meet</v>
      </c>
      <c r="AD26" s="366" t="str">
        <f t="shared" si="0"/>
        <v>Met</v>
      </c>
      <c r="AF26" s="399">
        <v>0</v>
      </c>
      <c r="AG26" s="400" t="str">
        <f t="shared" si="21"/>
        <v>Did not Meet</v>
      </c>
      <c r="AI26" s="399">
        <v>368249.7</v>
      </c>
      <c r="AJ26" s="400" t="str">
        <f t="shared" si="22"/>
        <v>Did not Meet</v>
      </c>
      <c r="AL26" s="399">
        <f>VLOOKUP(A26,$A$5:$AF$315,32,0)/IFERROR(VLOOKUP(A26,'21-22 child count'!$A$3:$S$317,19,0),0)</f>
        <v>0</v>
      </c>
      <c r="AM26" s="400" t="str">
        <f t="shared" si="23"/>
        <v>Did not Meet</v>
      </c>
      <c r="AO26" s="399">
        <f>VLOOKUP(A26,'42. SEA or LEA Worksheet'!$A$4:$AB$318,28,0)/IFERROR(VLOOKUP('42. SEA or LEA Worksheet'!A57,'21-22 child count'!$A$3:$S$317,3,0),0)</f>
        <v>3646.0366336633665</v>
      </c>
      <c r="AP26" s="400" t="str">
        <f t="shared" si="24"/>
        <v>Did not Meet</v>
      </c>
      <c r="AR26" s="366" t="str">
        <f t="shared" si="10"/>
        <v>Met</v>
      </c>
      <c r="AU26" s="400" t="str">
        <f t="shared" si="11"/>
        <v>Did not Meet</v>
      </c>
      <c r="AX26" s="400" t="str">
        <f t="shared" si="12"/>
        <v>Did not Meet</v>
      </c>
      <c r="BA26" s="400" t="str">
        <f t="shared" si="13"/>
        <v>Did not Meet</v>
      </c>
      <c r="BD26" s="400" t="str">
        <f t="shared" si="14"/>
        <v>Did not Meet</v>
      </c>
      <c r="BF26" s="366" t="str">
        <f t="shared" si="15"/>
        <v>Met</v>
      </c>
    </row>
    <row r="27" spans="1:58 1606:16384">
      <c r="A27" t="s">
        <v>307</v>
      </c>
      <c r="B27" t="s">
        <v>891</v>
      </c>
      <c r="C27" s="360"/>
      <c r="D27" s="363">
        <v>601615.43999999994</v>
      </c>
      <c r="E27" t="s">
        <v>834</v>
      </c>
      <c r="F27" s="360"/>
      <c r="G27" s="363">
        <v>1203230.8799999999</v>
      </c>
      <c r="H27" t="s">
        <v>834</v>
      </c>
      <c r="I27" s="360"/>
      <c r="J27" s="363">
        <v>8241.3073972602724</v>
      </c>
      <c r="K27" t="s">
        <v>834</v>
      </c>
      <c r="L27" s="360"/>
      <c r="M27" s="363">
        <v>16482.614794520545</v>
      </c>
      <c r="N27" t="s">
        <v>834</v>
      </c>
      <c r="O27" s="360"/>
      <c r="P27" s="366" t="str">
        <f t="shared" si="16"/>
        <v>Met</v>
      </c>
      <c r="Q27" s="360"/>
      <c r="R27" s="399">
        <v>0</v>
      </c>
      <c r="S27" s="400" t="str">
        <f t="shared" si="17"/>
        <v>Did not Meet</v>
      </c>
      <c r="U27" s="399">
        <v>706788.42</v>
      </c>
      <c r="V27" s="400" t="str">
        <f t="shared" si="18"/>
        <v>Met</v>
      </c>
      <c r="X27" s="399">
        <v>0</v>
      </c>
      <c r="Y27" s="400" t="str">
        <f t="shared" si="19"/>
        <v>Did not Meet</v>
      </c>
      <c r="AA27" s="399">
        <v>9682.0331506849325</v>
      </c>
      <c r="AB27" s="400" t="str">
        <f t="shared" si="20"/>
        <v>Did not Meet</v>
      </c>
      <c r="AD27" s="366" t="str">
        <f t="shared" si="0"/>
        <v>Met</v>
      </c>
      <c r="AF27" s="399">
        <v>0</v>
      </c>
      <c r="AG27" s="400" t="str">
        <f t="shared" si="21"/>
        <v>Did not Meet</v>
      </c>
      <c r="AI27" s="399">
        <v>696768.89</v>
      </c>
      <c r="AJ27" s="400" t="str">
        <f t="shared" si="22"/>
        <v>Did not Meet</v>
      </c>
      <c r="AL27" s="399">
        <f>VLOOKUP(A27,$A$5:$AF$315,32,0)/IFERROR(VLOOKUP(A27,'21-22 child count'!$A$3:$S$317,19,0),0)</f>
        <v>0</v>
      </c>
      <c r="AM27" s="400" t="str">
        <f t="shared" si="23"/>
        <v>Did not Meet</v>
      </c>
      <c r="AO27" s="399">
        <f>VLOOKUP(A27,'42. SEA or LEA Worksheet'!$A$4:$AB$318,28,0)/IFERROR(VLOOKUP('42. SEA or LEA Worksheet'!A59,'21-22 child count'!$A$3:$S$317,3,0),0)</f>
        <v>5547.2846341463419</v>
      </c>
      <c r="AP27" s="400" t="str">
        <f t="shared" si="24"/>
        <v>Did not Meet</v>
      </c>
      <c r="AR27" s="366" t="str">
        <f t="shared" si="10"/>
        <v>Met</v>
      </c>
      <c r="AU27" s="400" t="str">
        <f t="shared" si="11"/>
        <v>Did not Meet</v>
      </c>
      <c r="AX27" s="400" t="str">
        <f t="shared" si="12"/>
        <v>Did not Meet</v>
      </c>
      <c r="BA27" s="400" t="str">
        <f t="shared" si="13"/>
        <v>Did not Meet</v>
      </c>
      <c r="BD27" s="400" t="str">
        <f t="shared" si="14"/>
        <v>Did not Meet</v>
      </c>
      <c r="BF27" s="366" t="str">
        <f t="shared" si="15"/>
        <v>Met</v>
      </c>
    </row>
    <row r="28" spans="1:58 1606:16384">
      <c r="A28" t="s">
        <v>242</v>
      </c>
      <c r="B28" t="s">
        <v>859</v>
      </c>
      <c r="C28" s="360"/>
      <c r="D28" s="363">
        <v>0</v>
      </c>
      <c r="E28" t="s">
        <v>834</v>
      </c>
      <c r="F28" s="360"/>
      <c r="G28" s="363">
        <v>313511.59999999998</v>
      </c>
      <c r="H28" t="s">
        <v>834</v>
      </c>
      <c r="I28" s="360"/>
      <c r="J28" s="363">
        <v>0</v>
      </c>
      <c r="K28" t="s">
        <v>834</v>
      </c>
      <c r="L28" s="360"/>
      <c r="M28" s="363">
        <v>13062.983333333332</v>
      </c>
      <c r="N28" t="s">
        <v>834</v>
      </c>
      <c r="O28" s="360"/>
      <c r="P28" s="366" t="str">
        <f t="shared" si="16"/>
        <v>Met</v>
      </c>
      <c r="Q28" s="360"/>
      <c r="R28" s="399">
        <v>0</v>
      </c>
      <c r="S28" s="400" t="str">
        <f t="shared" si="17"/>
        <v>Met</v>
      </c>
      <c r="U28" s="399">
        <v>266687.75</v>
      </c>
      <c r="V28" s="400" t="str">
        <f t="shared" si="18"/>
        <v>Met</v>
      </c>
      <c r="X28" s="399">
        <v>0</v>
      </c>
      <c r="Y28" s="400" t="str">
        <f t="shared" si="19"/>
        <v>Met</v>
      </c>
      <c r="AA28" s="399">
        <v>9196.1293103448279</v>
      </c>
      <c r="AB28" s="400" t="str">
        <f t="shared" si="20"/>
        <v>Did not Meet</v>
      </c>
      <c r="AD28" s="366" t="str">
        <f t="shared" si="0"/>
        <v>Met</v>
      </c>
      <c r="AF28" s="399">
        <v>0</v>
      </c>
      <c r="AG28" s="400" t="str">
        <f t="shared" si="21"/>
        <v>Met</v>
      </c>
      <c r="AI28" s="399">
        <v>226291.05</v>
      </c>
      <c r="AJ28" s="400" t="str">
        <f t="shared" si="22"/>
        <v>Did not Meet</v>
      </c>
      <c r="AL28" s="399">
        <f>VLOOKUP(A28,$A$5:$AF$315,32,0)/IFERROR(VLOOKUP(A28,'21-22 child count'!$A$3:$S$317,19,0),0)</f>
        <v>0</v>
      </c>
      <c r="AM28" s="400" t="str">
        <f t="shared" si="23"/>
        <v>Met</v>
      </c>
      <c r="AO28" s="399">
        <f>VLOOKUP(A28,'42. SEA or LEA Worksheet'!$A$4:$AB$318,28,0)/IFERROR(VLOOKUP('42. SEA or LEA Worksheet'!A27,'21-22 child count'!$A$3:$S$317,3,0),0)</f>
        <v>1870.1739669421486</v>
      </c>
      <c r="AP28" s="400" t="str">
        <f t="shared" si="24"/>
        <v>Did not Meet</v>
      </c>
      <c r="AR28" s="366" t="str">
        <f t="shared" si="10"/>
        <v>Met</v>
      </c>
      <c r="AU28" s="400" t="str">
        <f t="shared" si="11"/>
        <v>Met</v>
      </c>
      <c r="AX28" s="400" t="str">
        <f t="shared" si="12"/>
        <v>Did not Meet</v>
      </c>
      <c r="BA28" s="400" t="str">
        <f t="shared" si="13"/>
        <v>Met</v>
      </c>
      <c r="BD28" s="400" t="str">
        <f t="shared" si="14"/>
        <v>Did not Meet</v>
      </c>
      <c r="BF28" s="366" t="str">
        <f t="shared" si="15"/>
        <v>Met</v>
      </c>
    </row>
    <row r="29" spans="1:58 1606:16384">
      <c r="A29" t="s">
        <v>244</v>
      </c>
      <c r="B29" t="s">
        <v>860</v>
      </c>
      <c r="C29" s="360"/>
      <c r="D29" s="363">
        <v>0</v>
      </c>
      <c r="E29" t="s">
        <v>834</v>
      </c>
      <c r="F29" s="360"/>
      <c r="G29" s="363">
        <v>1972042.95</v>
      </c>
      <c r="H29" t="s">
        <v>834</v>
      </c>
      <c r="I29" s="360"/>
      <c r="J29" s="363">
        <v>0</v>
      </c>
      <c r="K29" t="s">
        <v>834</v>
      </c>
      <c r="L29" s="360"/>
      <c r="M29" s="363">
        <v>13694.742708333333</v>
      </c>
      <c r="N29" t="s">
        <v>834</v>
      </c>
      <c r="O29" s="360"/>
      <c r="P29" s="366" t="str">
        <f t="shared" si="16"/>
        <v>Met</v>
      </c>
      <c r="Q29" s="360"/>
      <c r="R29" s="399">
        <v>23027.02</v>
      </c>
      <c r="S29" s="400" t="str">
        <f t="shared" si="17"/>
        <v>Met</v>
      </c>
      <c r="U29" s="399">
        <v>1588862.2</v>
      </c>
      <c r="V29" s="400" t="str">
        <f t="shared" si="18"/>
        <v>Met</v>
      </c>
      <c r="X29" s="399">
        <v>195.1442372881356</v>
      </c>
      <c r="Y29" s="400" t="str">
        <f t="shared" si="19"/>
        <v>Met</v>
      </c>
      <c r="AA29" s="399">
        <v>13464.933898305084</v>
      </c>
      <c r="AB29" s="400" t="str">
        <f t="shared" si="20"/>
        <v>Did not Meet</v>
      </c>
      <c r="AD29" s="366" t="str">
        <f t="shared" si="0"/>
        <v>Met</v>
      </c>
      <c r="AF29" s="399">
        <v>50000</v>
      </c>
      <c r="AG29" s="400" t="str">
        <f t="shared" si="21"/>
        <v>Met</v>
      </c>
      <c r="AI29" s="399">
        <v>1816488.63</v>
      </c>
      <c r="AJ29" s="400" t="str">
        <f t="shared" si="22"/>
        <v>Met</v>
      </c>
      <c r="AL29" s="399">
        <f>VLOOKUP(A29,$A$5:$AF$315,32,0)/IFERROR(VLOOKUP(A29,'21-22 child count'!$A$3:$S$317,19,0),0)</f>
        <v>454.54545454545456</v>
      </c>
      <c r="AM29" s="400" t="str">
        <f t="shared" si="23"/>
        <v>Met</v>
      </c>
      <c r="AO29" s="399">
        <f>VLOOKUP(A29,'42. SEA or LEA Worksheet'!$A$4:$AB$318,28,0)/IFERROR(VLOOKUP('42. SEA or LEA Worksheet'!A28,'21-22 child count'!$A$3:$S$317,3,0),0)</f>
        <v>10237.323567251462</v>
      </c>
      <c r="AP29" s="400" t="str">
        <f t="shared" si="24"/>
        <v>Did not Meet</v>
      </c>
      <c r="AR29" s="366" t="str">
        <f t="shared" si="10"/>
        <v>Met</v>
      </c>
      <c r="AU29" s="400" t="str">
        <f t="shared" si="11"/>
        <v>Did not Meet</v>
      </c>
      <c r="AX29" s="400" t="str">
        <f t="shared" si="12"/>
        <v>Did not Meet</v>
      </c>
      <c r="BA29" s="400" t="str">
        <f t="shared" si="13"/>
        <v>Did not Meet</v>
      </c>
      <c r="BD29" s="400" t="str">
        <f t="shared" si="14"/>
        <v>Did not Meet</v>
      </c>
      <c r="BF29" s="366" t="str">
        <f t="shared" si="15"/>
        <v>Met</v>
      </c>
    </row>
    <row r="30" spans="1:58 1606:16384">
      <c r="A30" t="s">
        <v>327</v>
      </c>
      <c r="B30" t="s">
        <v>901</v>
      </c>
      <c r="C30" s="360"/>
      <c r="D30" s="363">
        <v>0</v>
      </c>
      <c r="E30" t="s">
        <v>855</v>
      </c>
      <c r="F30" s="360"/>
      <c r="G30" s="363">
        <v>2852827.46</v>
      </c>
      <c r="H30" t="s">
        <v>834</v>
      </c>
      <c r="I30" s="360"/>
      <c r="J30" s="363">
        <v>0</v>
      </c>
      <c r="K30" t="s">
        <v>855</v>
      </c>
      <c r="L30" s="360"/>
      <c r="M30" s="363">
        <v>12191.570341880342</v>
      </c>
      <c r="N30" t="s">
        <v>834</v>
      </c>
      <c r="O30" s="360"/>
      <c r="P30" s="366" t="str">
        <f t="shared" si="16"/>
        <v>Met</v>
      </c>
      <c r="Q30" s="360"/>
      <c r="R30" s="399">
        <v>0</v>
      </c>
      <c r="S30" s="400" t="str">
        <f t="shared" si="17"/>
        <v>Did not Meet</v>
      </c>
      <c r="U30" s="399">
        <v>2789203.2</v>
      </c>
      <c r="V30" s="400" t="str">
        <f t="shared" si="18"/>
        <v>Met</v>
      </c>
      <c r="X30" s="399">
        <v>0</v>
      </c>
      <c r="Y30" s="400" t="str">
        <f t="shared" si="19"/>
        <v>Did not Meet</v>
      </c>
      <c r="AA30" s="399">
        <v>11719.341176470589</v>
      </c>
      <c r="AB30" s="400" t="str">
        <f t="shared" si="20"/>
        <v>Did not Meet</v>
      </c>
      <c r="AD30" s="366" t="str">
        <f t="shared" si="0"/>
        <v>Met</v>
      </c>
      <c r="AF30" s="399">
        <v>0</v>
      </c>
      <c r="AG30" s="400" t="str">
        <f t="shared" si="21"/>
        <v>Did not Meet</v>
      </c>
      <c r="AI30" s="399">
        <v>2850041.13</v>
      </c>
      <c r="AJ30" s="400" t="str">
        <f t="shared" si="22"/>
        <v>Met</v>
      </c>
      <c r="AL30" s="399">
        <f>VLOOKUP(A30,$A$5:$AF$315,32,0)/IFERROR(VLOOKUP(A30,'21-22 child count'!$A$3:$S$317,19,0),0)</f>
        <v>0</v>
      </c>
      <c r="AM30" s="400" t="str">
        <f t="shared" si="23"/>
        <v>Did not Meet</v>
      </c>
      <c r="AO30" s="399">
        <f>VLOOKUP(A30,'42. SEA or LEA Worksheet'!$A$4:$AB$318,28,0)/IFERROR(VLOOKUP('42. SEA or LEA Worksheet'!A69,'21-22 child count'!$A$3:$S$317,3,0),0)</f>
        <v>23554.058925619833</v>
      </c>
      <c r="AP30" s="400" t="str">
        <f t="shared" si="24"/>
        <v>Did not Meet</v>
      </c>
      <c r="AR30" s="366" t="str">
        <f t="shared" si="10"/>
        <v>Met</v>
      </c>
      <c r="AU30" s="400" t="str">
        <f t="shared" si="11"/>
        <v>Did not Meet</v>
      </c>
      <c r="AX30" s="400" t="str">
        <f t="shared" si="12"/>
        <v>Did not Meet</v>
      </c>
      <c r="BA30" s="400" t="str">
        <f t="shared" si="13"/>
        <v>Did not Meet</v>
      </c>
      <c r="BD30" s="400" t="str">
        <f t="shared" si="14"/>
        <v>Did not Meet</v>
      </c>
      <c r="BF30" s="366" t="str">
        <f t="shared" si="15"/>
        <v>Met</v>
      </c>
    </row>
    <row r="31" spans="1:58 1606:16384">
      <c r="A31" t="s">
        <v>333</v>
      </c>
      <c r="B31" t="s">
        <v>904</v>
      </c>
      <c r="C31" s="360"/>
      <c r="D31" s="363">
        <v>0</v>
      </c>
      <c r="E31" t="s">
        <v>855</v>
      </c>
      <c r="F31" s="360"/>
      <c r="G31" s="363">
        <v>2827158.65</v>
      </c>
      <c r="H31" t="s">
        <v>834</v>
      </c>
      <c r="I31" s="360"/>
      <c r="J31" s="363">
        <v>0</v>
      </c>
      <c r="K31" t="s">
        <v>855</v>
      </c>
      <c r="L31" s="360"/>
      <c r="M31" s="363">
        <v>9361.4524834437088</v>
      </c>
      <c r="N31" t="s">
        <v>834</v>
      </c>
      <c r="O31" s="360"/>
      <c r="P31" s="366" t="str">
        <f t="shared" si="16"/>
        <v>Met</v>
      </c>
      <c r="Q31" s="360"/>
      <c r="R31" s="399">
        <v>0</v>
      </c>
      <c r="S31" s="400" t="str">
        <f t="shared" si="17"/>
        <v>Did not Meet</v>
      </c>
      <c r="U31" s="399">
        <v>2903469.81</v>
      </c>
      <c r="V31" s="400" t="str">
        <f t="shared" si="18"/>
        <v>Met</v>
      </c>
      <c r="X31" s="399">
        <v>0</v>
      </c>
      <c r="Y31" s="400" t="str">
        <f t="shared" si="19"/>
        <v>Did not Meet</v>
      </c>
      <c r="AA31" s="399">
        <v>10332.632775800712</v>
      </c>
      <c r="AB31" s="400" t="str">
        <f t="shared" si="20"/>
        <v>Met</v>
      </c>
      <c r="AD31" s="366" t="str">
        <f t="shared" si="0"/>
        <v>Met</v>
      </c>
      <c r="AF31" s="399">
        <v>29681.45</v>
      </c>
      <c r="AG31" s="400" t="str">
        <f t="shared" si="21"/>
        <v>Did not Meet</v>
      </c>
      <c r="AI31" s="399">
        <v>2750677.99</v>
      </c>
      <c r="AJ31" s="400" t="str">
        <f t="shared" si="22"/>
        <v>Did not Meet</v>
      </c>
      <c r="AL31" s="461">
        <f>VLOOKUP(A31,$A$5:$AF$315,32,0)/IFERROR(VLOOKUP(A31,'21-22 child count'!$A$3:$S$317,19,0),0)</f>
        <v>104.88144876325089</v>
      </c>
      <c r="AM31" s="379" t="str">
        <f t="shared" si="23"/>
        <v>Did not Meet</v>
      </c>
      <c r="AO31" s="399">
        <f>VLOOKUP(A31,'42. SEA or LEA Worksheet'!$A$4:$AB$318,28,0)/IFERROR(VLOOKUP('42. SEA or LEA Worksheet'!A72,'21-22 child count'!$A$3:$S$317,3,0),0)</f>
        <v>24052.865929203541</v>
      </c>
      <c r="AP31" s="400" t="str">
        <f t="shared" si="24"/>
        <v>Met</v>
      </c>
      <c r="AR31" s="366" t="str">
        <f t="shared" si="10"/>
        <v>Met</v>
      </c>
      <c r="AU31" s="400" t="str">
        <f t="shared" si="11"/>
        <v>Did not Meet</v>
      </c>
      <c r="AX31" s="400" t="str">
        <f t="shared" si="12"/>
        <v>Did not Meet</v>
      </c>
      <c r="BA31" s="400" t="str">
        <f t="shared" si="13"/>
        <v>Did not Meet</v>
      </c>
      <c r="BD31" s="400" t="str">
        <f t="shared" si="14"/>
        <v>Did not Meet</v>
      </c>
      <c r="BF31" s="366" t="str">
        <f t="shared" si="15"/>
        <v>Met</v>
      </c>
    </row>
    <row r="32" spans="1:58 1606:16384">
      <c r="A32" t="s">
        <v>337</v>
      </c>
      <c r="B32" t="s">
        <v>906</v>
      </c>
      <c r="C32" s="360"/>
      <c r="D32" s="363">
        <v>0</v>
      </c>
      <c r="E32" t="s">
        <v>855</v>
      </c>
      <c r="F32" s="360"/>
      <c r="G32" s="363">
        <v>308041.64</v>
      </c>
      <c r="H32" t="s">
        <v>834</v>
      </c>
      <c r="I32" s="360"/>
      <c r="J32" s="363">
        <v>0</v>
      </c>
      <c r="K32" t="s">
        <v>855</v>
      </c>
      <c r="L32" s="360"/>
      <c r="M32" s="363">
        <v>8106.3589473684215</v>
      </c>
      <c r="N32" t="s">
        <v>855</v>
      </c>
      <c r="O32" s="360"/>
      <c r="P32" s="366" t="str">
        <f t="shared" si="16"/>
        <v>Met</v>
      </c>
      <c r="Q32" s="360"/>
      <c r="R32" s="399">
        <v>0</v>
      </c>
      <c r="S32" s="400" t="str">
        <f t="shared" si="17"/>
        <v>Did not Meet</v>
      </c>
      <c r="U32" s="399">
        <v>319369.55</v>
      </c>
      <c r="V32" s="400" t="str">
        <f t="shared" si="18"/>
        <v>Met</v>
      </c>
      <c r="X32" s="399">
        <v>0</v>
      </c>
      <c r="Y32" s="400" t="str">
        <f t="shared" si="19"/>
        <v>Did not Meet</v>
      </c>
      <c r="AA32" s="399">
        <v>8631.6094594594597</v>
      </c>
      <c r="AB32" s="400" t="str">
        <f t="shared" si="20"/>
        <v>Did not Meet</v>
      </c>
      <c r="AD32" s="366" t="str">
        <f t="shared" si="0"/>
        <v>Met</v>
      </c>
      <c r="AF32" s="399">
        <v>6075.51</v>
      </c>
      <c r="AG32" s="400" t="str">
        <f t="shared" si="21"/>
        <v>Did not Meet</v>
      </c>
      <c r="AI32" s="399">
        <v>397645.10000000003</v>
      </c>
      <c r="AJ32" s="400" t="str">
        <f t="shared" si="22"/>
        <v>Met</v>
      </c>
      <c r="AL32" s="461">
        <f>VLOOKUP(A32,$A$5:$AF$315,32,0)/IFERROR(VLOOKUP(A32,'21-22 child count'!$A$3:$S$317,19,0),0)</f>
        <v>164.20297297297299</v>
      </c>
      <c r="AM32" s="379" t="str">
        <f t="shared" si="23"/>
        <v>Did not Meet</v>
      </c>
      <c r="AO32" s="399">
        <f>VLOOKUP(A32,'42. SEA or LEA Worksheet'!$A$4:$AB$318,28,0)/IFERROR(VLOOKUP('42. SEA or LEA Worksheet'!A74,'21-22 child count'!$A$3:$S$317,3,0),0)</f>
        <v>2289.8806432748538</v>
      </c>
      <c r="AP32" s="400" t="str">
        <f t="shared" si="24"/>
        <v>Did not Meet</v>
      </c>
      <c r="AR32" s="366" t="str">
        <f t="shared" si="10"/>
        <v>Met</v>
      </c>
      <c r="AU32" s="400" t="str">
        <f t="shared" si="11"/>
        <v>Did not Meet</v>
      </c>
      <c r="AX32" s="400" t="str">
        <f t="shared" si="12"/>
        <v>Did not Meet</v>
      </c>
      <c r="BA32" s="400" t="str">
        <f t="shared" si="13"/>
        <v>Did not Meet</v>
      </c>
      <c r="BD32" s="400" t="str">
        <f t="shared" si="14"/>
        <v>Did not Meet</v>
      </c>
      <c r="BF32" s="366" t="str">
        <f t="shared" si="15"/>
        <v>Met</v>
      </c>
      <c r="BIT32" t="s">
        <v>1305</v>
      </c>
      <c r="BIU32" t="s">
        <v>251</v>
      </c>
      <c r="BIV32" t="s">
        <v>1305</v>
      </c>
      <c r="BIW32" t="s">
        <v>251</v>
      </c>
      <c r="BIX32" t="s">
        <v>1305</v>
      </c>
      <c r="BIY32" t="s">
        <v>251</v>
      </c>
      <c r="BIZ32" t="s">
        <v>1305</v>
      </c>
      <c r="BJA32" t="s">
        <v>251</v>
      </c>
      <c r="BJB32" t="s">
        <v>1305</v>
      </c>
      <c r="BJC32" t="s">
        <v>251</v>
      </c>
      <c r="BJD32" t="s">
        <v>1305</v>
      </c>
      <c r="BJE32" t="s">
        <v>251</v>
      </c>
      <c r="BJF32" t="s">
        <v>1305</v>
      </c>
      <c r="BJG32" t="s">
        <v>251</v>
      </c>
      <c r="BJH32" t="s">
        <v>1305</v>
      </c>
      <c r="BJI32" t="s">
        <v>251</v>
      </c>
      <c r="BJJ32" t="s">
        <v>1305</v>
      </c>
      <c r="BJK32" t="s">
        <v>251</v>
      </c>
      <c r="BJL32" t="s">
        <v>1305</v>
      </c>
      <c r="BJM32" t="s">
        <v>251</v>
      </c>
      <c r="BJN32" t="s">
        <v>1305</v>
      </c>
      <c r="BJO32" t="s">
        <v>251</v>
      </c>
      <c r="BJP32" t="s">
        <v>1305</v>
      </c>
      <c r="BJQ32" t="s">
        <v>251</v>
      </c>
      <c r="BJR32" t="s">
        <v>1305</v>
      </c>
      <c r="BJS32" t="s">
        <v>251</v>
      </c>
      <c r="BJT32" t="s">
        <v>1305</v>
      </c>
      <c r="BJU32" t="s">
        <v>251</v>
      </c>
      <c r="BJV32" t="s">
        <v>1305</v>
      </c>
      <c r="BJW32" t="s">
        <v>251</v>
      </c>
      <c r="BJX32" t="s">
        <v>1305</v>
      </c>
      <c r="BJY32" t="s">
        <v>251</v>
      </c>
      <c r="BJZ32" t="s">
        <v>1305</v>
      </c>
      <c r="BKA32" t="s">
        <v>251</v>
      </c>
      <c r="BKB32" t="s">
        <v>1305</v>
      </c>
      <c r="BKC32" t="s">
        <v>251</v>
      </c>
      <c r="BKD32" t="s">
        <v>1305</v>
      </c>
      <c r="BKE32" t="s">
        <v>251</v>
      </c>
      <c r="BKF32" t="s">
        <v>1305</v>
      </c>
      <c r="BKG32" t="s">
        <v>251</v>
      </c>
      <c r="BKH32" t="s">
        <v>1305</v>
      </c>
      <c r="BKI32" t="s">
        <v>251</v>
      </c>
      <c r="BKJ32" t="s">
        <v>1305</v>
      </c>
      <c r="BKK32" t="s">
        <v>251</v>
      </c>
      <c r="BKL32" t="s">
        <v>1305</v>
      </c>
      <c r="BKM32" t="s">
        <v>251</v>
      </c>
      <c r="BKN32" t="s">
        <v>1305</v>
      </c>
      <c r="BKO32" t="s">
        <v>251</v>
      </c>
      <c r="BKP32" t="s">
        <v>1305</v>
      </c>
      <c r="BKQ32" t="s">
        <v>251</v>
      </c>
      <c r="BKR32" t="s">
        <v>1305</v>
      </c>
      <c r="BKS32" t="s">
        <v>251</v>
      </c>
      <c r="BKT32" t="s">
        <v>1305</v>
      </c>
      <c r="BKU32" t="s">
        <v>251</v>
      </c>
      <c r="BKV32" t="s">
        <v>1305</v>
      </c>
      <c r="BKW32" t="s">
        <v>251</v>
      </c>
      <c r="BKX32" t="s">
        <v>1305</v>
      </c>
      <c r="BKY32" t="s">
        <v>251</v>
      </c>
      <c r="BKZ32" t="s">
        <v>1305</v>
      </c>
      <c r="BLA32" t="s">
        <v>251</v>
      </c>
      <c r="BLB32" t="s">
        <v>1305</v>
      </c>
      <c r="BLC32" t="s">
        <v>251</v>
      </c>
      <c r="BLD32" t="s">
        <v>1305</v>
      </c>
      <c r="BLE32" t="s">
        <v>251</v>
      </c>
      <c r="BLF32" t="s">
        <v>1305</v>
      </c>
      <c r="BLG32" t="s">
        <v>251</v>
      </c>
      <c r="BLH32" t="s">
        <v>1305</v>
      </c>
      <c r="BLI32" t="s">
        <v>251</v>
      </c>
      <c r="BLJ32" t="s">
        <v>1305</v>
      </c>
      <c r="BLK32" t="s">
        <v>251</v>
      </c>
      <c r="BLL32" t="s">
        <v>1305</v>
      </c>
      <c r="BLM32" t="s">
        <v>251</v>
      </c>
      <c r="BLN32" t="s">
        <v>1305</v>
      </c>
      <c r="BLO32" t="s">
        <v>251</v>
      </c>
      <c r="BLP32" t="s">
        <v>1305</v>
      </c>
      <c r="BLQ32" t="s">
        <v>251</v>
      </c>
      <c r="BLR32" t="s">
        <v>1305</v>
      </c>
      <c r="BLS32" t="s">
        <v>251</v>
      </c>
      <c r="BLT32" t="s">
        <v>1305</v>
      </c>
      <c r="BLU32" t="s">
        <v>251</v>
      </c>
      <c r="BLV32" t="s">
        <v>1305</v>
      </c>
      <c r="BLW32" t="s">
        <v>251</v>
      </c>
      <c r="BLX32" t="s">
        <v>1305</v>
      </c>
      <c r="BLY32" t="s">
        <v>251</v>
      </c>
      <c r="BLZ32" t="s">
        <v>1305</v>
      </c>
      <c r="BMA32" t="s">
        <v>251</v>
      </c>
      <c r="BMB32" t="s">
        <v>1305</v>
      </c>
      <c r="BMC32" t="s">
        <v>251</v>
      </c>
      <c r="BMD32" t="s">
        <v>1305</v>
      </c>
      <c r="BME32" t="s">
        <v>251</v>
      </c>
      <c r="BMF32" t="s">
        <v>1305</v>
      </c>
      <c r="BMG32" t="s">
        <v>251</v>
      </c>
      <c r="BMH32" t="s">
        <v>1305</v>
      </c>
      <c r="BMI32" t="s">
        <v>251</v>
      </c>
      <c r="BMJ32" t="s">
        <v>1305</v>
      </c>
      <c r="BMK32" t="s">
        <v>251</v>
      </c>
      <c r="BML32" t="s">
        <v>1305</v>
      </c>
      <c r="BMM32" t="s">
        <v>251</v>
      </c>
      <c r="BMN32" t="s">
        <v>1305</v>
      </c>
      <c r="BMO32" t="s">
        <v>251</v>
      </c>
      <c r="BMP32" t="s">
        <v>1305</v>
      </c>
      <c r="BMQ32" t="s">
        <v>251</v>
      </c>
      <c r="BMR32" t="s">
        <v>1305</v>
      </c>
      <c r="BMS32" t="s">
        <v>251</v>
      </c>
      <c r="BMT32" t="s">
        <v>1305</v>
      </c>
      <c r="BMU32" t="s">
        <v>251</v>
      </c>
      <c r="BMV32" t="s">
        <v>1305</v>
      </c>
      <c r="BMW32" t="s">
        <v>251</v>
      </c>
      <c r="BMX32" t="s">
        <v>1305</v>
      </c>
      <c r="BMY32" t="s">
        <v>251</v>
      </c>
      <c r="BMZ32" t="s">
        <v>1305</v>
      </c>
      <c r="BNA32" t="s">
        <v>251</v>
      </c>
      <c r="BNB32" t="s">
        <v>1305</v>
      </c>
      <c r="BNC32" t="s">
        <v>251</v>
      </c>
      <c r="BND32" t="s">
        <v>1305</v>
      </c>
      <c r="BNE32" t="s">
        <v>251</v>
      </c>
      <c r="BNF32" t="s">
        <v>1305</v>
      </c>
      <c r="BNG32" t="s">
        <v>251</v>
      </c>
      <c r="BNH32" t="s">
        <v>1305</v>
      </c>
      <c r="BNI32" t="s">
        <v>251</v>
      </c>
      <c r="BNJ32" t="s">
        <v>1305</v>
      </c>
      <c r="BNK32" t="s">
        <v>251</v>
      </c>
      <c r="BNL32" t="s">
        <v>1305</v>
      </c>
      <c r="BNM32" t="s">
        <v>251</v>
      </c>
      <c r="BNN32" t="s">
        <v>1305</v>
      </c>
      <c r="BNO32" t="s">
        <v>251</v>
      </c>
      <c r="BNP32" t="s">
        <v>1305</v>
      </c>
      <c r="BNQ32" t="s">
        <v>251</v>
      </c>
      <c r="BNR32" t="s">
        <v>1305</v>
      </c>
      <c r="BNS32" t="s">
        <v>251</v>
      </c>
      <c r="BNT32" t="s">
        <v>1305</v>
      </c>
      <c r="BNU32" t="s">
        <v>251</v>
      </c>
      <c r="BNV32" t="s">
        <v>1305</v>
      </c>
      <c r="BNW32" t="s">
        <v>251</v>
      </c>
      <c r="BNX32" t="s">
        <v>1305</v>
      </c>
      <c r="BNY32" t="s">
        <v>251</v>
      </c>
      <c r="BNZ32" t="s">
        <v>1305</v>
      </c>
      <c r="BOA32" t="s">
        <v>251</v>
      </c>
      <c r="BOB32" t="s">
        <v>1305</v>
      </c>
      <c r="BOC32" t="s">
        <v>251</v>
      </c>
      <c r="BOD32" t="s">
        <v>1305</v>
      </c>
      <c r="BOE32" t="s">
        <v>251</v>
      </c>
      <c r="BOF32" t="s">
        <v>1305</v>
      </c>
      <c r="BOG32" t="s">
        <v>251</v>
      </c>
      <c r="BOH32" t="s">
        <v>1305</v>
      </c>
      <c r="BOI32" t="s">
        <v>251</v>
      </c>
      <c r="BOJ32" t="s">
        <v>1305</v>
      </c>
      <c r="BOK32" t="s">
        <v>251</v>
      </c>
      <c r="BOL32" t="s">
        <v>1305</v>
      </c>
      <c r="BOM32" t="s">
        <v>251</v>
      </c>
      <c r="BON32" t="s">
        <v>1305</v>
      </c>
      <c r="BOO32" t="s">
        <v>251</v>
      </c>
      <c r="BOP32" t="s">
        <v>1305</v>
      </c>
      <c r="BOQ32" t="s">
        <v>251</v>
      </c>
      <c r="BOR32" t="s">
        <v>1305</v>
      </c>
      <c r="BOS32" t="s">
        <v>251</v>
      </c>
      <c r="BOT32" t="s">
        <v>1305</v>
      </c>
      <c r="BOU32" t="s">
        <v>251</v>
      </c>
      <c r="BOV32" t="s">
        <v>1305</v>
      </c>
      <c r="BOW32" t="s">
        <v>251</v>
      </c>
      <c r="BOX32" t="s">
        <v>1305</v>
      </c>
      <c r="BOY32" t="s">
        <v>251</v>
      </c>
      <c r="BOZ32" t="s">
        <v>1305</v>
      </c>
      <c r="BPA32" t="s">
        <v>251</v>
      </c>
      <c r="BPB32" t="s">
        <v>1305</v>
      </c>
      <c r="BPC32" t="s">
        <v>251</v>
      </c>
      <c r="BPD32" t="s">
        <v>1305</v>
      </c>
      <c r="BPE32" t="s">
        <v>251</v>
      </c>
      <c r="BPF32" t="s">
        <v>1305</v>
      </c>
      <c r="BPG32" t="s">
        <v>251</v>
      </c>
      <c r="BPH32" t="s">
        <v>1305</v>
      </c>
      <c r="BPI32" t="s">
        <v>251</v>
      </c>
      <c r="BPJ32" t="s">
        <v>1305</v>
      </c>
      <c r="BPK32" t="s">
        <v>251</v>
      </c>
      <c r="BPL32" t="s">
        <v>1305</v>
      </c>
      <c r="BPM32" t="s">
        <v>251</v>
      </c>
      <c r="BPN32" t="s">
        <v>1305</v>
      </c>
      <c r="BPO32" t="s">
        <v>251</v>
      </c>
      <c r="BPP32" t="s">
        <v>1305</v>
      </c>
      <c r="BPQ32" t="s">
        <v>251</v>
      </c>
      <c r="BPR32" t="s">
        <v>1305</v>
      </c>
      <c r="BPS32" t="s">
        <v>251</v>
      </c>
      <c r="BPT32" t="s">
        <v>1305</v>
      </c>
      <c r="BPU32" t="s">
        <v>251</v>
      </c>
      <c r="BPV32" t="s">
        <v>1305</v>
      </c>
      <c r="BPW32" t="s">
        <v>251</v>
      </c>
      <c r="BPX32" t="s">
        <v>1305</v>
      </c>
      <c r="BPY32" t="s">
        <v>251</v>
      </c>
      <c r="BPZ32" t="s">
        <v>1305</v>
      </c>
      <c r="BQA32" t="s">
        <v>251</v>
      </c>
      <c r="BQB32" t="s">
        <v>1305</v>
      </c>
      <c r="BQC32" t="s">
        <v>251</v>
      </c>
      <c r="BQD32" t="s">
        <v>1305</v>
      </c>
      <c r="BQE32" t="s">
        <v>251</v>
      </c>
      <c r="BQF32" t="s">
        <v>1305</v>
      </c>
      <c r="BQG32" t="s">
        <v>251</v>
      </c>
      <c r="BQH32" t="s">
        <v>1305</v>
      </c>
      <c r="BQI32" t="s">
        <v>251</v>
      </c>
      <c r="BQJ32" t="s">
        <v>1305</v>
      </c>
      <c r="BQK32" t="s">
        <v>251</v>
      </c>
      <c r="BQL32" t="s">
        <v>1305</v>
      </c>
      <c r="BQM32" t="s">
        <v>251</v>
      </c>
      <c r="BQN32" t="s">
        <v>1305</v>
      </c>
      <c r="BQO32" t="s">
        <v>251</v>
      </c>
      <c r="BQP32" t="s">
        <v>1305</v>
      </c>
      <c r="BQQ32" t="s">
        <v>251</v>
      </c>
      <c r="BQR32" t="s">
        <v>1305</v>
      </c>
      <c r="BQS32" t="s">
        <v>251</v>
      </c>
      <c r="BQT32" t="s">
        <v>1305</v>
      </c>
      <c r="BQU32" t="s">
        <v>251</v>
      </c>
      <c r="BQV32" t="s">
        <v>1305</v>
      </c>
      <c r="BQW32" t="s">
        <v>251</v>
      </c>
      <c r="BQX32" t="s">
        <v>1305</v>
      </c>
      <c r="BQY32" t="s">
        <v>251</v>
      </c>
      <c r="BQZ32" t="s">
        <v>1305</v>
      </c>
      <c r="BRA32" t="s">
        <v>251</v>
      </c>
      <c r="BRB32" t="s">
        <v>1305</v>
      </c>
      <c r="BRC32" t="s">
        <v>251</v>
      </c>
      <c r="BRD32" t="s">
        <v>1305</v>
      </c>
      <c r="BRE32" t="s">
        <v>251</v>
      </c>
      <c r="BRF32" t="s">
        <v>1305</v>
      </c>
      <c r="BRG32" t="s">
        <v>251</v>
      </c>
      <c r="BRH32" t="s">
        <v>1305</v>
      </c>
      <c r="BRI32" t="s">
        <v>251</v>
      </c>
      <c r="BRJ32" t="s">
        <v>1305</v>
      </c>
      <c r="BRK32" t="s">
        <v>251</v>
      </c>
      <c r="BRL32" t="s">
        <v>1305</v>
      </c>
      <c r="BRM32" t="s">
        <v>251</v>
      </c>
      <c r="BRN32" t="s">
        <v>1305</v>
      </c>
      <c r="BRO32" t="s">
        <v>251</v>
      </c>
      <c r="BRP32" t="s">
        <v>1305</v>
      </c>
      <c r="BRQ32" t="s">
        <v>251</v>
      </c>
      <c r="BRR32" t="s">
        <v>1305</v>
      </c>
      <c r="BRS32" t="s">
        <v>251</v>
      </c>
      <c r="BRT32" t="s">
        <v>1305</v>
      </c>
      <c r="BRU32" t="s">
        <v>251</v>
      </c>
      <c r="BRV32" t="s">
        <v>1305</v>
      </c>
      <c r="BRW32" t="s">
        <v>251</v>
      </c>
      <c r="BRX32" t="s">
        <v>1305</v>
      </c>
      <c r="BRY32" t="s">
        <v>251</v>
      </c>
      <c r="BRZ32" t="s">
        <v>1305</v>
      </c>
      <c r="BSA32" t="s">
        <v>251</v>
      </c>
      <c r="BSB32" t="s">
        <v>1305</v>
      </c>
      <c r="BSC32" t="s">
        <v>251</v>
      </c>
      <c r="BSD32" t="s">
        <v>1305</v>
      </c>
      <c r="BSE32" t="s">
        <v>251</v>
      </c>
      <c r="BSF32" t="s">
        <v>1305</v>
      </c>
      <c r="BSG32" t="s">
        <v>251</v>
      </c>
      <c r="BSH32" t="s">
        <v>1305</v>
      </c>
      <c r="BSI32" t="s">
        <v>251</v>
      </c>
      <c r="BSJ32" t="s">
        <v>1305</v>
      </c>
      <c r="BSK32" t="s">
        <v>251</v>
      </c>
      <c r="BSL32" t="s">
        <v>1305</v>
      </c>
      <c r="BSM32" t="s">
        <v>251</v>
      </c>
      <c r="BSN32" t="s">
        <v>1305</v>
      </c>
      <c r="BSO32" t="s">
        <v>251</v>
      </c>
      <c r="BSP32" t="s">
        <v>1305</v>
      </c>
      <c r="BSQ32" t="s">
        <v>251</v>
      </c>
      <c r="BSR32" t="s">
        <v>1305</v>
      </c>
      <c r="BSS32" t="s">
        <v>251</v>
      </c>
      <c r="BST32" t="s">
        <v>1305</v>
      </c>
      <c r="BSU32" t="s">
        <v>251</v>
      </c>
      <c r="BSV32" t="s">
        <v>1305</v>
      </c>
      <c r="BSW32" t="s">
        <v>251</v>
      </c>
      <c r="BSX32" t="s">
        <v>1305</v>
      </c>
      <c r="BSY32" t="s">
        <v>251</v>
      </c>
      <c r="BSZ32" t="s">
        <v>1305</v>
      </c>
      <c r="BTA32" t="s">
        <v>251</v>
      </c>
      <c r="BTB32" t="s">
        <v>1305</v>
      </c>
      <c r="BTC32" t="s">
        <v>251</v>
      </c>
      <c r="BTD32" t="s">
        <v>1305</v>
      </c>
      <c r="BTE32" t="s">
        <v>251</v>
      </c>
      <c r="BTF32" t="s">
        <v>1305</v>
      </c>
      <c r="BTG32" t="s">
        <v>251</v>
      </c>
      <c r="BTH32" t="s">
        <v>1305</v>
      </c>
      <c r="BTI32" t="s">
        <v>251</v>
      </c>
      <c r="BTJ32" t="s">
        <v>1305</v>
      </c>
      <c r="BTK32" t="s">
        <v>251</v>
      </c>
      <c r="BTL32" t="s">
        <v>1305</v>
      </c>
      <c r="BTM32" t="s">
        <v>251</v>
      </c>
      <c r="BTN32" t="s">
        <v>1305</v>
      </c>
      <c r="BTO32" t="s">
        <v>251</v>
      </c>
      <c r="BTP32" t="s">
        <v>1305</v>
      </c>
      <c r="BTQ32" t="s">
        <v>251</v>
      </c>
      <c r="BTR32" t="s">
        <v>1305</v>
      </c>
      <c r="BTS32" t="s">
        <v>251</v>
      </c>
      <c r="BTT32" t="s">
        <v>1305</v>
      </c>
      <c r="BTU32" t="s">
        <v>251</v>
      </c>
      <c r="BTV32" t="s">
        <v>1305</v>
      </c>
      <c r="BTW32" t="s">
        <v>251</v>
      </c>
      <c r="BTX32" t="s">
        <v>1305</v>
      </c>
      <c r="BTY32" t="s">
        <v>251</v>
      </c>
      <c r="BTZ32" t="s">
        <v>1305</v>
      </c>
      <c r="BUA32" t="s">
        <v>251</v>
      </c>
      <c r="BUB32" t="s">
        <v>1305</v>
      </c>
      <c r="BUC32" t="s">
        <v>251</v>
      </c>
      <c r="BUD32" t="s">
        <v>1305</v>
      </c>
      <c r="BUE32" t="s">
        <v>251</v>
      </c>
      <c r="BUF32" t="s">
        <v>1305</v>
      </c>
      <c r="BUG32" t="s">
        <v>251</v>
      </c>
      <c r="BUH32" t="s">
        <v>1305</v>
      </c>
      <c r="BUI32" t="s">
        <v>251</v>
      </c>
      <c r="BUJ32" t="s">
        <v>1305</v>
      </c>
      <c r="BUK32" t="s">
        <v>251</v>
      </c>
      <c r="BUL32" t="s">
        <v>1305</v>
      </c>
      <c r="BUM32" t="s">
        <v>251</v>
      </c>
      <c r="BUN32" t="s">
        <v>1305</v>
      </c>
      <c r="BUO32" t="s">
        <v>251</v>
      </c>
      <c r="BUP32" t="s">
        <v>1305</v>
      </c>
      <c r="BUQ32" t="s">
        <v>251</v>
      </c>
      <c r="BUR32" t="s">
        <v>1305</v>
      </c>
      <c r="BUS32" t="s">
        <v>251</v>
      </c>
      <c r="BUT32" t="s">
        <v>1305</v>
      </c>
      <c r="BUU32" t="s">
        <v>251</v>
      </c>
      <c r="BUV32" t="s">
        <v>1305</v>
      </c>
      <c r="BUW32" t="s">
        <v>251</v>
      </c>
      <c r="BUX32" t="s">
        <v>1305</v>
      </c>
      <c r="BUY32" t="s">
        <v>251</v>
      </c>
      <c r="BUZ32" t="s">
        <v>1305</v>
      </c>
      <c r="BVA32" t="s">
        <v>251</v>
      </c>
      <c r="BVB32" t="s">
        <v>1305</v>
      </c>
      <c r="BVC32" t="s">
        <v>251</v>
      </c>
      <c r="BVD32" t="s">
        <v>1305</v>
      </c>
      <c r="BVE32" t="s">
        <v>251</v>
      </c>
      <c r="BVF32" t="s">
        <v>1305</v>
      </c>
      <c r="BVG32" t="s">
        <v>251</v>
      </c>
      <c r="BVH32" t="s">
        <v>1305</v>
      </c>
      <c r="BVI32" t="s">
        <v>251</v>
      </c>
      <c r="BVJ32" t="s">
        <v>1305</v>
      </c>
      <c r="BVK32" t="s">
        <v>251</v>
      </c>
      <c r="BVL32" t="s">
        <v>1305</v>
      </c>
      <c r="BVM32" t="s">
        <v>251</v>
      </c>
      <c r="BVN32" t="s">
        <v>1305</v>
      </c>
      <c r="BVO32" t="s">
        <v>251</v>
      </c>
      <c r="BVP32" t="s">
        <v>1305</v>
      </c>
      <c r="BVQ32" t="s">
        <v>251</v>
      </c>
      <c r="BVR32" t="s">
        <v>1305</v>
      </c>
      <c r="BVS32" t="s">
        <v>251</v>
      </c>
      <c r="BVT32" t="s">
        <v>1305</v>
      </c>
      <c r="BVU32" t="s">
        <v>251</v>
      </c>
      <c r="BVV32" t="s">
        <v>1305</v>
      </c>
      <c r="BVW32" t="s">
        <v>251</v>
      </c>
      <c r="BVX32" t="s">
        <v>1305</v>
      </c>
      <c r="BVY32" t="s">
        <v>251</v>
      </c>
      <c r="BVZ32" t="s">
        <v>1305</v>
      </c>
      <c r="BWA32" t="s">
        <v>251</v>
      </c>
      <c r="BWB32" t="s">
        <v>1305</v>
      </c>
      <c r="BWC32" t="s">
        <v>251</v>
      </c>
      <c r="BWD32" t="s">
        <v>1305</v>
      </c>
      <c r="BWE32" t="s">
        <v>251</v>
      </c>
      <c r="BWF32" t="s">
        <v>1305</v>
      </c>
      <c r="BWG32" t="s">
        <v>251</v>
      </c>
      <c r="BWH32" t="s">
        <v>1305</v>
      </c>
      <c r="BWI32" t="s">
        <v>251</v>
      </c>
      <c r="BWJ32" t="s">
        <v>1305</v>
      </c>
      <c r="BWK32" t="s">
        <v>251</v>
      </c>
      <c r="BWL32" t="s">
        <v>1305</v>
      </c>
      <c r="BWM32" t="s">
        <v>251</v>
      </c>
      <c r="BWN32" t="s">
        <v>1305</v>
      </c>
      <c r="BWO32" t="s">
        <v>251</v>
      </c>
      <c r="BWP32" t="s">
        <v>1305</v>
      </c>
      <c r="BWQ32" t="s">
        <v>251</v>
      </c>
      <c r="BWR32" t="s">
        <v>1305</v>
      </c>
      <c r="BWS32" t="s">
        <v>251</v>
      </c>
      <c r="BWT32" t="s">
        <v>1305</v>
      </c>
      <c r="BWU32" t="s">
        <v>251</v>
      </c>
      <c r="BWV32" t="s">
        <v>1305</v>
      </c>
      <c r="BWW32" t="s">
        <v>251</v>
      </c>
      <c r="BWX32" t="s">
        <v>1305</v>
      </c>
      <c r="BWY32" t="s">
        <v>251</v>
      </c>
      <c r="BWZ32" t="s">
        <v>1305</v>
      </c>
      <c r="BXA32" t="s">
        <v>251</v>
      </c>
      <c r="BXB32" t="s">
        <v>1305</v>
      </c>
      <c r="BXC32" t="s">
        <v>251</v>
      </c>
      <c r="BXD32" t="s">
        <v>1305</v>
      </c>
      <c r="BXE32" t="s">
        <v>251</v>
      </c>
      <c r="BXF32" t="s">
        <v>1305</v>
      </c>
      <c r="BXG32" t="s">
        <v>251</v>
      </c>
      <c r="BXH32" t="s">
        <v>1305</v>
      </c>
      <c r="BXI32" t="s">
        <v>251</v>
      </c>
      <c r="BXJ32" t="s">
        <v>1305</v>
      </c>
      <c r="BXK32" t="s">
        <v>251</v>
      </c>
      <c r="BXL32" t="s">
        <v>1305</v>
      </c>
      <c r="BXM32" t="s">
        <v>251</v>
      </c>
      <c r="BXN32" t="s">
        <v>1305</v>
      </c>
      <c r="BXO32" t="s">
        <v>251</v>
      </c>
      <c r="BXP32" t="s">
        <v>1305</v>
      </c>
      <c r="BXQ32" t="s">
        <v>251</v>
      </c>
      <c r="BXR32" t="s">
        <v>1305</v>
      </c>
      <c r="BXS32" t="s">
        <v>251</v>
      </c>
      <c r="BXT32" t="s">
        <v>1305</v>
      </c>
      <c r="BXU32" t="s">
        <v>251</v>
      </c>
      <c r="BXV32" t="s">
        <v>1305</v>
      </c>
      <c r="BXW32" t="s">
        <v>251</v>
      </c>
      <c r="BXX32" t="s">
        <v>1305</v>
      </c>
      <c r="BXY32" t="s">
        <v>251</v>
      </c>
      <c r="BXZ32" t="s">
        <v>1305</v>
      </c>
      <c r="BYA32" t="s">
        <v>251</v>
      </c>
      <c r="BYB32" t="s">
        <v>1305</v>
      </c>
      <c r="BYC32" t="s">
        <v>251</v>
      </c>
      <c r="BYD32" t="s">
        <v>1305</v>
      </c>
      <c r="BYE32" t="s">
        <v>251</v>
      </c>
      <c r="BYF32" t="s">
        <v>1305</v>
      </c>
      <c r="BYG32" t="s">
        <v>251</v>
      </c>
      <c r="BYH32" t="s">
        <v>1305</v>
      </c>
      <c r="BYI32" t="s">
        <v>251</v>
      </c>
      <c r="BYJ32" t="s">
        <v>1305</v>
      </c>
      <c r="BYK32" t="s">
        <v>251</v>
      </c>
      <c r="BYL32" t="s">
        <v>1305</v>
      </c>
      <c r="BYM32" t="s">
        <v>251</v>
      </c>
      <c r="BYN32" t="s">
        <v>1305</v>
      </c>
      <c r="BYO32" t="s">
        <v>251</v>
      </c>
      <c r="BYP32" t="s">
        <v>1305</v>
      </c>
      <c r="BYQ32" t="s">
        <v>251</v>
      </c>
      <c r="BYR32" t="s">
        <v>1305</v>
      </c>
      <c r="BYS32" t="s">
        <v>251</v>
      </c>
      <c r="BYT32" t="s">
        <v>1305</v>
      </c>
      <c r="BYU32" t="s">
        <v>251</v>
      </c>
      <c r="BYV32" t="s">
        <v>1305</v>
      </c>
      <c r="BYW32" t="s">
        <v>251</v>
      </c>
      <c r="BYX32" t="s">
        <v>1305</v>
      </c>
      <c r="BYY32" t="s">
        <v>251</v>
      </c>
      <c r="BYZ32" t="s">
        <v>1305</v>
      </c>
      <c r="BZA32" t="s">
        <v>251</v>
      </c>
      <c r="BZB32" t="s">
        <v>1305</v>
      </c>
      <c r="BZC32" t="s">
        <v>251</v>
      </c>
      <c r="BZD32" t="s">
        <v>1305</v>
      </c>
      <c r="BZE32" t="s">
        <v>251</v>
      </c>
      <c r="BZF32" t="s">
        <v>1305</v>
      </c>
      <c r="BZG32" t="s">
        <v>251</v>
      </c>
      <c r="BZH32" t="s">
        <v>1305</v>
      </c>
      <c r="BZI32" t="s">
        <v>251</v>
      </c>
      <c r="BZJ32" t="s">
        <v>1305</v>
      </c>
      <c r="BZK32" t="s">
        <v>251</v>
      </c>
      <c r="BZL32" t="s">
        <v>1305</v>
      </c>
      <c r="BZM32" t="s">
        <v>251</v>
      </c>
      <c r="BZN32" t="s">
        <v>1305</v>
      </c>
      <c r="BZO32" t="s">
        <v>251</v>
      </c>
      <c r="BZP32" t="s">
        <v>1305</v>
      </c>
      <c r="BZQ32" t="s">
        <v>251</v>
      </c>
      <c r="BZR32" t="s">
        <v>1305</v>
      </c>
      <c r="BZS32" t="s">
        <v>251</v>
      </c>
      <c r="BZT32" t="s">
        <v>1305</v>
      </c>
      <c r="BZU32" t="s">
        <v>251</v>
      </c>
      <c r="BZV32" t="s">
        <v>1305</v>
      </c>
      <c r="BZW32" t="s">
        <v>251</v>
      </c>
      <c r="BZX32" t="s">
        <v>1305</v>
      </c>
      <c r="BZY32" t="s">
        <v>251</v>
      </c>
      <c r="BZZ32" t="s">
        <v>1305</v>
      </c>
      <c r="CAA32" t="s">
        <v>251</v>
      </c>
      <c r="CAB32" t="s">
        <v>1305</v>
      </c>
      <c r="CAC32" t="s">
        <v>251</v>
      </c>
      <c r="CAD32" t="s">
        <v>1305</v>
      </c>
      <c r="CAE32" t="s">
        <v>251</v>
      </c>
      <c r="CAF32" t="s">
        <v>1305</v>
      </c>
      <c r="CAG32" t="s">
        <v>251</v>
      </c>
      <c r="CAH32" t="s">
        <v>1305</v>
      </c>
      <c r="CAI32" t="s">
        <v>251</v>
      </c>
      <c r="CAJ32" t="s">
        <v>1305</v>
      </c>
      <c r="CAK32" t="s">
        <v>251</v>
      </c>
      <c r="CAL32" t="s">
        <v>1305</v>
      </c>
      <c r="CAM32" t="s">
        <v>251</v>
      </c>
      <c r="CAN32" t="s">
        <v>1305</v>
      </c>
      <c r="CAO32" t="s">
        <v>251</v>
      </c>
      <c r="CAP32" t="s">
        <v>1305</v>
      </c>
      <c r="CAQ32" t="s">
        <v>251</v>
      </c>
      <c r="CAR32" t="s">
        <v>1305</v>
      </c>
      <c r="CAS32" t="s">
        <v>251</v>
      </c>
      <c r="CAT32" t="s">
        <v>1305</v>
      </c>
      <c r="CAU32" t="s">
        <v>251</v>
      </c>
      <c r="CAV32" t="s">
        <v>1305</v>
      </c>
      <c r="CAW32" t="s">
        <v>251</v>
      </c>
      <c r="CAX32" t="s">
        <v>1305</v>
      </c>
      <c r="CAY32" t="s">
        <v>251</v>
      </c>
      <c r="CAZ32" t="s">
        <v>1305</v>
      </c>
      <c r="CBA32" t="s">
        <v>251</v>
      </c>
      <c r="CBB32" t="s">
        <v>1305</v>
      </c>
      <c r="CBC32" t="s">
        <v>251</v>
      </c>
      <c r="CBD32" t="s">
        <v>1305</v>
      </c>
      <c r="CBE32" t="s">
        <v>251</v>
      </c>
      <c r="CBF32" t="s">
        <v>1305</v>
      </c>
      <c r="CBG32" t="s">
        <v>251</v>
      </c>
      <c r="CBH32" t="s">
        <v>1305</v>
      </c>
      <c r="CBI32" t="s">
        <v>251</v>
      </c>
      <c r="CBJ32" t="s">
        <v>1305</v>
      </c>
      <c r="CBK32" t="s">
        <v>251</v>
      </c>
      <c r="CBL32" t="s">
        <v>1305</v>
      </c>
      <c r="CBM32" t="s">
        <v>251</v>
      </c>
      <c r="CBN32" t="s">
        <v>1305</v>
      </c>
      <c r="CBO32" t="s">
        <v>251</v>
      </c>
      <c r="CBP32" t="s">
        <v>1305</v>
      </c>
      <c r="CBQ32" t="s">
        <v>251</v>
      </c>
      <c r="CBR32" t="s">
        <v>1305</v>
      </c>
      <c r="CBS32" t="s">
        <v>251</v>
      </c>
      <c r="CBT32" t="s">
        <v>1305</v>
      </c>
      <c r="CBU32" t="s">
        <v>251</v>
      </c>
      <c r="CBV32" t="s">
        <v>1305</v>
      </c>
      <c r="CBW32" t="s">
        <v>251</v>
      </c>
      <c r="CBX32" t="s">
        <v>1305</v>
      </c>
      <c r="CBY32" t="s">
        <v>251</v>
      </c>
      <c r="CBZ32" t="s">
        <v>1305</v>
      </c>
      <c r="CCA32" t="s">
        <v>251</v>
      </c>
      <c r="CCB32" t="s">
        <v>1305</v>
      </c>
      <c r="CCC32" t="s">
        <v>251</v>
      </c>
      <c r="CCD32" t="s">
        <v>1305</v>
      </c>
      <c r="CCE32" t="s">
        <v>251</v>
      </c>
      <c r="CCF32" t="s">
        <v>1305</v>
      </c>
      <c r="CCG32" t="s">
        <v>251</v>
      </c>
      <c r="CCH32" t="s">
        <v>1305</v>
      </c>
      <c r="CCI32" t="s">
        <v>251</v>
      </c>
      <c r="CCJ32" t="s">
        <v>1305</v>
      </c>
      <c r="CCK32" t="s">
        <v>251</v>
      </c>
      <c r="CCL32" t="s">
        <v>1305</v>
      </c>
      <c r="CCM32" t="s">
        <v>251</v>
      </c>
      <c r="CCN32" t="s">
        <v>1305</v>
      </c>
      <c r="CCO32" t="s">
        <v>251</v>
      </c>
      <c r="CCP32" t="s">
        <v>1305</v>
      </c>
      <c r="CCQ32" t="s">
        <v>251</v>
      </c>
      <c r="CCR32" t="s">
        <v>1305</v>
      </c>
      <c r="CCS32" t="s">
        <v>251</v>
      </c>
      <c r="CCT32" t="s">
        <v>1305</v>
      </c>
      <c r="CCU32" t="s">
        <v>251</v>
      </c>
      <c r="CCV32" t="s">
        <v>1305</v>
      </c>
      <c r="CCW32" t="s">
        <v>251</v>
      </c>
      <c r="CCX32" t="s">
        <v>1305</v>
      </c>
      <c r="CCY32" t="s">
        <v>251</v>
      </c>
      <c r="CCZ32" t="s">
        <v>1305</v>
      </c>
      <c r="CDA32" t="s">
        <v>251</v>
      </c>
      <c r="CDB32" t="s">
        <v>1305</v>
      </c>
      <c r="CDC32" t="s">
        <v>251</v>
      </c>
      <c r="CDD32" t="s">
        <v>1305</v>
      </c>
      <c r="CDE32" t="s">
        <v>251</v>
      </c>
      <c r="CDF32" t="s">
        <v>1305</v>
      </c>
      <c r="CDG32" t="s">
        <v>251</v>
      </c>
      <c r="CDH32" t="s">
        <v>1305</v>
      </c>
      <c r="CDI32" t="s">
        <v>251</v>
      </c>
      <c r="CDJ32" t="s">
        <v>1305</v>
      </c>
      <c r="CDK32" t="s">
        <v>251</v>
      </c>
      <c r="CDL32" t="s">
        <v>1305</v>
      </c>
      <c r="CDM32" t="s">
        <v>251</v>
      </c>
      <c r="CDN32" t="s">
        <v>1305</v>
      </c>
      <c r="CDO32" t="s">
        <v>251</v>
      </c>
      <c r="CDP32" t="s">
        <v>1305</v>
      </c>
      <c r="CDQ32" t="s">
        <v>251</v>
      </c>
      <c r="CDR32" t="s">
        <v>1305</v>
      </c>
      <c r="CDS32" t="s">
        <v>251</v>
      </c>
      <c r="CDT32" t="s">
        <v>1305</v>
      </c>
      <c r="CDU32" t="s">
        <v>251</v>
      </c>
      <c r="CDV32" t="s">
        <v>1305</v>
      </c>
      <c r="CDW32" t="s">
        <v>251</v>
      </c>
      <c r="CDX32" t="s">
        <v>1305</v>
      </c>
      <c r="CDY32" t="s">
        <v>251</v>
      </c>
      <c r="CDZ32" t="s">
        <v>1305</v>
      </c>
      <c r="CEA32" t="s">
        <v>251</v>
      </c>
      <c r="CEB32" t="s">
        <v>1305</v>
      </c>
      <c r="CEC32" t="s">
        <v>251</v>
      </c>
      <c r="CED32" t="s">
        <v>1305</v>
      </c>
      <c r="CEE32" t="s">
        <v>251</v>
      </c>
      <c r="CEF32" t="s">
        <v>1305</v>
      </c>
      <c r="CEG32" t="s">
        <v>251</v>
      </c>
      <c r="CEH32" t="s">
        <v>1305</v>
      </c>
      <c r="CEI32" t="s">
        <v>251</v>
      </c>
      <c r="CEJ32" t="s">
        <v>1305</v>
      </c>
      <c r="CEK32" t="s">
        <v>251</v>
      </c>
      <c r="CEL32" t="s">
        <v>1305</v>
      </c>
      <c r="CEM32" t="s">
        <v>251</v>
      </c>
      <c r="CEN32" t="s">
        <v>1305</v>
      </c>
      <c r="CEO32" t="s">
        <v>251</v>
      </c>
      <c r="CEP32" t="s">
        <v>1305</v>
      </c>
      <c r="CEQ32" t="s">
        <v>251</v>
      </c>
      <c r="CER32" t="s">
        <v>1305</v>
      </c>
      <c r="CES32" t="s">
        <v>251</v>
      </c>
      <c r="CET32" t="s">
        <v>1305</v>
      </c>
      <c r="CEU32" t="s">
        <v>251</v>
      </c>
      <c r="CEV32" t="s">
        <v>1305</v>
      </c>
      <c r="CEW32" t="s">
        <v>251</v>
      </c>
      <c r="CEX32" t="s">
        <v>1305</v>
      </c>
      <c r="CEY32" t="s">
        <v>251</v>
      </c>
      <c r="CEZ32" t="s">
        <v>1305</v>
      </c>
      <c r="CFA32" t="s">
        <v>251</v>
      </c>
      <c r="CFB32" t="s">
        <v>1305</v>
      </c>
      <c r="CFC32" t="s">
        <v>251</v>
      </c>
      <c r="CFD32" t="s">
        <v>1305</v>
      </c>
      <c r="CFE32" t="s">
        <v>251</v>
      </c>
      <c r="CFF32" t="s">
        <v>1305</v>
      </c>
      <c r="CFG32" t="s">
        <v>251</v>
      </c>
      <c r="CFH32" t="s">
        <v>1305</v>
      </c>
      <c r="CFI32" t="s">
        <v>251</v>
      </c>
      <c r="CFJ32" t="s">
        <v>1305</v>
      </c>
      <c r="CFK32" t="s">
        <v>251</v>
      </c>
      <c r="CFL32" t="s">
        <v>1305</v>
      </c>
      <c r="CFM32" t="s">
        <v>251</v>
      </c>
      <c r="CFN32" t="s">
        <v>1305</v>
      </c>
      <c r="CFO32" t="s">
        <v>251</v>
      </c>
      <c r="CFP32" t="s">
        <v>1305</v>
      </c>
      <c r="CFQ32" t="s">
        <v>251</v>
      </c>
      <c r="CFR32" t="s">
        <v>1305</v>
      </c>
      <c r="CFS32" t="s">
        <v>251</v>
      </c>
      <c r="CFT32" t="s">
        <v>1305</v>
      </c>
      <c r="CFU32" t="s">
        <v>251</v>
      </c>
      <c r="CFV32" t="s">
        <v>1305</v>
      </c>
      <c r="CFW32" t="s">
        <v>251</v>
      </c>
      <c r="CFX32" t="s">
        <v>1305</v>
      </c>
      <c r="CFY32" t="s">
        <v>251</v>
      </c>
      <c r="CFZ32" t="s">
        <v>1305</v>
      </c>
      <c r="CGA32" t="s">
        <v>251</v>
      </c>
      <c r="CGB32" t="s">
        <v>1305</v>
      </c>
      <c r="CGC32" t="s">
        <v>251</v>
      </c>
      <c r="CGD32" t="s">
        <v>1305</v>
      </c>
      <c r="CGE32" t="s">
        <v>251</v>
      </c>
      <c r="CGF32" t="s">
        <v>1305</v>
      </c>
      <c r="CGG32" t="s">
        <v>251</v>
      </c>
      <c r="CGH32" t="s">
        <v>1305</v>
      </c>
      <c r="CGI32" t="s">
        <v>251</v>
      </c>
      <c r="CGJ32" t="s">
        <v>1305</v>
      </c>
      <c r="CGK32" t="s">
        <v>251</v>
      </c>
      <c r="CGL32" t="s">
        <v>1305</v>
      </c>
      <c r="CGM32" t="s">
        <v>251</v>
      </c>
      <c r="CGN32" t="s">
        <v>1305</v>
      </c>
      <c r="CGO32" t="s">
        <v>251</v>
      </c>
      <c r="CGP32" t="s">
        <v>1305</v>
      </c>
      <c r="CGQ32" t="s">
        <v>251</v>
      </c>
      <c r="CGR32" t="s">
        <v>1305</v>
      </c>
      <c r="CGS32" t="s">
        <v>251</v>
      </c>
      <c r="CGT32" t="s">
        <v>1305</v>
      </c>
      <c r="CGU32" t="s">
        <v>251</v>
      </c>
      <c r="CGV32" t="s">
        <v>1305</v>
      </c>
      <c r="CGW32" t="s">
        <v>251</v>
      </c>
      <c r="CGX32" t="s">
        <v>1305</v>
      </c>
      <c r="CGY32" t="s">
        <v>251</v>
      </c>
      <c r="CGZ32" t="s">
        <v>1305</v>
      </c>
      <c r="CHA32" t="s">
        <v>251</v>
      </c>
      <c r="CHB32" t="s">
        <v>1305</v>
      </c>
      <c r="CHC32" t="s">
        <v>251</v>
      </c>
      <c r="CHD32" t="s">
        <v>1305</v>
      </c>
      <c r="CHE32" t="s">
        <v>251</v>
      </c>
      <c r="CHF32" t="s">
        <v>1305</v>
      </c>
      <c r="CHG32" t="s">
        <v>251</v>
      </c>
      <c r="CHH32" t="s">
        <v>1305</v>
      </c>
      <c r="CHI32" t="s">
        <v>251</v>
      </c>
      <c r="CHJ32" t="s">
        <v>1305</v>
      </c>
      <c r="CHK32" t="s">
        <v>251</v>
      </c>
      <c r="CHL32" t="s">
        <v>1305</v>
      </c>
      <c r="CHM32" t="s">
        <v>251</v>
      </c>
      <c r="CHN32" t="s">
        <v>1305</v>
      </c>
      <c r="CHO32" t="s">
        <v>251</v>
      </c>
      <c r="CHP32" t="s">
        <v>1305</v>
      </c>
      <c r="CHQ32" t="s">
        <v>251</v>
      </c>
      <c r="CHR32" t="s">
        <v>1305</v>
      </c>
      <c r="CHS32" t="s">
        <v>251</v>
      </c>
      <c r="CHT32" t="s">
        <v>1305</v>
      </c>
      <c r="CHU32" t="s">
        <v>251</v>
      </c>
      <c r="CHV32" t="s">
        <v>1305</v>
      </c>
      <c r="CHW32" t="s">
        <v>251</v>
      </c>
      <c r="CHX32" t="s">
        <v>1305</v>
      </c>
      <c r="CHY32" t="s">
        <v>251</v>
      </c>
      <c r="CHZ32" t="s">
        <v>1305</v>
      </c>
      <c r="CIA32" t="s">
        <v>251</v>
      </c>
      <c r="CIB32" t="s">
        <v>1305</v>
      </c>
      <c r="CIC32" t="s">
        <v>251</v>
      </c>
      <c r="CID32" t="s">
        <v>1305</v>
      </c>
      <c r="CIE32" t="s">
        <v>251</v>
      </c>
      <c r="CIF32" t="s">
        <v>1305</v>
      </c>
      <c r="CIG32" t="s">
        <v>251</v>
      </c>
      <c r="CIH32" t="s">
        <v>1305</v>
      </c>
      <c r="CII32" t="s">
        <v>251</v>
      </c>
      <c r="CIJ32" t="s">
        <v>1305</v>
      </c>
      <c r="CIK32" t="s">
        <v>251</v>
      </c>
      <c r="CIL32" t="s">
        <v>1305</v>
      </c>
      <c r="CIM32" t="s">
        <v>251</v>
      </c>
      <c r="CIN32" t="s">
        <v>1305</v>
      </c>
      <c r="CIO32" t="s">
        <v>251</v>
      </c>
      <c r="CIP32" t="s">
        <v>1305</v>
      </c>
      <c r="CIQ32" t="s">
        <v>251</v>
      </c>
      <c r="CIR32" t="s">
        <v>1305</v>
      </c>
      <c r="CIS32" t="s">
        <v>251</v>
      </c>
      <c r="CIT32" t="s">
        <v>1305</v>
      </c>
      <c r="CIU32" t="s">
        <v>251</v>
      </c>
      <c r="CIV32" t="s">
        <v>1305</v>
      </c>
      <c r="CIW32" t="s">
        <v>251</v>
      </c>
      <c r="CIX32" t="s">
        <v>1305</v>
      </c>
      <c r="CIY32" t="s">
        <v>251</v>
      </c>
      <c r="CIZ32" t="s">
        <v>1305</v>
      </c>
      <c r="CJA32" t="s">
        <v>251</v>
      </c>
      <c r="CJB32" t="s">
        <v>1305</v>
      </c>
      <c r="CJC32" t="s">
        <v>251</v>
      </c>
      <c r="CJD32" t="s">
        <v>1305</v>
      </c>
      <c r="CJE32" t="s">
        <v>251</v>
      </c>
      <c r="CJF32" t="s">
        <v>1305</v>
      </c>
      <c r="CJG32" t="s">
        <v>251</v>
      </c>
      <c r="CJH32" t="s">
        <v>1305</v>
      </c>
      <c r="CJI32" t="s">
        <v>251</v>
      </c>
      <c r="CJJ32" t="s">
        <v>1305</v>
      </c>
      <c r="CJK32" t="s">
        <v>251</v>
      </c>
      <c r="CJL32" t="s">
        <v>1305</v>
      </c>
      <c r="CJM32" t="s">
        <v>251</v>
      </c>
      <c r="CJN32" t="s">
        <v>1305</v>
      </c>
      <c r="CJO32" t="s">
        <v>251</v>
      </c>
      <c r="CJP32" t="s">
        <v>1305</v>
      </c>
      <c r="CJQ32" t="s">
        <v>251</v>
      </c>
      <c r="CJR32" t="s">
        <v>1305</v>
      </c>
      <c r="CJS32" t="s">
        <v>251</v>
      </c>
      <c r="CJT32" t="s">
        <v>1305</v>
      </c>
      <c r="CJU32" t="s">
        <v>251</v>
      </c>
      <c r="CJV32" t="s">
        <v>1305</v>
      </c>
      <c r="CJW32" t="s">
        <v>251</v>
      </c>
      <c r="CJX32" t="s">
        <v>1305</v>
      </c>
      <c r="CJY32" t="s">
        <v>251</v>
      </c>
      <c r="CJZ32" t="s">
        <v>1305</v>
      </c>
      <c r="CKA32" t="s">
        <v>251</v>
      </c>
      <c r="CKB32" t="s">
        <v>1305</v>
      </c>
      <c r="CKC32" t="s">
        <v>251</v>
      </c>
      <c r="CKD32" t="s">
        <v>1305</v>
      </c>
      <c r="CKE32" t="s">
        <v>251</v>
      </c>
      <c r="CKF32" t="s">
        <v>1305</v>
      </c>
      <c r="CKG32" t="s">
        <v>251</v>
      </c>
      <c r="CKH32" t="s">
        <v>1305</v>
      </c>
      <c r="CKI32" t="s">
        <v>251</v>
      </c>
      <c r="CKJ32" t="s">
        <v>1305</v>
      </c>
      <c r="CKK32" t="s">
        <v>251</v>
      </c>
      <c r="CKL32" t="s">
        <v>1305</v>
      </c>
      <c r="CKM32" t="s">
        <v>251</v>
      </c>
      <c r="CKN32" t="s">
        <v>1305</v>
      </c>
      <c r="CKO32" t="s">
        <v>251</v>
      </c>
      <c r="CKP32" t="s">
        <v>1305</v>
      </c>
      <c r="CKQ32" t="s">
        <v>251</v>
      </c>
      <c r="CKR32" t="s">
        <v>1305</v>
      </c>
      <c r="CKS32" t="s">
        <v>251</v>
      </c>
      <c r="CKT32" t="s">
        <v>1305</v>
      </c>
      <c r="CKU32" t="s">
        <v>251</v>
      </c>
      <c r="CKV32" t="s">
        <v>1305</v>
      </c>
      <c r="CKW32" t="s">
        <v>251</v>
      </c>
      <c r="CKX32" t="s">
        <v>1305</v>
      </c>
      <c r="CKY32" t="s">
        <v>251</v>
      </c>
      <c r="CKZ32" t="s">
        <v>1305</v>
      </c>
      <c r="CLA32" t="s">
        <v>251</v>
      </c>
      <c r="CLB32" t="s">
        <v>1305</v>
      </c>
      <c r="CLC32" t="s">
        <v>251</v>
      </c>
      <c r="CLD32" t="s">
        <v>1305</v>
      </c>
      <c r="CLE32" t="s">
        <v>251</v>
      </c>
      <c r="CLF32" t="s">
        <v>1305</v>
      </c>
      <c r="CLG32" t="s">
        <v>251</v>
      </c>
      <c r="CLH32" t="s">
        <v>1305</v>
      </c>
      <c r="CLI32" t="s">
        <v>251</v>
      </c>
      <c r="CLJ32" t="s">
        <v>1305</v>
      </c>
      <c r="CLK32" t="s">
        <v>251</v>
      </c>
      <c r="CLL32" t="s">
        <v>1305</v>
      </c>
      <c r="CLM32" t="s">
        <v>251</v>
      </c>
      <c r="CLN32" t="s">
        <v>1305</v>
      </c>
      <c r="CLO32" t="s">
        <v>251</v>
      </c>
      <c r="CLP32" t="s">
        <v>1305</v>
      </c>
      <c r="CLQ32" t="s">
        <v>251</v>
      </c>
      <c r="CLR32" t="s">
        <v>1305</v>
      </c>
      <c r="CLS32" t="s">
        <v>251</v>
      </c>
      <c r="CLT32" t="s">
        <v>1305</v>
      </c>
      <c r="CLU32" t="s">
        <v>251</v>
      </c>
      <c r="CLV32" t="s">
        <v>1305</v>
      </c>
      <c r="CLW32" t="s">
        <v>251</v>
      </c>
      <c r="CLX32" t="s">
        <v>1305</v>
      </c>
      <c r="CLY32" t="s">
        <v>251</v>
      </c>
      <c r="CLZ32" t="s">
        <v>1305</v>
      </c>
      <c r="CMA32" t="s">
        <v>251</v>
      </c>
      <c r="CMB32" t="s">
        <v>1305</v>
      </c>
      <c r="CMC32" t="s">
        <v>251</v>
      </c>
      <c r="CMD32" t="s">
        <v>1305</v>
      </c>
      <c r="CME32" t="s">
        <v>251</v>
      </c>
      <c r="CMF32" t="s">
        <v>1305</v>
      </c>
      <c r="CMG32" t="s">
        <v>251</v>
      </c>
      <c r="CMH32" t="s">
        <v>1305</v>
      </c>
      <c r="CMI32" t="s">
        <v>251</v>
      </c>
      <c r="CMJ32" t="s">
        <v>1305</v>
      </c>
      <c r="CMK32" t="s">
        <v>251</v>
      </c>
      <c r="CML32" t="s">
        <v>1305</v>
      </c>
      <c r="CMM32" t="s">
        <v>251</v>
      </c>
      <c r="CMN32" t="s">
        <v>1305</v>
      </c>
      <c r="CMO32" t="s">
        <v>251</v>
      </c>
      <c r="CMP32" t="s">
        <v>1305</v>
      </c>
      <c r="CMQ32" t="s">
        <v>251</v>
      </c>
      <c r="CMR32" t="s">
        <v>1305</v>
      </c>
      <c r="CMS32" t="s">
        <v>251</v>
      </c>
      <c r="CMT32" t="s">
        <v>1305</v>
      </c>
      <c r="CMU32" t="s">
        <v>251</v>
      </c>
      <c r="CMV32" t="s">
        <v>1305</v>
      </c>
      <c r="CMW32" t="s">
        <v>251</v>
      </c>
      <c r="CMX32" t="s">
        <v>1305</v>
      </c>
      <c r="CMY32" t="s">
        <v>251</v>
      </c>
      <c r="CMZ32" t="s">
        <v>1305</v>
      </c>
      <c r="CNA32" t="s">
        <v>251</v>
      </c>
      <c r="CNB32" t="s">
        <v>1305</v>
      </c>
      <c r="CNC32" t="s">
        <v>251</v>
      </c>
      <c r="CND32" t="s">
        <v>1305</v>
      </c>
      <c r="CNE32" t="s">
        <v>251</v>
      </c>
      <c r="CNF32" t="s">
        <v>1305</v>
      </c>
      <c r="CNG32" t="s">
        <v>251</v>
      </c>
      <c r="CNH32" t="s">
        <v>1305</v>
      </c>
      <c r="CNI32" t="s">
        <v>251</v>
      </c>
      <c r="CNJ32" t="s">
        <v>1305</v>
      </c>
      <c r="CNK32" t="s">
        <v>251</v>
      </c>
      <c r="CNL32" t="s">
        <v>1305</v>
      </c>
      <c r="CNM32" t="s">
        <v>251</v>
      </c>
      <c r="CNN32" t="s">
        <v>1305</v>
      </c>
      <c r="CNO32" t="s">
        <v>251</v>
      </c>
      <c r="CNP32" t="s">
        <v>1305</v>
      </c>
      <c r="CNQ32" t="s">
        <v>251</v>
      </c>
      <c r="CNR32" t="s">
        <v>1305</v>
      </c>
      <c r="CNS32" t="s">
        <v>251</v>
      </c>
      <c r="CNT32" t="s">
        <v>1305</v>
      </c>
      <c r="CNU32" t="s">
        <v>251</v>
      </c>
      <c r="CNV32" t="s">
        <v>1305</v>
      </c>
      <c r="CNW32" t="s">
        <v>251</v>
      </c>
      <c r="CNX32" t="s">
        <v>1305</v>
      </c>
      <c r="CNY32" t="s">
        <v>251</v>
      </c>
      <c r="CNZ32" t="s">
        <v>1305</v>
      </c>
      <c r="COA32" t="s">
        <v>251</v>
      </c>
      <c r="COB32" t="s">
        <v>1305</v>
      </c>
      <c r="COC32" t="s">
        <v>251</v>
      </c>
      <c r="COD32" t="s">
        <v>1305</v>
      </c>
      <c r="COE32" t="s">
        <v>251</v>
      </c>
      <c r="COF32" t="s">
        <v>1305</v>
      </c>
      <c r="COG32" t="s">
        <v>251</v>
      </c>
      <c r="COH32" t="s">
        <v>1305</v>
      </c>
      <c r="COI32" t="s">
        <v>251</v>
      </c>
      <c r="COJ32" t="s">
        <v>1305</v>
      </c>
      <c r="COK32" t="s">
        <v>251</v>
      </c>
      <c r="COL32" t="s">
        <v>1305</v>
      </c>
      <c r="COM32" t="s">
        <v>251</v>
      </c>
      <c r="CON32" t="s">
        <v>1305</v>
      </c>
      <c r="COO32" t="s">
        <v>251</v>
      </c>
      <c r="COP32" t="s">
        <v>1305</v>
      </c>
      <c r="COQ32" t="s">
        <v>251</v>
      </c>
      <c r="COR32" t="s">
        <v>1305</v>
      </c>
      <c r="COS32" t="s">
        <v>251</v>
      </c>
      <c r="COT32" t="s">
        <v>1305</v>
      </c>
      <c r="COU32" t="s">
        <v>251</v>
      </c>
      <c r="COV32" t="s">
        <v>1305</v>
      </c>
      <c r="COW32" t="s">
        <v>251</v>
      </c>
      <c r="COX32" t="s">
        <v>1305</v>
      </c>
      <c r="COY32" t="s">
        <v>251</v>
      </c>
      <c r="COZ32" t="s">
        <v>1305</v>
      </c>
      <c r="CPA32" t="s">
        <v>251</v>
      </c>
      <c r="CPB32" t="s">
        <v>1305</v>
      </c>
      <c r="CPC32" t="s">
        <v>251</v>
      </c>
      <c r="CPD32" t="s">
        <v>1305</v>
      </c>
      <c r="CPE32" t="s">
        <v>251</v>
      </c>
      <c r="CPF32" t="s">
        <v>1305</v>
      </c>
      <c r="CPG32" t="s">
        <v>251</v>
      </c>
      <c r="CPH32" t="s">
        <v>1305</v>
      </c>
      <c r="CPI32" t="s">
        <v>251</v>
      </c>
      <c r="CPJ32" t="s">
        <v>1305</v>
      </c>
      <c r="CPK32" t="s">
        <v>251</v>
      </c>
      <c r="CPL32" t="s">
        <v>1305</v>
      </c>
      <c r="CPM32" t="s">
        <v>251</v>
      </c>
      <c r="CPN32" t="s">
        <v>1305</v>
      </c>
      <c r="CPO32" t="s">
        <v>251</v>
      </c>
      <c r="CPP32" t="s">
        <v>1305</v>
      </c>
      <c r="CPQ32" t="s">
        <v>251</v>
      </c>
      <c r="CPR32" t="s">
        <v>1305</v>
      </c>
      <c r="CPS32" t="s">
        <v>251</v>
      </c>
      <c r="CPT32" t="s">
        <v>1305</v>
      </c>
      <c r="CPU32" t="s">
        <v>251</v>
      </c>
      <c r="CPV32" t="s">
        <v>1305</v>
      </c>
      <c r="CPW32" t="s">
        <v>251</v>
      </c>
      <c r="CPX32" t="s">
        <v>1305</v>
      </c>
      <c r="CPY32" t="s">
        <v>251</v>
      </c>
      <c r="CPZ32" t="s">
        <v>1305</v>
      </c>
      <c r="CQA32" t="s">
        <v>251</v>
      </c>
      <c r="CQB32" t="s">
        <v>1305</v>
      </c>
      <c r="CQC32" t="s">
        <v>251</v>
      </c>
      <c r="CQD32" t="s">
        <v>1305</v>
      </c>
      <c r="CQE32" t="s">
        <v>251</v>
      </c>
      <c r="CQF32" t="s">
        <v>1305</v>
      </c>
      <c r="CQG32" t="s">
        <v>251</v>
      </c>
      <c r="CQH32" t="s">
        <v>1305</v>
      </c>
      <c r="CQI32" t="s">
        <v>251</v>
      </c>
      <c r="CQJ32" t="s">
        <v>1305</v>
      </c>
      <c r="CQK32" t="s">
        <v>251</v>
      </c>
      <c r="CQL32" t="s">
        <v>1305</v>
      </c>
      <c r="CQM32" t="s">
        <v>251</v>
      </c>
      <c r="CQN32" t="s">
        <v>1305</v>
      </c>
      <c r="CQO32" t="s">
        <v>251</v>
      </c>
      <c r="CQP32" t="s">
        <v>1305</v>
      </c>
      <c r="CQQ32" t="s">
        <v>251</v>
      </c>
      <c r="CQR32" t="s">
        <v>1305</v>
      </c>
      <c r="CQS32" t="s">
        <v>251</v>
      </c>
      <c r="CQT32" t="s">
        <v>1305</v>
      </c>
      <c r="CQU32" t="s">
        <v>251</v>
      </c>
      <c r="CQV32" t="s">
        <v>1305</v>
      </c>
      <c r="CQW32" t="s">
        <v>251</v>
      </c>
      <c r="CQX32" t="s">
        <v>1305</v>
      </c>
      <c r="CQY32" t="s">
        <v>251</v>
      </c>
      <c r="CQZ32" t="s">
        <v>1305</v>
      </c>
      <c r="CRA32" t="s">
        <v>251</v>
      </c>
      <c r="CRB32" t="s">
        <v>1305</v>
      </c>
      <c r="CRC32" t="s">
        <v>251</v>
      </c>
      <c r="CRD32" t="s">
        <v>1305</v>
      </c>
      <c r="CRE32" t="s">
        <v>251</v>
      </c>
      <c r="CRF32" t="s">
        <v>1305</v>
      </c>
      <c r="CRG32" t="s">
        <v>251</v>
      </c>
      <c r="CRH32" t="s">
        <v>1305</v>
      </c>
      <c r="CRI32" t="s">
        <v>251</v>
      </c>
      <c r="CRJ32" t="s">
        <v>1305</v>
      </c>
      <c r="CRK32" t="s">
        <v>251</v>
      </c>
      <c r="CRL32" t="s">
        <v>1305</v>
      </c>
      <c r="CRM32" t="s">
        <v>251</v>
      </c>
      <c r="CRN32" t="s">
        <v>1305</v>
      </c>
      <c r="CRO32" t="s">
        <v>251</v>
      </c>
      <c r="CRP32" t="s">
        <v>1305</v>
      </c>
      <c r="CRQ32" t="s">
        <v>251</v>
      </c>
      <c r="CRR32" t="s">
        <v>1305</v>
      </c>
      <c r="CRS32" t="s">
        <v>251</v>
      </c>
      <c r="CRT32" t="s">
        <v>1305</v>
      </c>
      <c r="CRU32" t="s">
        <v>251</v>
      </c>
      <c r="CRV32" t="s">
        <v>1305</v>
      </c>
      <c r="CRW32" t="s">
        <v>251</v>
      </c>
      <c r="CRX32" t="s">
        <v>1305</v>
      </c>
      <c r="CRY32" t="s">
        <v>251</v>
      </c>
      <c r="CRZ32" t="s">
        <v>1305</v>
      </c>
      <c r="CSA32" t="s">
        <v>251</v>
      </c>
      <c r="CSB32" t="s">
        <v>1305</v>
      </c>
      <c r="CSC32" t="s">
        <v>251</v>
      </c>
      <c r="CSD32" t="s">
        <v>1305</v>
      </c>
      <c r="CSE32" t="s">
        <v>251</v>
      </c>
      <c r="CSF32" t="s">
        <v>1305</v>
      </c>
      <c r="CSG32" t="s">
        <v>251</v>
      </c>
      <c r="CSH32" t="s">
        <v>1305</v>
      </c>
      <c r="CSI32" t="s">
        <v>251</v>
      </c>
      <c r="CSJ32" t="s">
        <v>1305</v>
      </c>
      <c r="CSK32" t="s">
        <v>251</v>
      </c>
      <c r="CSL32" t="s">
        <v>1305</v>
      </c>
      <c r="CSM32" t="s">
        <v>251</v>
      </c>
      <c r="CSN32" t="s">
        <v>1305</v>
      </c>
      <c r="CSO32" t="s">
        <v>251</v>
      </c>
      <c r="CSP32" t="s">
        <v>1305</v>
      </c>
      <c r="CSQ32" t="s">
        <v>251</v>
      </c>
      <c r="CSR32" t="s">
        <v>1305</v>
      </c>
      <c r="CSS32" t="s">
        <v>251</v>
      </c>
      <c r="CST32" t="s">
        <v>1305</v>
      </c>
      <c r="CSU32" t="s">
        <v>251</v>
      </c>
      <c r="CSV32" t="s">
        <v>1305</v>
      </c>
      <c r="CSW32" t="s">
        <v>251</v>
      </c>
      <c r="CSX32" t="s">
        <v>1305</v>
      </c>
      <c r="CSY32" t="s">
        <v>251</v>
      </c>
      <c r="CSZ32" t="s">
        <v>1305</v>
      </c>
      <c r="CTA32" t="s">
        <v>251</v>
      </c>
      <c r="CTB32" t="s">
        <v>1305</v>
      </c>
      <c r="CTC32" t="s">
        <v>251</v>
      </c>
      <c r="CTD32" t="s">
        <v>1305</v>
      </c>
      <c r="CTE32" t="s">
        <v>251</v>
      </c>
      <c r="CTF32" t="s">
        <v>1305</v>
      </c>
      <c r="CTG32" t="s">
        <v>251</v>
      </c>
      <c r="CTH32" t="s">
        <v>1305</v>
      </c>
      <c r="CTI32" t="s">
        <v>251</v>
      </c>
      <c r="CTJ32" t="s">
        <v>1305</v>
      </c>
      <c r="CTK32" t="s">
        <v>251</v>
      </c>
      <c r="CTL32" t="s">
        <v>1305</v>
      </c>
      <c r="CTM32" t="s">
        <v>251</v>
      </c>
      <c r="CTN32" t="s">
        <v>1305</v>
      </c>
      <c r="CTO32" t="s">
        <v>251</v>
      </c>
      <c r="CTP32" t="s">
        <v>1305</v>
      </c>
      <c r="CTQ32" t="s">
        <v>251</v>
      </c>
      <c r="CTR32" t="s">
        <v>1305</v>
      </c>
      <c r="CTS32" t="s">
        <v>251</v>
      </c>
      <c r="CTT32" t="s">
        <v>1305</v>
      </c>
      <c r="CTU32" t="s">
        <v>251</v>
      </c>
      <c r="CTV32" t="s">
        <v>1305</v>
      </c>
      <c r="CTW32" t="s">
        <v>251</v>
      </c>
      <c r="CTX32" t="s">
        <v>1305</v>
      </c>
      <c r="CTY32" t="s">
        <v>251</v>
      </c>
      <c r="CTZ32" t="s">
        <v>1305</v>
      </c>
      <c r="CUA32" t="s">
        <v>251</v>
      </c>
      <c r="CUB32" t="s">
        <v>1305</v>
      </c>
      <c r="CUC32" t="s">
        <v>251</v>
      </c>
      <c r="CUD32" t="s">
        <v>1305</v>
      </c>
      <c r="CUE32" t="s">
        <v>251</v>
      </c>
      <c r="CUF32" t="s">
        <v>1305</v>
      </c>
      <c r="CUG32" t="s">
        <v>251</v>
      </c>
      <c r="CUH32" t="s">
        <v>1305</v>
      </c>
      <c r="CUI32" t="s">
        <v>251</v>
      </c>
      <c r="CUJ32" t="s">
        <v>1305</v>
      </c>
      <c r="CUK32" t="s">
        <v>251</v>
      </c>
      <c r="CUL32" t="s">
        <v>1305</v>
      </c>
      <c r="CUM32" t="s">
        <v>251</v>
      </c>
      <c r="CUN32" t="s">
        <v>1305</v>
      </c>
      <c r="CUO32" t="s">
        <v>251</v>
      </c>
      <c r="CUP32" t="s">
        <v>1305</v>
      </c>
      <c r="CUQ32" t="s">
        <v>251</v>
      </c>
      <c r="CUR32" t="s">
        <v>1305</v>
      </c>
      <c r="CUS32" t="s">
        <v>251</v>
      </c>
      <c r="CUT32" t="s">
        <v>1305</v>
      </c>
      <c r="CUU32" t="s">
        <v>251</v>
      </c>
      <c r="CUV32" t="s">
        <v>1305</v>
      </c>
      <c r="CUW32" t="s">
        <v>251</v>
      </c>
      <c r="CUX32" t="s">
        <v>1305</v>
      </c>
      <c r="CUY32" t="s">
        <v>251</v>
      </c>
      <c r="CUZ32" t="s">
        <v>1305</v>
      </c>
      <c r="CVA32" t="s">
        <v>251</v>
      </c>
      <c r="CVB32" t="s">
        <v>1305</v>
      </c>
      <c r="CVC32" t="s">
        <v>251</v>
      </c>
      <c r="CVD32" t="s">
        <v>1305</v>
      </c>
      <c r="CVE32" t="s">
        <v>251</v>
      </c>
      <c r="CVF32" t="s">
        <v>1305</v>
      </c>
      <c r="CVG32" t="s">
        <v>251</v>
      </c>
      <c r="CVH32" t="s">
        <v>1305</v>
      </c>
      <c r="CVI32" t="s">
        <v>251</v>
      </c>
      <c r="CVJ32" t="s">
        <v>1305</v>
      </c>
      <c r="CVK32" t="s">
        <v>251</v>
      </c>
      <c r="CVL32" t="s">
        <v>1305</v>
      </c>
      <c r="CVM32" t="s">
        <v>251</v>
      </c>
      <c r="CVN32" t="s">
        <v>1305</v>
      </c>
      <c r="CVO32" t="s">
        <v>251</v>
      </c>
      <c r="CVP32" t="s">
        <v>1305</v>
      </c>
      <c r="CVQ32" t="s">
        <v>251</v>
      </c>
      <c r="CVR32" t="s">
        <v>1305</v>
      </c>
      <c r="CVS32" t="s">
        <v>251</v>
      </c>
      <c r="CVT32" t="s">
        <v>1305</v>
      </c>
      <c r="CVU32" t="s">
        <v>251</v>
      </c>
      <c r="CVV32" t="s">
        <v>1305</v>
      </c>
      <c r="CVW32" t="s">
        <v>251</v>
      </c>
      <c r="CVX32" t="s">
        <v>1305</v>
      </c>
      <c r="CVY32" t="s">
        <v>251</v>
      </c>
      <c r="CVZ32" t="s">
        <v>1305</v>
      </c>
      <c r="CWA32" t="s">
        <v>251</v>
      </c>
      <c r="CWB32" t="s">
        <v>1305</v>
      </c>
      <c r="CWC32" t="s">
        <v>251</v>
      </c>
      <c r="CWD32" t="s">
        <v>1305</v>
      </c>
      <c r="CWE32" t="s">
        <v>251</v>
      </c>
      <c r="CWF32" t="s">
        <v>1305</v>
      </c>
      <c r="CWG32" t="s">
        <v>251</v>
      </c>
      <c r="CWH32" t="s">
        <v>1305</v>
      </c>
      <c r="CWI32" t="s">
        <v>251</v>
      </c>
      <c r="CWJ32" t="s">
        <v>1305</v>
      </c>
      <c r="CWK32" t="s">
        <v>251</v>
      </c>
      <c r="CWL32" t="s">
        <v>1305</v>
      </c>
      <c r="CWM32" t="s">
        <v>251</v>
      </c>
      <c r="CWN32" t="s">
        <v>1305</v>
      </c>
      <c r="CWO32" t="s">
        <v>251</v>
      </c>
      <c r="CWP32" t="s">
        <v>1305</v>
      </c>
      <c r="CWQ32" t="s">
        <v>251</v>
      </c>
      <c r="CWR32" t="s">
        <v>1305</v>
      </c>
      <c r="CWS32" t="s">
        <v>251</v>
      </c>
      <c r="CWT32" t="s">
        <v>1305</v>
      </c>
      <c r="CWU32" t="s">
        <v>251</v>
      </c>
      <c r="CWV32" t="s">
        <v>1305</v>
      </c>
      <c r="CWW32" t="s">
        <v>251</v>
      </c>
      <c r="CWX32" t="s">
        <v>1305</v>
      </c>
      <c r="CWY32" t="s">
        <v>251</v>
      </c>
      <c r="CWZ32" t="s">
        <v>1305</v>
      </c>
      <c r="CXA32" t="s">
        <v>251</v>
      </c>
      <c r="CXB32" t="s">
        <v>1305</v>
      </c>
      <c r="CXC32" t="s">
        <v>251</v>
      </c>
      <c r="CXD32" t="s">
        <v>1305</v>
      </c>
      <c r="CXE32" t="s">
        <v>251</v>
      </c>
      <c r="CXF32" t="s">
        <v>1305</v>
      </c>
      <c r="CXG32" t="s">
        <v>251</v>
      </c>
      <c r="CXH32" t="s">
        <v>1305</v>
      </c>
      <c r="CXI32" t="s">
        <v>251</v>
      </c>
      <c r="CXJ32" t="s">
        <v>1305</v>
      </c>
      <c r="CXK32" t="s">
        <v>251</v>
      </c>
      <c r="CXL32" t="s">
        <v>1305</v>
      </c>
      <c r="CXM32" t="s">
        <v>251</v>
      </c>
      <c r="CXN32" t="s">
        <v>1305</v>
      </c>
      <c r="CXO32" t="s">
        <v>251</v>
      </c>
      <c r="CXP32" t="s">
        <v>1305</v>
      </c>
      <c r="CXQ32" t="s">
        <v>251</v>
      </c>
      <c r="CXR32" t="s">
        <v>1305</v>
      </c>
      <c r="CXS32" t="s">
        <v>251</v>
      </c>
      <c r="CXT32" t="s">
        <v>1305</v>
      </c>
      <c r="CXU32" t="s">
        <v>251</v>
      </c>
      <c r="CXV32" t="s">
        <v>1305</v>
      </c>
      <c r="CXW32" t="s">
        <v>251</v>
      </c>
      <c r="CXX32" t="s">
        <v>1305</v>
      </c>
      <c r="CXY32" t="s">
        <v>251</v>
      </c>
      <c r="CXZ32" t="s">
        <v>1305</v>
      </c>
      <c r="CYA32" t="s">
        <v>251</v>
      </c>
      <c r="CYB32" t="s">
        <v>1305</v>
      </c>
      <c r="CYC32" t="s">
        <v>251</v>
      </c>
      <c r="CYD32" t="s">
        <v>1305</v>
      </c>
      <c r="CYE32" t="s">
        <v>251</v>
      </c>
      <c r="CYF32" t="s">
        <v>1305</v>
      </c>
      <c r="CYG32" t="s">
        <v>251</v>
      </c>
      <c r="CYH32" t="s">
        <v>1305</v>
      </c>
      <c r="CYI32" t="s">
        <v>251</v>
      </c>
      <c r="CYJ32" t="s">
        <v>1305</v>
      </c>
      <c r="CYK32" t="s">
        <v>251</v>
      </c>
      <c r="CYL32" t="s">
        <v>1305</v>
      </c>
      <c r="CYM32" t="s">
        <v>251</v>
      </c>
      <c r="CYN32" t="s">
        <v>1305</v>
      </c>
      <c r="CYO32" t="s">
        <v>251</v>
      </c>
      <c r="CYP32" t="s">
        <v>1305</v>
      </c>
      <c r="CYQ32" t="s">
        <v>251</v>
      </c>
      <c r="CYR32" t="s">
        <v>1305</v>
      </c>
      <c r="CYS32" t="s">
        <v>251</v>
      </c>
      <c r="CYT32" t="s">
        <v>1305</v>
      </c>
      <c r="CYU32" t="s">
        <v>251</v>
      </c>
      <c r="CYV32" t="s">
        <v>1305</v>
      </c>
      <c r="CYW32" t="s">
        <v>251</v>
      </c>
      <c r="CYX32" t="s">
        <v>1305</v>
      </c>
      <c r="CYY32" t="s">
        <v>251</v>
      </c>
      <c r="CYZ32" t="s">
        <v>1305</v>
      </c>
      <c r="CZA32" t="s">
        <v>251</v>
      </c>
      <c r="CZB32" t="s">
        <v>1305</v>
      </c>
      <c r="CZC32" t="s">
        <v>251</v>
      </c>
      <c r="CZD32" t="s">
        <v>1305</v>
      </c>
      <c r="CZE32" t="s">
        <v>251</v>
      </c>
      <c r="CZF32" t="s">
        <v>1305</v>
      </c>
      <c r="CZG32" t="s">
        <v>251</v>
      </c>
      <c r="CZH32" t="s">
        <v>1305</v>
      </c>
      <c r="CZI32" t="s">
        <v>251</v>
      </c>
      <c r="CZJ32" t="s">
        <v>1305</v>
      </c>
      <c r="CZK32" t="s">
        <v>251</v>
      </c>
      <c r="CZL32" t="s">
        <v>1305</v>
      </c>
      <c r="CZM32" t="s">
        <v>251</v>
      </c>
      <c r="CZN32" t="s">
        <v>1305</v>
      </c>
      <c r="CZO32" t="s">
        <v>251</v>
      </c>
      <c r="CZP32" t="s">
        <v>1305</v>
      </c>
      <c r="CZQ32" t="s">
        <v>251</v>
      </c>
      <c r="CZR32" t="s">
        <v>1305</v>
      </c>
      <c r="CZS32" t="s">
        <v>251</v>
      </c>
      <c r="CZT32" t="s">
        <v>1305</v>
      </c>
      <c r="CZU32" t="s">
        <v>251</v>
      </c>
      <c r="CZV32" t="s">
        <v>1305</v>
      </c>
      <c r="CZW32" t="s">
        <v>251</v>
      </c>
      <c r="CZX32" t="s">
        <v>1305</v>
      </c>
      <c r="CZY32" t="s">
        <v>251</v>
      </c>
      <c r="CZZ32" t="s">
        <v>1305</v>
      </c>
      <c r="DAA32" t="s">
        <v>251</v>
      </c>
      <c r="DAB32" t="s">
        <v>1305</v>
      </c>
      <c r="DAC32" t="s">
        <v>251</v>
      </c>
      <c r="DAD32" t="s">
        <v>1305</v>
      </c>
      <c r="DAE32" t="s">
        <v>251</v>
      </c>
      <c r="DAF32" t="s">
        <v>1305</v>
      </c>
      <c r="DAG32" t="s">
        <v>251</v>
      </c>
      <c r="DAH32" t="s">
        <v>1305</v>
      </c>
      <c r="DAI32" t="s">
        <v>251</v>
      </c>
      <c r="DAJ32" t="s">
        <v>1305</v>
      </c>
      <c r="DAK32" t="s">
        <v>251</v>
      </c>
      <c r="DAL32" t="s">
        <v>1305</v>
      </c>
      <c r="DAM32" t="s">
        <v>251</v>
      </c>
      <c r="DAN32" t="s">
        <v>1305</v>
      </c>
      <c r="DAO32" t="s">
        <v>251</v>
      </c>
      <c r="DAP32" t="s">
        <v>1305</v>
      </c>
      <c r="DAQ32" t="s">
        <v>251</v>
      </c>
      <c r="DAR32" t="s">
        <v>1305</v>
      </c>
      <c r="DAS32" t="s">
        <v>251</v>
      </c>
      <c r="DAT32" t="s">
        <v>1305</v>
      </c>
      <c r="DAU32" t="s">
        <v>251</v>
      </c>
      <c r="DAV32" t="s">
        <v>1305</v>
      </c>
      <c r="DAW32" t="s">
        <v>251</v>
      </c>
      <c r="DAX32" t="s">
        <v>1305</v>
      </c>
      <c r="DAY32" t="s">
        <v>251</v>
      </c>
      <c r="DAZ32" t="s">
        <v>1305</v>
      </c>
      <c r="DBA32" t="s">
        <v>251</v>
      </c>
      <c r="DBB32" t="s">
        <v>1305</v>
      </c>
      <c r="DBC32" t="s">
        <v>251</v>
      </c>
      <c r="DBD32" t="s">
        <v>1305</v>
      </c>
      <c r="DBE32" t="s">
        <v>251</v>
      </c>
      <c r="DBF32" t="s">
        <v>1305</v>
      </c>
      <c r="DBG32" t="s">
        <v>251</v>
      </c>
      <c r="DBH32" t="s">
        <v>1305</v>
      </c>
      <c r="DBI32" t="s">
        <v>251</v>
      </c>
      <c r="DBJ32" t="s">
        <v>1305</v>
      </c>
      <c r="DBK32" t="s">
        <v>251</v>
      </c>
      <c r="DBL32" t="s">
        <v>1305</v>
      </c>
      <c r="DBM32" t="s">
        <v>251</v>
      </c>
      <c r="DBN32" t="s">
        <v>1305</v>
      </c>
      <c r="DBO32" t="s">
        <v>251</v>
      </c>
      <c r="DBP32" t="s">
        <v>1305</v>
      </c>
      <c r="DBQ32" t="s">
        <v>251</v>
      </c>
      <c r="DBR32" t="s">
        <v>1305</v>
      </c>
      <c r="DBS32" t="s">
        <v>251</v>
      </c>
      <c r="DBT32" t="s">
        <v>1305</v>
      </c>
      <c r="DBU32" t="s">
        <v>251</v>
      </c>
      <c r="DBV32" t="s">
        <v>1305</v>
      </c>
      <c r="DBW32" t="s">
        <v>251</v>
      </c>
      <c r="DBX32" t="s">
        <v>1305</v>
      </c>
      <c r="DBY32" t="s">
        <v>251</v>
      </c>
      <c r="DBZ32" t="s">
        <v>1305</v>
      </c>
      <c r="DCA32" t="s">
        <v>251</v>
      </c>
      <c r="DCB32" t="s">
        <v>1305</v>
      </c>
      <c r="DCC32" t="s">
        <v>251</v>
      </c>
      <c r="DCD32" t="s">
        <v>1305</v>
      </c>
      <c r="DCE32" t="s">
        <v>251</v>
      </c>
      <c r="DCF32" t="s">
        <v>1305</v>
      </c>
      <c r="DCG32" t="s">
        <v>251</v>
      </c>
      <c r="DCH32" t="s">
        <v>1305</v>
      </c>
      <c r="DCI32" t="s">
        <v>251</v>
      </c>
      <c r="DCJ32" t="s">
        <v>1305</v>
      </c>
      <c r="DCK32" t="s">
        <v>251</v>
      </c>
      <c r="DCL32" t="s">
        <v>1305</v>
      </c>
      <c r="DCM32" t="s">
        <v>251</v>
      </c>
      <c r="DCN32" t="s">
        <v>1305</v>
      </c>
      <c r="DCO32" t="s">
        <v>251</v>
      </c>
      <c r="DCP32" t="s">
        <v>1305</v>
      </c>
      <c r="DCQ32" t="s">
        <v>251</v>
      </c>
      <c r="DCR32" t="s">
        <v>1305</v>
      </c>
      <c r="DCS32" t="s">
        <v>251</v>
      </c>
      <c r="DCT32" t="s">
        <v>1305</v>
      </c>
      <c r="DCU32" t="s">
        <v>251</v>
      </c>
      <c r="DCV32" t="s">
        <v>1305</v>
      </c>
      <c r="DCW32" t="s">
        <v>251</v>
      </c>
      <c r="DCX32" t="s">
        <v>1305</v>
      </c>
      <c r="DCY32" t="s">
        <v>251</v>
      </c>
      <c r="DCZ32" t="s">
        <v>1305</v>
      </c>
      <c r="DDA32" t="s">
        <v>251</v>
      </c>
      <c r="DDB32" t="s">
        <v>1305</v>
      </c>
      <c r="DDC32" t="s">
        <v>251</v>
      </c>
      <c r="DDD32" t="s">
        <v>1305</v>
      </c>
      <c r="DDE32" t="s">
        <v>251</v>
      </c>
      <c r="DDF32" t="s">
        <v>1305</v>
      </c>
      <c r="DDG32" t="s">
        <v>251</v>
      </c>
      <c r="DDH32" t="s">
        <v>1305</v>
      </c>
      <c r="DDI32" t="s">
        <v>251</v>
      </c>
      <c r="DDJ32" t="s">
        <v>1305</v>
      </c>
      <c r="DDK32" t="s">
        <v>251</v>
      </c>
      <c r="DDL32" t="s">
        <v>1305</v>
      </c>
      <c r="DDM32" t="s">
        <v>251</v>
      </c>
      <c r="DDN32" t="s">
        <v>1305</v>
      </c>
      <c r="DDO32" t="s">
        <v>251</v>
      </c>
      <c r="DDP32" t="s">
        <v>1305</v>
      </c>
      <c r="DDQ32" t="s">
        <v>251</v>
      </c>
      <c r="DDR32" t="s">
        <v>1305</v>
      </c>
      <c r="DDS32" t="s">
        <v>251</v>
      </c>
      <c r="DDT32" t="s">
        <v>1305</v>
      </c>
      <c r="DDU32" t="s">
        <v>251</v>
      </c>
      <c r="DDV32" t="s">
        <v>1305</v>
      </c>
      <c r="DDW32" t="s">
        <v>251</v>
      </c>
      <c r="DDX32" t="s">
        <v>1305</v>
      </c>
      <c r="DDY32" t="s">
        <v>251</v>
      </c>
      <c r="DDZ32" t="s">
        <v>1305</v>
      </c>
      <c r="DEA32" t="s">
        <v>251</v>
      </c>
      <c r="DEB32" t="s">
        <v>1305</v>
      </c>
      <c r="DEC32" t="s">
        <v>251</v>
      </c>
      <c r="DED32" t="s">
        <v>1305</v>
      </c>
      <c r="DEE32" t="s">
        <v>251</v>
      </c>
      <c r="DEF32" t="s">
        <v>1305</v>
      </c>
      <c r="DEG32" t="s">
        <v>251</v>
      </c>
      <c r="DEH32" t="s">
        <v>1305</v>
      </c>
      <c r="DEI32" t="s">
        <v>251</v>
      </c>
      <c r="DEJ32" t="s">
        <v>1305</v>
      </c>
      <c r="DEK32" t="s">
        <v>251</v>
      </c>
      <c r="DEL32" t="s">
        <v>1305</v>
      </c>
      <c r="DEM32" t="s">
        <v>251</v>
      </c>
      <c r="DEN32" t="s">
        <v>1305</v>
      </c>
      <c r="DEO32" t="s">
        <v>251</v>
      </c>
      <c r="DEP32" t="s">
        <v>1305</v>
      </c>
      <c r="DEQ32" t="s">
        <v>251</v>
      </c>
      <c r="DER32" t="s">
        <v>1305</v>
      </c>
      <c r="DES32" t="s">
        <v>251</v>
      </c>
      <c r="DET32" t="s">
        <v>1305</v>
      </c>
      <c r="DEU32" t="s">
        <v>251</v>
      </c>
      <c r="DEV32" t="s">
        <v>1305</v>
      </c>
      <c r="DEW32" t="s">
        <v>251</v>
      </c>
      <c r="DEX32" t="s">
        <v>1305</v>
      </c>
      <c r="DEY32" t="s">
        <v>251</v>
      </c>
      <c r="DEZ32" t="s">
        <v>1305</v>
      </c>
      <c r="DFA32" t="s">
        <v>251</v>
      </c>
      <c r="DFB32" t="s">
        <v>1305</v>
      </c>
      <c r="DFC32" t="s">
        <v>251</v>
      </c>
      <c r="DFD32" t="s">
        <v>1305</v>
      </c>
      <c r="DFE32" t="s">
        <v>251</v>
      </c>
      <c r="DFF32" t="s">
        <v>1305</v>
      </c>
      <c r="DFG32" t="s">
        <v>251</v>
      </c>
      <c r="DFH32" t="s">
        <v>1305</v>
      </c>
      <c r="DFI32" t="s">
        <v>251</v>
      </c>
      <c r="DFJ32" t="s">
        <v>1305</v>
      </c>
      <c r="DFK32" t="s">
        <v>251</v>
      </c>
      <c r="DFL32" t="s">
        <v>1305</v>
      </c>
      <c r="DFM32" t="s">
        <v>251</v>
      </c>
      <c r="DFN32" t="s">
        <v>1305</v>
      </c>
      <c r="DFO32" t="s">
        <v>251</v>
      </c>
      <c r="DFP32" t="s">
        <v>1305</v>
      </c>
      <c r="DFQ32" t="s">
        <v>251</v>
      </c>
      <c r="DFR32" t="s">
        <v>1305</v>
      </c>
      <c r="DFS32" t="s">
        <v>251</v>
      </c>
      <c r="DFT32" t="s">
        <v>1305</v>
      </c>
      <c r="DFU32" t="s">
        <v>251</v>
      </c>
      <c r="DFV32" t="s">
        <v>1305</v>
      </c>
      <c r="DFW32" t="s">
        <v>251</v>
      </c>
      <c r="DFX32" t="s">
        <v>1305</v>
      </c>
      <c r="DFY32" t="s">
        <v>251</v>
      </c>
      <c r="DFZ32" t="s">
        <v>1305</v>
      </c>
      <c r="DGA32" t="s">
        <v>251</v>
      </c>
      <c r="DGB32" t="s">
        <v>1305</v>
      </c>
      <c r="DGC32" t="s">
        <v>251</v>
      </c>
      <c r="DGD32" t="s">
        <v>1305</v>
      </c>
      <c r="DGE32" t="s">
        <v>251</v>
      </c>
      <c r="DGF32" t="s">
        <v>1305</v>
      </c>
      <c r="DGG32" t="s">
        <v>251</v>
      </c>
      <c r="DGH32" t="s">
        <v>1305</v>
      </c>
      <c r="DGI32" t="s">
        <v>251</v>
      </c>
      <c r="DGJ32" t="s">
        <v>1305</v>
      </c>
      <c r="DGK32" t="s">
        <v>251</v>
      </c>
      <c r="DGL32" t="s">
        <v>1305</v>
      </c>
      <c r="DGM32" t="s">
        <v>251</v>
      </c>
      <c r="DGN32" t="s">
        <v>1305</v>
      </c>
      <c r="DGO32" t="s">
        <v>251</v>
      </c>
      <c r="DGP32" t="s">
        <v>1305</v>
      </c>
      <c r="DGQ32" t="s">
        <v>251</v>
      </c>
      <c r="DGR32" t="s">
        <v>1305</v>
      </c>
      <c r="DGS32" t="s">
        <v>251</v>
      </c>
      <c r="DGT32" t="s">
        <v>1305</v>
      </c>
      <c r="DGU32" t="s">
        <v>251</v>
      </c>
      <c r="DGV32" t="s">
        <v>1305</v>
      </c>
      <c r="DGW32" t="s">
        <v>251</v>
      </c>
      <c r="DGX32" t="s">
        <v>1305</v>
      </c>
      <c r="DGY32" t="s">
        <v>251</v>
      </c>
      <c r="DGZ32" t="s">
        <v>1305</v>
      </c>
      <c r="DHA32" t="s">
        <v>251</v>
      </c>
      <c r="DHB32" t="s">
        <v>1305</v>
      </c>
      <c r="DHC32" t="s">
        <v>251</v>
      </c>
      <c r="DHD32" t="s">
        <v>1305</v>
      </c>
      <c r="DHE32" t="s">
        <v>251</v>
      </c>
      <c r="DHF32" t="s">
        <v>1305</v>
      </c>
      <c r="DHG32" t="s">
        <v>251</v>
      </c>
      <c r="DHH32" t="s">
        <v>1305</v>
      </c>
      <c r="DHI32" t="s">
        <v>251</v>
      </c>
      <c r="DHJ32" t="s">
        <v>1305</v>
      </c>
      <c r="DHK32" t="s">
        <v>251</v>
      </c>
      <c r="DHL32" t="s">
        <v>1305</v>
      </c>
      <c r="DHM32" t="s">
        <v>251</v>
      </c>
      <c r="DHN32" t="s">
        <v>1305</v>
      </c>
      <c r="DHO32" t="s">
        <v>251</v>
      </c>
      <c r="DHP32" t="s">
        <v>1305</v>
      </c>
      <c r="DHQ32" t="s">
        <v>251</v>
      </c>
      <c r="DHR32" t="s">
        <v>1305</v>
      </c>
      <c r="DHS32" t="s">
        <v>251</v>
      </c>
      <c r="DHT32" t="s">
        <v>1305</v>
      </c>
      <c r="DHU32" t="s">
        <v>251</v>
      </c>
      <c r="DHV32" t="s">
        <v>1305</v>
      </c>
      <c r="DHW32" t="s">
        <v>251</v>
      </c>
      <c r="DHX32" t="s">
        <v>1305</v>
      </c>
      <c r="DHY32" t="s">
        <v>251</v>
      </c>
      <c r="DHZ32" t="s">
        <v>1305</v>
      </c>
      <c r="DIA32" t="s">
        <v>251</v>
      </c>
      <c r="DIB32" t="s">
        <v>1305</v>
      </c>
      <c r="DIC32" t="s">
        <v>251</v>
      </c>
      <c r="DID32" t="s">
        <v>1305</v>
      </c>
      <c r="DIE32" t="s">
        <v>251</v>
      </c>
      <c r="DIF32" t="s">
        <v>1305</v>
      </c>
      <c r="DIG32" t="s">
        <v>251</v>
      </c>
      <c r="DIH32" t="s">
        <v>1305</v>
      </c>
      <c r="DII32" t="s">
        <v>251</v>
      </c>
      <c r="DIJ32" t="s">
        <v>1305</v>
      </c>
      <c r="DIK32" t="s">
        <v>251</v>
      </c>
      <c r="DIL32" t="s">
        <v>1305</v>
      </c>
      <c r="DIM32" t="s">
        <v>251</v>
      </c>
      <c r="DIN32" t="s">
        <v>1305</v>
      </c>
      <c r="DIO32" t="s">
        <v>251</v>
      </c>
      <c r="DIP32" t="s">
        <v>1305</v>
      </c>
      <c r="DIQ32" t="s">
        <v>251</v>
      </c>
      <c r="DIR32" t="s">
        <v>1305</v>
      </c>
      <c r="DIS32" t="s">
        <v>251</v>
      </c>
      <c r="DIT32" t="s">
        <v>1305</v>
      </c>
      <c r="DIU32" t="s">
        <v>251</v>
      </c>
      <c r="DIV32" t="s">
        <v>1305</v>
      </c>
      <c r="DIW32" t="s">
        <v>251</v>
      </c>
      <c r="DIX32" t="s">
        <v>1305</v>
      </c>
      <c r="DIY32" t="s">
        <v>251</v>
      </c>
      <c r="DIZ32" t="s">
        <v>1305</v>
      </c>
      <c r="DJA32" t="s">
        <v>251</v>
      </c>
      <c r="DJB32" t="s">
        <v>1305</v>
      </c>
      <c r="DJC32" t="s">
        <v>251</v>
      </c>
      <c r="DJD32" t="s">
        <v>1305</v>
      </c>
      <c r="DJE32" t="s">
        <v>251</v>
      </c>
      <c r="DJF32" t="s">
        <v>1305</v>
      </c>
      <c r="DJG32" t="s">
        <v>251</v>
      </c>
      <c r="DJH32" t="s">
        <v>1305</v>
      </c>
      <c r="DJI32" t="s">
        <v>251</v>
      </c>
      <c r="DJJ32" t="s">
        <v>1305</v>
      </c>
      <c r="DJK32" t="s">
        <v>251</v>
      </c>
      <c r="DJL32" t="s">
        <v>1305</v>
      </c>
      <c r="DJM32" t="s">
        <v>251</v>
      </c>
      <c r="DJN32" t="s">
        <v>1305</v>
      </c>
      <c r="DJO32" t="s">
        <v>251</v>
      </c>
      <c r="DJP32" t="s">
        <v>1305</v>
      </c>
      <c r="DJQ32" t="s">
        <v>251</v>
      </c>
      <c r="DJR32" t="s">
        <v>1305</v>
      </c>
      <c r="DJS32" t="s">
        <v>251</v>
      </c>
      <c r="DJT32" t="s">
        <v>1305</v>
      </c>
      <c r="DJU32" t="s">
        <v>251</v>
      </c>
      <c r="DJV32" t="s">
        <v>1305</v>
      </c>
      <c r="DJW32" t="s">
        <v>251</v>
      </c>
      <c r="DJX32" t="s">
        <v>1305</v>
      </c>
      <c r="DJY32" t="s">
        <v>251</v>
      </c>
      <c r="DJZ32" t="s">
        <v>1305</v>
      </c>
      <c r="DKA32" t="s">
        <v>251</v>
      </c>
      <c r="DKB32" t="s">
        <v>1305</v>
      </c>
      <c r="DKC32" t="s">
        <v>251</v>
      </c>
      <c r="DKD32" t="s">
        <v>1305</v>
      </c>
      <c r="DKE32" t="s">
        <v>251</v>
      </c>
      <c r="DKF32" t="s">
        <v>1305</v>
      </c>
      <c r="DKG32" t="s">
        <v>251</v>
      </c>
      <c r="DKH32" t="s">
        <v>1305</v>
      </c>
      <c r="DKI32" t="s">
        <v>251</v>
      </c>
      <c r="DKJ32" t="s">
        <v>1305</v>
      </c>
      <c r="DKK32" t="s">
        <v>251</v>
      </c>
      <c r="DKL32" t="s">
        <v>1305</v>
      </c>
      <c r="DKM32" t="s">
        <v>251</v>
      </c>
      <c r="DKN32" t="s">
        <v>1305</v>
      </c>
      <c r="DKO32" t="s">
        <v>251</v>
      </c>
      <c r="DKP32" t="s">
        <v>1305</v>
      </c>
      <c r="DKQ32" t="s">
        <v>251</v>
      </c>
      <c r="DKR32" t="s">
        <v>1305</v>
      </c>
      <c r="DKS32" t="s">
        <v>251</v>
      </c>
      <c r="DKT32" t="s">
        <v>1305</v>
      </c>
      <c r="DKU32" t="s">
        <v>251</v>
      </c>
      <c r="DKV32" t="s">
        <v>1305</v>
      </c>
      <c r="DKW32" t="s">
        <v>251</v>
      </c>
      <c r="DKX32" t="s">
        <v>1305</v>
      </c>
      <c r="DKY32" t="s">
        <v>251</v>
      </c>
      <c r="DKZ32" t="s">
        <v>1305</v>
      </c>
      <c r="DLA32" t="s">
        <v>251</v>
      </c>
      <c r="DLB32" t="s">
        <v>1305</v>
      </c>
      <c r="DLC32" t="s">
        <v>251</v>
      </c>
      <c r="DLD32" t="s">
        <v>1305</v>
      </c>
      <c r="DLE32" t="s">
        <v>251</v>
      </c>
      <c r="DLF32" t="s">
        <v>1305</v>
      </c>
      <c r="DLG32" t="s">
        <v>251</v>
      </c>
      <c r="DLH32" t="s">
        <v>1305</v>
      </c>
      <c r="DLI32" t="s">
        <v>251</v>
      </c>
      <c r="DLJ32" t="s">
        <v>1305</v>
      </c>
      <c r="DLK32" t="s">
        <v>251</v>
      </c>
      <c r="DLL32" t="s">
        <v>1305</v>
      </c>
      <c r="DLM32" t="s">
        <v>251</v>
      </c>
      <c r="DLN32" t="s">
        <v>1305</v>
      </c>
      <c r="DLO32" t="s">
        <v>251</v>
      </c>
      <c r="DLP32" t="s">
        <v>1305</v>
      </c>
      <c r="DLQ32" t="s">
        <v>251</v>
      </c>
      <c r="DLR32" t="s">
        <v>1305</v>
      </c>
      <c r="DLS32" t="s">
        <v>251</v>
      </c>
      <c r="DLT32" t="s">
        <v>1305</v>
      </c>
      <c r="DLU32" t="s">
        <v>251</v>
      </c>
      <c r="DLV32" t="s">
        <v>1305</v>
      </c>
      <c r="DLW32" t="s">
        <v>251</v>
      </c>
      <c r="DLX32" t="s">
        <v>1305</v>
      </c>
      <c r="DLY32" t="s">
        <v>251</v>
      </c>
      <c r="DLZ32" t="s">
        <v>1305</v>
      </c>
      <c r="DMA32" t="s">
        <v>251</v>
      </c>
      <c r="DMB32" t="s">
        <v>1305</v>
      </c>
      <c r="DMC32" t="s">
        <v>251</v>
      </c>
      <c r="DMD32" t="s">
        <v>1305</v>
      </c>
      <c r="DME32" t="s">
        <v>251</v>
      </c>
      <c r="DMF32" t="s">
        <v>1305</v>
      </c>
      <c r="DMG32" t="s">
        <v>251</v>
      </c>
      <c r="DMH32" t="s">
        <v>1305</v>
      </c>
      <c r="DMI32" t="s">
        <v>251</v>
      </c>
      <c r="DMJ32" t="s">
        <v>1305</v>
      </c>
      <c r="DMK32" t="s">
        <v>251</v>
      </c>
      <c r="DML32" t="s">
        <v>1305</v>
      </c>
      <c r="DMM32" t="s">
        <v>251</v>
      </c>
      <c r="DMN32" t="s">
        <v>1305</v>
      </c>
      <c r="DMO32" t="s">
        <v>251</v>
      </c>
      <c r="DMP32" t="s">
        <v>1305</v>
      </c>
      <c r="DMQ32" t="s">
        <v>251</v>
      </c>
      <c r="DMR32" t="s">
        <v>1305</v>
      </c>
      <c r="DMS32" t="s">
        <v>251</v>
      </c>
      <c r="DMT32" t="s">
        <v>1305</v>
      </c>
      <c r="DMU32" t="s">
        <v>251</v>
      </c>
      <c r="DMV32" t="s">
        <v>1305</v>
      </c>
      <c r="DMW32" t="s">
        <v>251</v>
      </c>
      <c r="DMX32" t="s">
        <v>1305</v>
      </c>
      <c r="DMY32" t="s">
        <v>251</v>
      </c>
      <c r="DMZ32" t="s">
        <v>1305</v>
      </c>
      <c r="DNA32" t="s">
        <v>251</v>
      </c>
      <c r="DNB32" t="s">
        <v>1305</v>
      </c>
      <c r="DNC32" t="s">
        <v>251</v>
      </c>
      <c r="DND32" t="s">
        <v>1305</v>
      </c>
      <c r="DNE32" t="s">
        <v>251</v>
      </c>
      <c r="DNF32" t="s">
        <v>1305</v>
      </c>
      <c r="DNG32" t="s">
        <v>251</v>
      </c>
      <c r="DNH32" t="s">
        <v>1305</v>
      </c>
      <c r="DNI32" t="s">
        <v>251</v>
      </c>
      <c r="DNJ32" t="s">
        <v>1305</v>
      </c>
      <c r="DNK32" t="s">
        <v>251</v>
      </c>
      <c r="DNL32" t="s">
        <v>1305</v>
      </c>
      <c r="DNM32" t="s">
        <v>251</v>
      </c>
      <c r="DNN32" t="s">
        <v>1305</v>
      </c>
      <c r="DNO32" t="s">
        <v>251</v>
      </c>
      <c r="DNP32" t="s">
        <v>1305</v>
      </c>
      <c r="DNQ32" t="s">
        <v>251</v>
      </c>
      <c r="DNR32" t="s">
        <v>1305</v>
      </c>
      <c r="DNS32" t="s">
        <v>251</v>
      </c>
      <c r="DNT32" t="s">
        <v>1305</v>
      </c>
      <c r="DNU32" t="s">
        <v>251</v>
      </c>
      <c r="DNV32" t="s">
        <v>1305</v>
      </c>
      <c r="DNW32" t="s">
        <v>251</v>
      </c>
      <c r="DNX32" t="s">
        <v>1305</v>
      </c>
      <c r="DNY32" t="s">
        <v>251</v>
      </c>
      <c r="DNZ32" t="s">
        <v>1305</v>
      </c>
      <c r="DOA32" t="s">
        <v>251</v>
      </c>
      <c r="DOB32" t="s">
        <v>1305</v>
      </c>
      <c r="DOC32" t="s">
        <v>251</v>
      </c>
      <c r="DOD32" t="s">
        <v>1305</v>
      </c>
      <c r="DOE32" t="s">
        <v>251</v>
      </c>
      <c r="DOF32" t="s">
        <v>1305</v>
      </c>
      <c r="DOG32" t="s">
        <v>251</v>
      </c>
      <c r="DOH32" t="s">
        <v>1305</v>
      </c>
      <c r="DOI32" t="s">
        <v>251</v>
      </c>
      <c r="DOJ32" t="s">
        <v>1305</v>
      </c>
      <c r="DOK32" t="s">
        <v>251</v>
      </c>
      <c r="DOL32" t="s">
        <v>1305</v>
      </c>
      <c r="DOM32" t="s">
        <v>251</v>
      </c>
      <c r="DON32" t="s">
        <v>1305</v>
      </c>
      <c r="DOO32" t="s">
        <v>251</v>
      </c>
      <c r="DOP32" t="s">
        <v>1305</v>
      </c>
      <c r="DOQ32" t="s">
        <v>251</v>
      </c>
      <c r="DOR32" t="s">
        <v>1305</v>
      </c>
      <c r="DOS32" t="s">
        <v>251</v>
      </c>
      <c r="DOT32" t="s">
        <v>1305</v>
      </c>
      <c r="DOU32" t="s">
        <v>251</v>
      </c>
      <c r="DOV32" t="s">
        <v>1305</v>
      </c>
      <c r="DOW32" t="s">
        <v>251</v>
      </c>
      <c r="DOX32" t="s">
        <v>1305</v>
      </c>
      <c r="DOY32" t="s">
        <v>251</v>
      </c>
      <c r="DOZ32" t="s">
        <v>1305</v>
      </c>
      <c r="DPA32" t="s">
        <v>251</v>
      </c>
      <c r="DPB32" t="s">
        <v>1305</v>
      </c>
      <c r="DPC32" t="s">
        <v>251</v>
      </c>
      <c r="DPD32" t="s">
        <v>1305</v>
      </c>
      <c r="DPE32" t="s">
        <v>251</v>
      </c>
      <c r="DPF32" t="s">
        <v>1305</v>
      </c>
      <c r="DPG32" t="s">
        <v>251</v>
      </c>
      <c r="DPH32" t="s">
        <v>1305</v>
      </c>
      <c r="DPI32" t="s">
        <v>251</v>
      </c>
      <c r="DPJ32" t="s">
        <v>1305</v>
      </c>
      <c r="DPK32" t="s">
        <v>251</v>
      </c>
      <c r="DPL32" t="s">
        <v>1305</v>
      </c>
      <c r="DPM32" t="s">
        <v>251</v>
      </c>
      <c r="DPN32" t="s">
        <v>1305</v>
      </c>
      <c r="DPO32" t="s">
        <v>251</v>
      </c>
      <c r="DPP32" t="s">
        <v>1305</v>
      </c>
      <c r="DPQ32" t="s">
        <v>251</v>
      </c>
      <c r="DPR32" t="s">
        <v>1305</v>
      </c>
      <c r="DPS32" t="s">
        <v>251</v>
      </c>
      <c r="DPT32" t="s">
        <v>1305</v>
      </c>
      <c r="DPU32" t="s">
        <v>251</v>
      </c>
      <c r="DPV32" t="s">
        <v>1305</v>
      </c>
      <c r="DPW32" t="s">
        <v>251</v>
      </c>
      <c r="DPX32" t="s">
        <v>1305</v>
      </c>
      <c r="DPY32" t="s">
        <v>251</v>
      </c>
      <c r="DPZ32" t="s">
        <v>1305</v>
      </c>
      <c r="DQA32" t="s">
        <v>251</v>
      </c>
      <c r="DQB32" t="s">
        <v>1305</v>
      </c>
      <c r="DQC32" t="s">
        <v>251</v>
      </c>
      <c r="DQD32" t="s">
        <v>1305</v>
      </c>
      <c r="DQE32" t="s">
        <v>251</v>
      </c>
      <c r="DQF32" t="s">
        <v>1305</v>
      </c>
      <c r="DQG32" t="s">
        <v>251</v>
      </c>
      <c r="DQH32" t="s">
        <v>1305</v>
      </c>
      <c r="DQI32" t="s">
        <v>251</v>
      </c>
      <c r="DQJ32" t="s">
        <v>1305</v>
      </c>
      <c r="DQK32" t="s">
        <v>251</v>
      </c>
      <c r="DQL32" t="s">
        <v>1305</v>
      </c>
      <c r="DQM32" t="s">
        <v>251</v>
      </c>
      <c r="DQN32" t="s">
        <v>1305</v>
      </c>
      <c r="DQO32" t="s">
        <v>251</v>
      </c>
      <c r="DQP32" t="s">
        <v>1305</v>
      </c>
      <c r="DQQ32" t="s">
        <v>251</v>
      </c>
      <c r="DQR32" t="s">
        <v>1305</v>
      </c>
      <c r="DQS32" t="s">
        <v>251</v>
      </c>
      <c r="DQT32" t="s">
        <v>1305</v>
      </c>
      <c r="DQU32" t="s">
        <v>251</v>
      </c>
      <c r="DQV32" t="s">
        <v>1305</v>
      </c>
      <c r="DQW32" t="s">
        <v>251</v>
      </c>
      <c r="DQX32" t="s">
        <v>1305</v>
      </c>
      <c r="DQY32" t="s">
        <v>251</v>
      </c>
      <c r="DQZ32" t="s">
        <v>1305</v>
      </c>
      <c r="DRA32" t="s">
        <v>251</v>
      </c>
      <c r="DRB32" t="s">
        <v>1305</v>
      </c>
      <c r="DRC32" t="s">
        <v>251</v>
      </c>
      <c r="DRD32" t="s">
        <v>1305</v>
      </c>
      <c r="DRE32" t="s">
        <v>251</v>
      </c>
      <c r="DRF32" t="s">
        <v>1305</v>
      </c>
      <c r="DRG32" t="s">
        <v>251</v>
      </c>
      <c r="DRH32" t="s">
        <v>1305</v>
      </c>
      <c r="DRI32" t="s">
        <v>251</v>
      </c>
      <c r="DRJ32" t="s">
        <v>1305</v>
      </c>
      <c r="DRK32" t="s">
        <v>251</v>
      </c>
      <c r="DRL32" t="s">
        <v>1305</v>
      </c>
      <c r="DRM32" t="s">
        <v>251</v>
      </c>
      <c r="DRN32" t="s">
        <v>1305</v>
      </c>
      <c r="DRO32" t="s">
        <v>251</v>
      </c>
      <c r="DRP32" t="s">
        <v>1305</v>
      </c>
      <c r="DRQ32" t="s">
        <v>251</v>
      </c>
      <c r="DRR32" t="s">
        <v>1305</v>
      </c>
      <c r="DRS32" t="s">
        <v>251</v>
      </c>
      <c r="DRT32" t="s">
        <v>1305</v>
      </c>
      <c r="DRU32" t="s">
        <v>251</v>
      </c>
      <c r="DRV32" t="s">
        <v>1305</v>
      </c>
      <c r="DRW32" t="s">
        <v>251</v>
      </c>
      <c r="DRX32" t="s">
        <v>1305</v>
      </c>
      <c r="DRY32" t="s">
        <v>251</v>
      </c>
      <c r="DRZ32" t="s">
        <v>1305</v>
      </c>
      <c r="DSA32" t="s">
        <v>251</v>
      </c>
      <c r="DSB32" t="s">
        <v>1305</v>
      </c>
      <c r="DSC32" t="s">
        <v>251</v>
      </c>
      <c r="DSD32" t="s">
        <v>1305</v>
      </c>
      <c r="DSE32" t="s">
        <v>251</v>
      </c>
      <c r="DSF32" t="s">
        <v>1305</v>
      </c>
      <c r="DSG32" t="s">
        <v>251</v>
      </c>
      <c r="DSH32" t="s">
        <v>1305</v>
      </c>
      <c r="DSI32" t="s">
        <v>251</v>
      </c>
      <c r="DSJ32" t="s">
        <v>1305</v>
      </c>
      <c r="DSK32" t="s">
        <v>251</v>
      </c>
      <c r="DSL32" t="s">
        <v>1305</v>
      </c>
      <c r="DSM32" t="s">
        <v>251</v>
      </c>
      <c r="DSN32" t="s">
        <v>1305</v>
      </c>
      <c r="DSO32" t="s">
        <v>251</v>
      </c>
      <c r="DSP32" t="s">
        <v>1305</v>
      </c>
      <c r="DSQ32" t="s">
        <v>251</v>
      </c>
      <c r="DSR32" t="s">
        <v>1305</v>
      </c>
      <c r="DSS32" t="s">
        <v>251</v>
      </c>
      <c r="DST32" t="s">
        <v>1305</v>
      </c>
      <c r="DSU32" t="s">
        <v>251</v>
      </c>
      <c r="DSV32" t="s">
        <v>1305</v>
      </c>
      <c r="DSW32" t="s">
        <v>251</v>
      </c>
      <c r="DSX32" t="s">
        <v>1305</v>
      </c>
      <c r="DSY32" t="s">
        <v>251</v>
      </c>
      <c r="DSZ32" t="s">
        <v>1305</v>
      </c>
      <c r="DTA32" t="s">
        <v>251</v>
      </c>
      <c r="DTB32" t="s">
        <v>1305</v>
      </c>
      <c r="DTC32" t="s">
        <v>251</v>
      </c>
      <c r="DTD32" t="s">
        <v>1305</v>
      </c>
      <c r="DTE32" t="s">
        <v>251</v>
      </c>
      <c r="DTF32" t="s">
        <v>1305</v>
      </c>
      <c r="DTG32" t="s">
        <v>251</v>
      </c>
      <c r="DTH32" t="s">
        <v>1305</v>
      </c>
      <c r="DTI32" t="s">
        <v>251</v>
      </c>
      <c r="DTJ32" t="s">
        <v>1305</v>
      </c>
      <c r="DTK32" t="s">
        <v>251</v>
      </c>
      <c r="DTL32" t="s">
        <v>1305</v>
      </c>
      <c r="DTM32" t="s">
        <v>251</v>
      </c>
      <c r="DTN32" t="s">
        <v>1305</v>
      </c>
      <c r="DTO32" t="s">
        <v>251</v>
      </c>
      <c r="DTP32" t="s">
        <v>1305</v>
      </c>
      <c r="DTQ32" t="s">
        <v>251</v>
      </c>
      <c r="DTR32" t="s">
        <v>1305</v>
      </c>
      <c r="DTS32" t="s">
        <v>251</v>
      </c>
      <c r="DTT32" t="s">
        <v>1305</v>
      </c>
      <c r="DTU32" t="s">
        <v>251</v>
      </c>
      <c r="DTV32" t="s">
        <v>1305</v>
      </c>
      <c r="DTW32" t="s">
        <v>251</v>
      </c>
      <c r="DTX32" t="s">
        <v>1305</v>
      </c>
      <c r="DTY32" t="s">
        <v>251</v>
      </c>
      <c r="DTZ32" t="s">
        <v>1305</v>
      </c>
      <c r="DUA32" t="s">
        <v>251</v>
      </c>
      <c r="DUB32" t="s">
        <v>1305</v>
      </c>
      <c r="DUC32" t="s">
        <v>251</v>
      </c>
      <c r="DUD32" t="s">
        <v>1305</v>
      </c>
      <c r="DUE32" t="s">
        <v>251</v>
      </c>
      <c r="DUF32" t="s">
        <v>1305</v>
      </c>
      <c r="DUG32" t="s">
        <v>251</v>
      </c>
      <c r="DUH32" t="s">
        <v>1305</v>
      </c>
      <c r="DUI32" t="s">
        <v>251</v>
      </c>
      <c r="DUJ32" t="s">
        <v>1305</v>
      </c>
      <c r="DUK32" t="s">
        <v>251</v>
      </c>
      <c r="DUL32" t="s">
        <v>1305</v>
      </c>
      <c r="DUM32" t="s">
        <v>251</v>
      </c>
      <c r="DUN32" t="s">
        <v>1305</v>
      </c>
      <c r="DUO32" t="s">
        <v>251</v>
      </c>
      <c r="DUP32" t="s">
        <v>1305</v>
      </c>
      <c r="DUQ32" t="s">
        <v>251</v>
      </c>
      <c r="DUR32" t="s">
        <v>1305</v>
      </c>
      <c r="DUS32" t="s">
        <v>251</v>
      </c>
      <c r="DUT32" t="s">
        <v>1305</v>
      </c>
      <c r="DUU32" t="s">
        <v>251</v>
      </c>
      <c r="DUV32" t="s">
        <v>1305</v>
      </c>
      <c r="DUW32" t="s">
        <v>251</v>
      </c>
      <c r="DUX32" t="s">
        <v>1305</v>
      </c>
      <c r="DUY32" t="s">
        <v>251</v>
      </c>
      <c r="DUZ32" t="s">
        <v>1305</v>
      </c>
      <c r="DVA32" t="s">
        <v>251</v>
      </c>
      <c r="DVB32" t="s">
        <v>1305</v>
      </c>
      <c r="DVC32" t="s">
        <v>251</v>
      </c>
      <c r="DVD32" t="s">
        <v>1305</v>
      </c>
      <c r="DVE32" t="s">
        <v>251</v>
      </c>
      <c r="DVF32" t="s">
        <v>1305</v>
      </c>
      <c r="DVG32" t="s">
        <v>251</v>
      </c>
      <c r="DVH32" t="s">
        <v>1305</v>
      </c>
      <c r="DVI32" t="s">
        <v>251</v>
      </c>
      <c r="DVJ32" t="s">
        <v>1305</v>
      </c>
      <c r="DVK32" t="s">
        <v>251</v>
      </c>
      <c r="DVL32" t="s">
        <v>1305</v>
      </c>
      <c r="DVM32" t="s">
        <v>251</v>
      </c>
      <c r="DVN32" t="s">
        <v>1305</v>
      </c>
      <c r="DVO32" t="s">
        <v>251</v>
      </c>
      <c r="DVP32" t="s">
        <v>1305</v>
      </c>
      <c r="DVQ32" t="s">
        <v>251</v>
      </c>
      <c r="DVR32" t="s">
        <v>1305</v>
      </c>
      <c r="DVS32" t="s">
        <v>251</v>
      </c>
      <c r="DVT32" t="s">
        <v>1305</v>
      </c>
      <c r="DVU32" t="s">
        <v>251</v>
      </c>
      <c r="DVV32" t="s">
        <v>1305</v>
      </c>
      <c r="DVW32" t="s">
        <v>251</v>
      </c>
      <c r="DVX32" t="s">
        <v>1305</v>
      </c>
      <c r="DVY32" t="s">
        <v>251</v>
      </c>
      <c r="DVZ32" t="s">
        <v>1305</v>
      </c>
      <c r="DWA32" t="s">
        <v>251</v>
      </c>
      <c r="DWB32" t="s">
        <v>1305</v>
      </c>
      <c r="DWC32" t="s">
        <v>251</v>
      </c>
      <c r="DWD32" t="s">
        <v>1305</v>
      </c>
      <c r="DWE32" t="s">
        <v>251</v>
      </c>
      <c r="DWF32" t="s">
        <v>1305</v>
      </c>
      <c r="DWG32" t="s">
        <v>251</v>
      </c>
      <c r="DWH32" t="s">
        <v>1305</v>
      </c>
      <c r="DWI32" t="s">
        <v>251</v>
      </c>
      <c r="DWJ32" t="s">
        <v>1305</v>
      </c>
      <c r="DWK32" t="s">
        <v>251</v>
      </c>
      <c r="DWL32" t="s">
        <v>1305</v>
      </c>
      <c r="DWM32" t="s">
        <v>251</v>
      </c>
      <c r="DWN32" t="s">
        <v>1305</v>
      </c>
      <c r="DWO32" t="s">
        <v>251</v>
      </c>
      <c r="DWP32" t="s">
        <v>1305</v>
      </c>
      <c r="DWQ32" t="s">
        <v>251</v>
      </c>
      <c r="DWR32" t="s">
        <v>1305</v>
      </c>
      <c r="DWS32" t="s">
        <v>251</v>
      </c>
      <c r="DWT32" t="s">
        <v>1305</v>
      </c>
      <c r="DWU32" t="s">
        <v>251</v>
      </c>
      <c r="DWV32" t="s">
        <v>1305</v>
      </c>
      <c r="DWW32" t="s">
        <v>251</v>
      </c>
      <c r="DWX32" t="s">
        <v>1305</v>
      </c>
      <c r="DWY32" t="s">
        <v>251</v>
      </c>
      <c r="DWZ32" t="s">
        <v>1305</v>
      </c>
      <c r="DXA32" t="s">
        <v>251</v>
      </c>
      <c r="DXB32" t="s">
        <v>1305</v>
      </c>
      <c r="DXC32" t="s">
        <v>251</v>
      </c>
      <c r="DXD32" t="s">
        <v>1305</v>
      </c>
      <c r="DXE32" t="s">
        <v>251</v>
      </c>
      <c r="DXF32" t="s">
        <v>1305</v>
      </c>
      <c r="DXG32" t="s">
        <v>251</v>
      </c>
      <c r="DXH32" t="s">
        <v>1305</v>
      </c>
      <c r="DXI32" t="s">
        <v>251</v>
      </c>
      <c r="DXJ32" t="s">
        <v>1305</v>
      </c>
      <c r="DXK32" t="s">
        <v>251</v>
      </c>
      <c r="DXL32" t="s">
        <v>1305</v>
      </c>
      <c r="DXM32" t="s">
        <v>251</v>
      </c>
      <c r="DXN32" t="s">
        <v>1305</v>
      </c>
      <c r="DXO32" t="s">
        <v>251</v>
      </c>
      <c r="DXP32" t="s">
        <v>1305</v>
      </c>
      <c r="DXQ32" t="s">
        <v>251</v>
      </c>
      <c r="DXR32" t="s">
        <v>1305</v>
      </c>
      <c r="DXS32" t="s">
        <v>251</v>
      </c>
      <c r="DXT32" t="s">
        <v>1305</v>
      </c>
      <c r="DXU32" t="s">
        <v>251</v>
      </c>
      <c r="DXV32" t="s">
        <v>1305</v>
      </c>
      <c r="DXW32" t="s">
        <v>251</v>
      </c>
      <c r="DXX32" t="s">
        <v>1305</v>
      </c>
      <c r="DXY32" t="s">
        <v>251</v>
      </c>
      <c r="DXZ32" t="s">
        <v>1305</v>
      </c>
      <c r="DYA32" t="s">
        <v>251</v>
      </c>
      <c r="DYB32" t="s">
        <v>1305</v>
      </c>
      <c r="DYC32" t="s">
        <v>251</v>
      </c>
      <c r="DYD32" t="s">
        <v>1305</v>
      </c>
      <c r="DYE32" t="s">
        <v>251</v>
      </c>
      <c r="DYF32" t="s">
        <v>1305</v>
      </c>
      <c r="DYG32" t="s">
        <v>251</v>
      </c>
      <c r="DYH32" t="s">
        <v>1305</v>
      </c>
      <c r="DYI32" t="s">
        <v>251</v>
      </c>
      <c r="DYJ32" t="s">
        <v>1305</v>
      </c>
      <c r="DYK32" t="s">
        <v>251</v>
      </c>
      <c r="DYL32" t="s">
        <v>1305</v>
      </c>
      <c r="DYM32" t="s">
        <v>251</v>
      </c>
      <c r="DYN32" t="s">
        <v>1305</v>
      </c>
      <c r="DYO32" t="s">
        <v>251</v>
      </c>
      <c r="DYP32" t="s">
        <v>1305</v>
      </c>
      <c r="DYQ32" t="s">
        <v>251</v>
      </c>
      <c r="DYR32" t="s">
        <v>1305</v>
      </c>
      <c r="DYS32" t="s">
        <v>251</v>
      </c>
      <c r="DYT32" t="s">
        <v>1305</v>
      </c>
      <c r="DYU32" t="s">
        <v>251</v>
      </c>
      <c r="DYV32" t="s">
        <v>1305</v>
      </c>
      <c r="DYW32" t="s">
        <v>251</v>
      </c>
      <c r="DYX32" t="s">
        <v>1305</v>
      </c>
      <c r="DYY32" t="s">
        <v>251</v>
      </c>
      <c r="DYZ32" t="s">
        <v>1305</v>
      </c>
      <c r="DZA32" t="s">
        <v>251</v>
      </c>
      <c r="DZB32" t="s">
        <v>1305</v>
      </c>
      <c r="DZC32" t="s">
        <v>251</v>
      </c>
      <c r="DZD32" t="s">
        <v>1305</v>
      </c>
      <c r="DZE32" t="s">
        <v>251</v>
      </c>
      <c r="DZF32" t="s">
        <v>1305</v>
      </c>
      <c r="DZG32" t="s">
        <v>251</v>
      </c>
      <c r="DZH32" t="s">
        <v>1305</v>
      </c>
      <c r="DZI32" t="s">
        <v>251</v>
      </c>
      <c r="DZJ32" t="s">
        <v>1305</v>
      </c>
      <c r="DZK32" t="s">
        <v>251</v>
      </c>
      <c r="DZL32" t="s">
        <v>1305</v>
      </c>
      <c r="DZM32" t="s">
        <v>251</v>
      </c>
      <c r="DZN32" t="s">
        <v>1305</v>
      </c>
      <c r="DZO32" t="s">
        <v>251</v>
      </c>
      <c r="DZP32" t="s">
        <v>1305</v>
      </c>
      <c r="DZQ32" t="s">
        <v>251</v>
      </c>
      <c r="DZR32" t="s">
        <v>1305</v>
      </c>
      <c r="DZS32" t="s">
        <v>251</v>
      </c>
      <c r="DZT32" t="s">
        <v>1305</v>
      </c>
      <c r="DZU32" t="s">
        <v>251</v>
      </c>
      <c r="DZV32" t="s">
        <v>1305</v>
      </c>
      <c r="DZW32" t="s">
        <v>251</v>
      </c>
      <c r="DZX32" t="s">
        <v>1305</v>
      </c>
      <c r="DZY32" t="s">
        <v>251</v>
      </c>
      <c r="DZZ32" t="s">
        <v>1305</v>
      </c>
      <c r="EAA32" t="s">
        <v>251</v>
      </c>
      <c r="EAB32" t="s">
        <v>1305</v>
      </c>
      <c r="EAC32" t="s">
        <v>251</v>
      </c>
      <c r="EAD32" t="s">
        <v>1305</v>
      </c>
      <c r="EAE32" t="s">
        <v>251</v>
      </c>
      <c r="EAF32" t="s">
        <v>1305</v>
      </c>
      <c r="EAG32" t="s">
        <v>251</v>
      </c>
      <c r="EAH32" t="s">
        <v>1305</v>
      </c>
      <c r="EAI32" t="s">
        <v>251</v>
      </c>
      <c r="EAJ32" t="s">
        <v>1305</v>
      </c>
      <c r="EAK32" t="s">
        <v>251</v>
      </c>
      <c r="EAL32" t="s">
        <v>1305</v>
      </c>
      <c r="EAM32" t="s">
        <v>251</v>
      </c>
      <c r="EAN32" t="s">
        <v>1305</v>
      </c>
      <c r="EAO32" t="s">
        <v>251</v>
      </c>
      <c r="EAP32" t="s">
        <v>1305</v>
      </c>
      <c r="EAQ32" t="s">
        <v>251</v>
      </c>
      <c r="EAR32" t="s">
        <v>1305</v>
      </c>
      <c r="EAS32" t="s">
        <v>251</v>
      </c>
      <c r="EAT32" t="s">
        <v>1305</v>
      </c>
      <c r="EAU32" t="s">
        <v>251</v>
      </c>
      <c r="EAV32" t="s">
        <v>1305</v>
      </c>
      <c r="EAW32" t="s">
        <v>251</v>
      </c>
      <c r="EAX32" t="s">
        <v>1305</v>
      </c>
      <c r="EAY32" t="s">
        <v>251</v>
      </c>
      <c r="EAZ32" t="s">
        <v>1305</v>
      </c>
      <c r="EBA32" t="s">
        <v>251</v>
      </c>
      <c r="EBB32" t="s">
        <v>1305</v>
      </c>
      <c r="EBC32" t="s">
        <v>251</v>
      </c>
      <c r="EBD32" t="s">
        <v>1305</v>
      </c>
      <c r="EBE32" t="s">
        <v>251</v>
      </c>
      <c r="EBF32" t="s">
        <v>1305</v>
      </c>
      <c r="EBG32" t="s">
        <v>251</v>
      </c>
      <c r="EBH32" t="s">
        <v>1305</v>
      </c>
      <c r="EBI32" t="s">
        <v>251</v>
      </c>
      <c r="EBJ32" t="s">
        <v>1305</v>
      </c>
      <c r="EBK32" t="s">
        <v>251</v>
      </c>
      <c r="EBL32" t="s">
        <v>1305</v>
      </c>
      <c r="EBM32" t="s">
        <v>251</v>
      </c>
      <c r="EBN32" t="s">
        <v>1305</v>
      </c>
      <c r="EBO32" t="s">
        <v>251</v>
      </c>
      <c r="EBP32" t="s">
        <v>1305</v>
      </c>
      <c r="EBQ32" t="s">
        <v>251</v>
      </c>
      <c r="EBR32" t="s">
        <v>1305</v>
      </c>
      <c r="EBS32" t="s">
        <v>251</v>
      </c>
      <c r="EBT32" t="s">
        <v>1305</v>
      </c>
      <c r="EBU32" t="s">
        <v>251</v>
      </c>
      <c r="EBV32" t="s">
        <v>1305</v>
      </c>
      <c r="EBW32" t="s">
        <v>251</v>
      </c>
      <c r="EBX32" t="s">
        <v>1305</v>
      </c>
      <c r="EBY32" t="s">
        <v>251</v>
      </c>
      <c r="EBZ32" t="s">
        <v>1305</v>
      </c>
      <c r="ECA32" t="s">
        <v>251</v>
      </c>
      <c r="ECB32" t="s">
        <v>1305</v>
      </c>
      <c r="ECC32" t="s">
        <v>251</v>
      </c>
      <c r="ECD32" t="s">
        <v>1305</v>
      </c>
      <c r="ECE32" t="s">
        <v>251</v>
      </c>
      <c r="ECF32" t="s">
        <v>1305</v>
      </c>
      <c r="ECG32" t="s">
        <v>251</v>
      </c>
      <c r="ECH32" t="s">
        <v>1305</v>
      </c>
      <c r="ECI32" t="s">
        <v>251</v>
      </c>
      <c r="ECJ32" t="s">
        <v>1305</v>
      </c>
      <c r="ECK32" t="s">
        <v>251</v>
      </c>
      <c r="ECL32" t="s">
        <v>1305</v>
      </c>
      <c r="ECM32" t="s">
        <v>251</v>
      </c>
      <c r="ECN32" t="s">
        <v>1305</v>
      </c>
      <c r="ECO32" t="s">
        <v>251</v>
      </c>
      <c r="ECP32" t="s">
        <v>1305</v>
      </c>
      <c r="ECQ32" t="s">
        <v>251</v>
      </c>
      <c r="ECR32" t="s">
        <v>1305</v>
      </c>
      <c r="ECS32" t="s">
        <v>251</v>
      </c>
      <c r="ECT32" t="s">
        <v>1305</v>
      </c>
      <c r="ECU32" t="s">
        <v>251</v>
      </c>
      <c r="ECV32" t="s">
        <v>1305</v>
      </c>
      <c r="ECW32" t="s">
        <v>251</v>
      </c>
      <c r="ECX32" t="s">
        <v>1305</v>
      </c>
      <c r="ECY32" t="s">
        <v>251</v>
      </c>
      <c r="ECZ32" t="s">
        <v>1305</v>
      </c>
      <c r="EDA32" t="s">
        <v>251</v>
      </c>
      <c r="EDB32" t="s">
        <v>1305</v>
      </c>
      <c r="EDC32" t="s">
        <v>251</v>
      </c>
      <c r="EDD32" t="s">
        <v>1305</v>
      </c>
      <c r="EDE32" t="s">
        <v>251</v>
      </c>
      <c r="EDF32" t="s">
        <v>1305</v>
      </c>
      <c r="EDG32" t="s">
        <v>251</v>
      </c>
      <c r="EDH32" t="s">
        <v>1305</v>
      </c>
      <c r="EDI32" t="s">
        <v>251</v>
      </c>
      <c r="EDJ32" t="s">
        <v>1305</v>
      </c>
      <c r="EDK32" t="s">
        <v>251</v>
      </c>
      <c r="EDL32" t="s">
        <v>1305</v>
      </c>
      <c r="EDM32" t="s">
        <v>251</v>
      </c>
      <c r="EDN32" t="s">
        <v>1305</v>
      </c>
      <c r="EDO32" t="s">
        <v>251</v>
      </c>
      <c r="EDP32" t="s">
        <v>1305</v>
      </c>
      <c r="EDQ32" t="s">
        <v>251</v>
      </c>
      <c r="EDR32" t="s">
        <v>1305</v>
      </c>
      <c r="EDS32" t="s">
        <v>251</v>
      </c>
      <c r="EDT32" t="s">
        <v>1305</v>
      </c>
      <c r="EDU32" t="s">
        <v>251</v>
      </c>
      <c r="EDV32" t="s">
        <v>1305</v>
      </c>
      <c r="EDW32" t="s">
        <v>251</v>
      </c>
      <c r="EDX32" t="s">
        <v>1305</v>
      </c>
      <c r="EDY32" t="s">
        <v>251</v>
      </c>
      <c r="EDZ32" t="s">
        <v>1305</v>
      </c>
      <c r="EEA32" t="s">
        <v>251</v>
      </c>
      <c r="EEB32" t="s">
        <v>1305</v>
      </c>
      <c r="EEC32" t="s">
        <v>251</v>
      </c>
      <c r="EED32" t="s">
        <v>1305</v>
      </c>
      <c r="EEE32" t="s">
        <v>251</v>
      </c>
      <c r="EEF32" t="s">
        <v>1305</v>
      </c>
      <c r="EEG32" t="s">
        <v>251</v>
      </c>
      <c r="EEH32" t="s">
        <v>1305</v>
      </c>
      <c r="EEI32" t="s">
        <v>251</v>
      </c>
      <c r="EEJ32" t="s">
        <v>1305</v>
      </c>
      <c r="EEK32" t="s">
        <v>251</v>
      </c>
      <c r="EEL32" t="s">
        <v>1305</v>
      </c>
      <c r="EEM32" t="s">
        <v>251</v>
      </c>
      <c r="EEN32" t="s">
        <v>1305</v>
      </c>
      <c r="EEO32" t="s">
        <v>251</v>
      </c>
      <c r="EEP32" t="s">
        <v>1305</v>
      </c>
      <c r="EEQ32" t="s">
        <v>251</v>
      </c>
      <c r="EER32" t="s">
        <v>1305</v>
      </c>
      <c r="EES32" t="s">
        <v>251</v>
      </c>
      <c r="EET32" t="s">
        <v>1305</v>
      </c>
      <c r="EEU32" t="s">
        <v>251</v>
      </c>
      <c r="EEV32" t="s">
        <v>1305</v>
      </c>
      <c r="EEW32" t="s">
        <v>251</v>
      </c>
      <c r="EEX32" t="s">
        <v>1305</v>
      </c>
      <c r="EEY32" t="s">
        <v>251</v>
      </c>
      <c r="EEZ32" t="s">
        <v>1305</v>
      </c>
      <c r="EFA32" t="s">
        <v>251</v>
      </c>
      <c r="EFB32" t="s">
        <v>1305</v>
      </c>
      <c r="EFC32" t="s">
        <v>251</v>
      </c>
      <c r="EFD32" t="s">
        <v>1305</v>
      </c>
      <c r="EFE32" t="s">
        <v>251</v>
      </c>
      <c r="EFF32" t="s">
        <v>1305</v>
      </c>
      <c r="EFG32" t="s">
        <v>251</v>
      </c>
      <c r="EFH32" t="s">
        <v>1305</v>
      </c>
      <c r="EFI32" t="s">
        <v>251</v>
      </c>
      <c r="EFJ32" t="s">
        <v>1305</v>
      </c>
      <c r="EFK32" t="s">
        <v>251</v>
      </c>
      <c r="EFL32" t="s">
        <v>1305</v>
      </c>
      <c r="EFM32" t="s">
        <v>251</v>
      </c>
      <c r="EFN32" t="s">
        <v>1305</v>
      </c>
      <c r="EFO32" t="s">
        <v>251</v>
      </c>
      <c r="EFP32" t="s">
        <v>1305</v>
      </c>
      <c r="EFQ32" t="s">
        <v>251</v>
      </c>
      <c r="EFR32" t="s">
        <v>1305</v>
      </c>
      <c r="EFS32" t="s">
        <v>251</v>
      </c>
      <c r="EFT32" t="s">
        <v>1305</v>
      </c>
      <c r="EFU32" t="s">
        <v>251</v>
      </c>
      <c r="EFV32" t="s">
        <v>1305</v>
      </c>
      <c r="EFW32" t="s">
        <v>251</v>
      </c>
      <c r="EFX32" t="s">
        <v>1305</v>
      </c>
      <c r="EFY32" t="s">
        <v>251</v>
      </c>
      <c r="EFZ32" t="s">
        <v>1305</v>
      </c>
      <c r="EGA32" t="s">
        <v>251</v>
      </c>
      <c r="EGB32" t="s">
        <v>1305</v>
      </c>
      <c r="EGC32" t="s">
        <v>251</v>
      </c>
      <c r="EGD32" t="s">
        <v>1305</v>
      </c>
      <c r="EGE32" t="s">
        <v>251</v>
      </c>
      <c r="EGF32" t="s">
        <v>1305</v>
      </c>
      <c r="EGG32" t="s">
        <v>251</v>
      </c>
      <c r="EGH32" t="s">
        <v>1305</v>
      </c>
      <c r="EGI32" t="s">
        <v>251</v>
      </c>
      <c r="EGJ32" t="s">
        <v>1305</v>
      </c>
      <c r="EGK32" t="s">
        <v>251</v>
      </c>
      <c r="EGL32" t="s">
        <v>1305</v>
      </c>
      <c r="EGM32" t="s">
        <v>251</v>
      </c>
      <c r="EGN32" t="s">
        <v>1305</v>
      </c>
      <c r="EGO32" t="s">
        <v>251</v>
      </c>
      <c r="EGP32" t="s">
        <v>1305</v>
      </c>
      <c r="EGQ32" t="s">
        <v>251</v>
      </c>
      <c r="EGR32" t="s">
        <v>1305</v>
      </c>
      <c r="EGS32" t="s">
        <v>251</v>
      </c>
      <c r="EGT32" t="s">
        <v>1305</v>
      </c>
      <c r="EGU32" t="s">
        <v>251</v>
      </c>
      <c r="EGV32" t="s">
        <v>1305</v>
      </c>
      <c r="EGW32" t="s">
        <v>251</v>
      </c>
      <c r="EGX32" t="s">
        <v>1305</v>
      </c>
      <c r="EGY32" t="s">
        <v>251</v>
      </c>
      <c r="EGZ32" t="s">
        <v>1305</v>
      </c>
      <c r="EHA32" t="s">
        <v>251</v>
      </c>
      <c r="EHB32" t="s">
        <v>1305</v>
      </c>
      <c r="EHC32" t="s">
        <v>251</v>
      </c>
      <c r="EHD32" t="s">
        <v>1305</v>
      </c>
      <c r="EHE32" t="s">
        <v>251</v>
      </c>
      <c r="EHF32" t="s">
        <v>1305</v>
      </c>
      <c r="EHG32" t="s">
        <v>251</v>
      </c>
      <c r="EHH32" t="s">
        <v>1305</v>
      </c>
      <c r="EHI32" t="s">
        <v>251</v>
      </c>
      <c r="EHJ32" t="s">
        <v>1305</v>
      </c>
      <c r="EHK32" t="s">
        <v>251</v>
      </c>
      <c r="EHL32" t="s">
        <v>1305</v>
      </c>
      <c r="EHM32" t="s">
        <v>251</v>
      </c>
      <c r="EHN32" t="s">
        <v>1305</v>
      </c>
      <c r="EHO32" t="s">
        <v>251</v>
      </c>
      <c r="EHP32" t="s">
        <v>1305</v>
      </c>
      <c r="EHQ32" t="s">
        <v>251</v>
      </c>
      <c r="EHR32" t="s">
        <v>1305</v>
      </c>
      <c r="EHS32" t="s">
        <v>251</v>
      </c>
      <c r="EHT32" t="s">
        <v>1305</v>
      </c>
      <c r="EHU32" t="s">
        <v>251</v>
      </c>
      <c r="EHV32" t="s">
        <v>1305</v>
      </c>
      <c r="EHW32" t="s">
        <v>251</v>
      </c>
      <c r="EHX32" t="s">
        <v>1305</v>
      </c>
      <c r="EHY32" t="s">
        <v>251</v>
      </c>
      <c r="EHZ32" t="s">
        <v>1305</v>
      </c>
      <c r="EIA32" t="s">
        <v>251</v>
      </c>
      <c r="EIB32" t="s">
        <v>1305</v>
      </c>
      <c r="EIC32" t="s">
        <v>251</v>
      </c>
      <c r="EID32" t="s">
        <v>1305</v>
      </c>
      <c r="EIE32" t="s">
        <v>251</v>
      </c>
      <c r="EIF32" t="s">
        <v>1305</v>
      </c>
      <c r="EIG32" t="s">
        <v>251</v>
      </c>
      <c r="EIH32" t="s">
        <v>1305</v>
      </c>
      <c r="EII32" t="s">
        <v>251</v>
      </c>
      <c r="EIJ32" t="s">
        <v>1305</v>
      </c>
      <c r="EIK32" t="s">
        <v>251</v>
      </c>
      <c r="EIL32" t="s">
        <v>1305</v>
      </c>
      <c r="EIM32" t="s">
        <v>251</v>
      </c>
      <c r="EIN32" t="s">
        <v>1305</v>
      </c>
      <c r="EIO32" t="s">
        <v>251</v>
      </c>
      <c r="EIP32" t="s">
        <v>1305</v>
      </c>
      <c r="EIQ32" t="s">
        <v>251</v>
      </c>
      <c r="EIR32" t="s">
        <v>1305</v>
      </c>
      <c r="EIS32" t="s">
        <v>251</v>
      </c>
      <c r="EIT32" t="s">
        <v>1305</v>
      </c>
      <c r="EIU32" t="s">
        <v>251</v>
      </c>
      <c r="EIV32" t="s">
        <v>1305</v>
      </c>
      <c r="EIW32" t="s">
        <v>251</v>
      </c>
      <c r="EIX32" t="s">
        <v>1305</v>
      </c>
      <c r="EIY32" t="s">
        <v>251</v>
      </c>
      <c r="EIZ32" t="s">
        <v>1305</v>
      </c>
      <c r="EJA32" t="s">
        <v>251</v>
      </c>
      <c r="EJB32" t="s">
        <v>1305</v>
      </c>
      <c r="EJC32" t="s">
        <v>251</v>
      </c>
      <c r="EJD32" t="s">
        <v>1305</v>
      </c>
      <c r="EJE32" t="s">
        <v>251</v>
      </c>
      <c r="EJF32" t="s">
        <v>1305</v>
      </c>
      <c r="EJG32" t="s">
        <v>251</v>
      </c>
      <c r="EJH32" t="s">
        <v>1305</v>
      </c>
      <c r="EJI32" t="s">
        <v>251</v>
      </c>
      <c r="EJJ32" t="s">
        <v>1305</v>
      </c>
      <c r="EJK32" t="s">
        <v>251</v>
      </c>
      <c r="EJL32" t="s">
        <v>1305</v>
      </c>
      <c r="EJM32" t="s">
        <v>251</v>
      </c>
      <c r="EJN32" t="s">
        <v>1305</v>
      </c>
      <c r="EJO32" t="s">
        <v>251</v>
      </c>
      <c r="EJP32" t="s">
        <v>1305</v>
      </c>
      <c r="EJQ32" t="s">
        <v>251</v>
      </c>
      <c r="EJR32" t="s">
        <v>1305</v>
      </c>
      <c r="EJS32" t="s">
        <v>251</v>
      </c>
      <c r="EJT32" t="s">
        <v>1305</v>
      </c>
      <c r="EJU32" t="s">
        <v>251</v>
      </c>
      <c r="EJV32" t="s">
        <v>1305</v>
      </c>
      <c r="EJW32" t="s">
        <v>251</v>
      </c>
      <c r="EJX32" t="s">
        <v>1305</v>
      </c>
      <c r="EJY32" t="s">
        <v>251</v>
      </c>
      <c r="EJZ32" t="s">
        <v>1305</v>
      </c>
      <c r="EKA32" t="s">
        <v>251</v>
      </c>
      <c r="EKB32" t="s">
        <v>1305</v>
      </c>
      <c r="EKC32" t="s">
        <v>251</v>
      </c>
      <c r="EKD32" t="s">
        <v>1305</v>
      </c>
      <c r="EKE32" t="s">
        <v>251</v>
      </c>
      <c r="EKF32" t="s">
        <v>1305</v>
      </c>
      <c r="EKG32" t="s">
        <v>251</v>
      </c>
      <c r="EKH32" t="s">
        <v>1305</v>
      </c>
      <c r="EKI32" t="s">
        <v>251</v>
      </c>
      <c r="EKJ32" t="s">
        <v>1305</v>
      </c>
      <c r="EKK32" t="s">
        <v>251</v>
      </c>
      <c r="EKL32" t="s">
        <v>1305</v>
      </c>
      <c r="EKM32" t="s">
        <v>251</v>
      </c>
      <c r="EKN32" t="s">
        <v>1305</v>
      </c>
      <c r="EKO32" t="s">
        <v>251</v>
      </c>
      <c r="EKP32" t="s">
        <v>1305</v>
      </c>
      <c r="EKQ32" t="s">
        <v>251</v>
      </c>
      <c r="EKR32" t="s">
        <v>1305</v>
      </c>
      <c r="EKS32" t="s">
        <v>251</v>
      </c>
      <c r="EKT32" t="s">
        <v>1305</v>
      </c>
      <c r="EKU32" t="s">
        <v>251</v>
      </c>
      <c r="EKV32" t="s">
        <v>1305</v>
      </c>
      <c r="EKW32" t="s">
        <v>251</v>
      </c>
      <c r="EKX32" t="s">
        <v>1305</v>
      </c>
      <c r="EKY32" t="s">
        <v>251</v>
      </c>
      <c r="EKZ32" t="s">
        <v>1305</v>
      </c>
      <c r="ELA32" t="s">
        <v>251</v>
      </c>
      <c r="ELB32" t="s">
        <v>1305</v>
      </c>
      <c r="ELC32" t="s">
        <v>251</v>
      </c>
      <c r="ELD32" t="s">
        <v>1305</v>
      </c>
      <c r="ELE32" t="s">
        <v>251</v>
      </c>
      <c r="ELF32" t="s">
        <v>1305</v>
      </c>
      <c r="ELG32" t="s">
        <v>251</v>
      </c>
      <c r="ELH32" t="s">
        <v>1305</v>
      </c>
      <c r="ELI32" t="s">
        <v>251</v>
      </c>
      <c r="ELJ32" t="s">
        <v>1305</v>
      </c>
      <c r="ELK32" t="s">
        <v>251</v>
      </c>
      <c r="ELL32" t="s">
        <v>1305</v>
      </c>
      <c r="ELM32" t="s">
        <v>251</v>
      </c>
      <c r="ELN32" t="s">
        <v>1305</v>
      </c>
      <c r="ELO32" t="s">
        <v>251</v>
      </c>
      <c r="ELP32" t="s">
        <v>1305</v>
      </c>
      <c r="ELQ32" t="s">
        <v>251</v>
      </c>
      <c r="ELR32" t="s">
        <v>1305</v>
      </c>
      <c r="ELS32" t="s">
        <v>251</v>
      </c>
      <c r="ELT32" t="s">
        <v>1305</v>
      </c>
      <c r="ELU32" t="s">
        <v>251</v>
      </c>
      <c r="ELV32" t="s">
        <v>1305</v>
      </c>
      <c r="ELW32" t="s">
        <v>251</v>
      </c>
      <c r="ELX32" t="s">
        <v>1305</v>
      </c>
      <c r="ELY32" t="s">
        <v>251</v>
      </c>
      <c r="ELZ32" t="s">
        <v>1305</v>
      </c>
      <c r="EMA32" t="s">
        <v>251</v>
      </c>
      <c r="EMB32" t="s">
        <v>1305</v>
      </c>
      <c r="EMC32" t="s">
        <v>251</v>
      </c>
      <c r="EMD32" t="s">
        <v>1305</v>
      </c>
      <c r="EME32" t="s">
        <v>251</v>
      </c>
      <c r="EMF32" t="s">
        <v>1305</v>
      </c>
      <c r="EMG32" t="s">
        <v>251</v>
      </c>
      <c r="EMH32" t="s">
        <v>1305</v>
      </c>
      <c r="EMI32" t="s">
        <v>251</v>
      </c>
      <c r="EMJ32" t="s">
        <v>1305</v>
      </c>
      <c r="EMK32" t="s">
        <v>251</v>
      </c>
      <c r="EML32" t="s">
        <v>1305</v>
      </c>
      <c r="EMM32" t="s">
        <v>251</v>
      </c>
      <c r="EMN32" t="s">
        <v>1305</v>
      </c>
      <c r="EMO32" t="s">
        <v>251</v>
      </c>
      <c r="EMP32" t="s">
        <v>1305</v>
      </c>
      <c r="EMQ32" t="s">
        <v>251</v>
      </c>
      <c r="EMR32" t="s">
        <v>1305</v>
      </c>
      <c r="EMS32" t="s">
        <v>251</v>
      </c>
      <c r="EMT32" t="s">
        <v>1305</v>
      </c>
      <c r="EMU32" t="s">
        <v>251</v>
      </c>
      <c r="EMV32" t="s">
        <v>1305</v>
      </c>
      <c r="EMW32" t="s">
        <v>251</v>
      </c>
      <c r="EMX32" t="s">
        <v>1305</v>
      </c>
      <c r="EMY32" t="s">
        <v>251</v>
      </c>
      <c r="EMZ32" t="s">
        <v>1305</v>
      </c>
      <c r="ENA32" t="s">
        <v>251</v>
      </c>
      <c r="ENB32" t="s">
        <v>1305</v>
      </c>
      <c r="ENC32" t="s">
        <v>251</v>
      </c>
      <c r="END32" t="s">
        <v>1305</v>
      </c>
      <c r="ENE32" t="s">
        <v>251</v>
      </c>
      <c r="ENF32" t="s">
        <v>1305</v>
      </c>
      <c r="ENG32" t="s">
        <v>251</v>
      </c>
      <c r="ENH32" t="s">
        <v>1305</v>
      </c>
      <c r="ENI32" t="s">
        <v>251</v>
      </c>
      <c r="ENJ32" t="s">
        <v>1305</v>
      </c>
      <c r="ENK32" t="s">
        <v>251</v>
      </c>
      <c r="ENL32" t="s">
        <v>1305</v>
      </c>
      <c r="ENM32" t="s">
        <v>251</v>
      </c>
      <c r="ENN32" t="s">
        <v>1305</v>
      </c>
      <c r="ENO32" t="s">
        <v>251</v>
      </c>
      <c r="ENP32" t="s">
        <v>1305</v>
      </c>
      <c r="ENQ32" t="s">
        <v>251</v>
      </c>
      <c r="ENR32" t="s">
        <v>1305</v>
      </c>
      <c r="ENS32" t="s">
        <v>251</v>
      </c>
      <c r="ENT32" t="s">
        <v>1305</v>
      </c>
      <c r="ENU32" t="s">
        <v>251</v>
      </c>
      <c r="ENV32" t="s">
        <v>1305</v>
      </c>
      <c r="ENW32" t="s">
        <v>251</v>
      </c>
      <c r="ENX32" t="s">
        <v>1305</v>
      </c>
      <c r="ENY32" t="s">
        <v>251</v>
      </c>
      <c r="ENZ32" t="s">
        <v>1305</v>
      </c>
      <c r="EOA32" t="s">
        <v>251</v>
      </c>
      <c r="EOB32" t="s">
        <v>1305</v>
      </c>
      <c r="EOC32" t="s">
        <v>251</v>
      </c>
      <c r="EOD32" t="s">
        <v>1305</v>
      </c>
      <c r="EOE32" t="s">
        <v>251</v>
      </c>
      <c r="EOF32" t="s">
        <v>1305</v>
      </c>
      <c r="EOG32" t="s">
        <v>251</v>
      </c>
      <c r="EOH32" t="s">
        <v>1305</v>
      </c>
      <c r="EOI32" t="s">
        <v>251</v>
      </c>
      <c r="EOJ32" t="s">
        <v>1305</v>
      </c>
      <c r="EOK32" t="s">
        <v>251</v>
      </c>
      <c r="EOL32" t="s">
        <v>1305</v>
      </c>
      <c r="EOM32" t="s">
        <v>251</v>
      </c>
      <c r="EON32" t="s">
        <v>1305</v>
      </c>
      <c r="EOO32" t="s">
        <v>251</v>
      </c>
      <c r="EOP32" t="s">
        <v>1305</v>
      </c>
      <c r="EOQ32" t="s">
        <v>251</v>
      </c>
      <c r="EOR32" t="s">
        <v>1305</v>
      </c>
      <c r="EOS32" t="s">
        <v>251</v>
      </c>
      <c r="EOT32" t="s">
        <v>1305</v>
      </c>
      <c r="EOU32" t="s">
        <v>251</v>
      </c>
      <c r="EOV32" t="s">
        <v>1305</v>
      </c>
      <c r="EOW32" t="s">
        <v>251</v>
      </c>
      <c r="EOX32" t="s">
        <v>1305</v>
      </c>
      <c r="EOY32" t="s">
        <v>251</v>
      </c>
      <c r="EOZ32" t="s">
        <v>1305</v>
      </c>
      <c r="EPA32" t="s">
        <v>251</v>
      </c>
      <c r="EPB32" t="s">
        <v>1305</v>
      </c>
      <c r="EPC32" t="s">
        <v>251</v>
      </c>
      <c r="EPD32" t="s">
        <v>1305</v>
      </c>
      <c r="EPE32" t="s">
        <v>251</v>
      </c>
      <c r="EPF32" t="s">
        <v>1305</v>
      </c>
      <c r="EPG32" t="s">
        <v>251</v>
      </c>
      <c r="EPH32" t="s">
        <v>1305</v>
      </c>
      <c r="EPI32" t="s">
        <v>251</v>
      </c>
      <c r="EPJ32" t="s">
        <v>1305</v>
      </c>
      <c r="EPK32" t="s">
        <v>251</v>
      </c>
      <c r="EPL32" t="s">
        <v>1305</v>
      </c>
      <c r="EPM32" t="s">
        <v>251</v>
      </c>
      <c r="EPN32" t="s">
        <v>1305</v>
      </c>
      <c r="EPO32" t="s">
        <v>251</v>
      </c>
      <c r="EPP32" t="s">
        <v>1305</v>
      </c>
      <c r="EPQ32" t="s">
        <v>251</v>
      </c>
      <c r="EPR32" t="s">
        <v>1305</v>
      </c>
      <c r="EPS32" t="s">
        <v>251</v>
      </c>
      <c r="EPT32" t="s">
        <v>1305</v>
      </c>
      <c r="EPU32" t="s">
        <v>251</v>
      </c>
      <c r="EPV32" t="s">
        <v>1305</v>
      </c>
      <c r="EPW32" t="s">
        <v>251</v>
      </c>
      <c r="EPX32" t="s">
        <v>1305</v>
      </c>
      <c r="EPY32" t="s">
        <v>251</v>
      </c>
      <c r="EPZ32" t="s">
        <v>1305</v>
      </c>
      <c r="EQA32" t="s">
        <v>251</v>
      </c>
      <c r="EQB32" t="s">
        <v>1305</v>
      </c>
      <c r="EQC32" t="s">
        <v>251</v>
      </c>
      <c r="EQD32" t="s">
        <v>1305</v>
      </c>
      <c r="EQE32" t="s">
        <v>251</v>
      </c>
      <c r="EQF32" t="s">
        <v>1305</v>
      </c>
      <c r="EQG32" t="s">
        <v>251</v>
      </c>
      <c r="EQH32" t="s">
        <v>1305</v>
      </c>
      <c r="EQI32" t="s">
        <v>251</v>
      </c>
      <c r="EQJ32" t="s">
        <v>1305</v>
      </c>
      <c r="EQK32" t="s">
        <v>251</v>
      </c>
      <c r="EQL32" t="s">
        <v>1305</v>
      </c>
      <c r="EQM32" t="s">
        <v>251</v>
      </c>
      <c r="EQN32" t="s">
        <v>1305</v>
      </c>
      <c r="EQO32" t="s">
        <v>251</v>
      </c>
      <c r="EQP32" t="s">
        <v>1305</v>
      </c>
      <c r="EQQ32" t="s">
        <v>251</v>
      </c>
      <c r="EQR32" t="s">
        <v>1305</v>
      </c>
      <c r="EQS32" t="s">
        <v>251</v>
      </c>
      <c r="EQT32" t="s">
        <v>1305</v>
      </c>
      <c r="EQU32" t="s">
        <v>251</v>
      </c>
      <c r="EQV32" t="s">
        <v>1305</v>
      </c>
      <c r="EQW32" t="s">
        <v>251</v>
      </c>
      <c r="EQX32" t="s">
        <v>1305</v>
      </c>
      <c r="EQY32" t="s">
        <v>251</v>
      </c>
      <c r="EQZ32" t="s">
        <v>1305</v>
      </c>
      <c r="ERA32" t="s">
        <v>251</v>
      </c>
      <c r="ERB32" t="s">
        <v>1305</v>
      </c>
      <c r="ERC32" t="s">
        <v>251</v>
      </c>
      <c r="ERD32" t="s">
        <v>1305</v>
      </c>
      <c r="ERE32" t="s">
        <v>251</v>
      </c>
      <c r="ERF32" t="s">
        <v>1305</v>
      </c>
      <c r="ERG32" t="s">
        <v>251</v>
      </c>
      <c r="ERH32" t="s">
        <v>1305</v>
      </c>
      <c r="ERI32" t="s">
        <v>251</v>
      </c>
      <c r="ERJ32" t="s">
        <v>1305</v>
      </c>
      <c r="ERK32" t="s">
        <v>251</v>
      </c>
      <c r="ERL32" t="s">
        <v>1305</v>
      </c>
      <c r="ERM32" t="s">
        <v>251</v>
      </c>
      <c r="ERN32" t="s">
        <v>1305</v>
      </c>
      <c r="ERO32" t="s">
        <v>251</v>
      </c>
      <c r="ERP32" t="s">
        <v>1305</v>
      </c>
      <c r="ERQ32" t="s">
        <v>251</v>
      </c>
      <c r="ERR32" t="s">
        <v>1305</v>
      </c>
      <c r="ERS32" t="s">
        <v>251</v>
      </c>
      <c r="ERT32" t="s">
        <v>1305</v>
      </c>
      <c r="ERU32" t="s">
        <v>251</v>
      </c>
      <c r="ERV32" t="s">
        <v>1305</v>
      </c>
      <c r="ERW32" t="s">
        <v>251</v>
      </c>
      <c r="ERX32" t="s">
        <v>1305</v>
      </c>
      <c r="ERY32" t="s">
        <v>251</v>
      </c>
      <c r="ERZ32" t="s">
        <v>1305</v>
      </c>
      <c r="ESA32" t="s">
        <v>251</v>
      </c>
      <c r="ESB32" t="s">
        <v>1305</v>
      </c>
      <c r="ESC32" t="s">
        <v>251</v>
      </c>
      <c r="ESD32" t="s">
        <v>1305</v>
      </c>
      <c r="ESE32" t="s">
        <v>251</v>
      </c>
      <c r="ESF32" t="s">
        <v>1305</v>
      </c>
      <c r="ESG32" t="s">
        <v>251</v>
      </c>
      <c r="ESH32" t="s">
        <v>1305</v>
      </c>
      <c r="ESI32" t="s">
        <v>251</v>
      </c>
      <c r="ESJ32" t="s">
        <v>1305</v>
      </c>
      <c r="ESK32" t="s">
        <v>251</v>
      </c>
      <c r="ESL32" t="s">
        <v>1305</v>
      </c>
      <c r="ESM32" t="s">
        <v>251</v>
      </c>
      <c r="ESN32" t="s">
        <v>1305</v>
      </c>
      <c r="ESO32" t="s">
        <v>251</v>
      </c>
      <c r="ESP32" t="s">
        <v>1305</v>
      </c>
      <c r="ESQ32" t="s">
        <v>251</v>
      </c>
      <c r="ESR32" t="s">
        <v>1305</v>
      </c>
      <c r="ESS32" t="s">
        <v>251</v>
      </c>
      <c r="EST32" t="s">
        <v>1305</v>
      </c>
      <c r="ESU32" t="s">
        <v>251</v>
      </c>
      <c r="ESV32" t="s">
        <v>1305</v>
      </c>
      <c r="ESW32" t="s">
        <v>251</v>
      </c>
      <c r="ESX32" t="s">
        <v>1305</v>
      </c>
      <c r="ESY32" t="s">
        <v>251</v>
      </c>
      <c r="ESZ32" t="s">
        <v>1305</v>
      </c>
      <c r="ETA32" t="s">
        <v>251</v>
      </c>
      <c r="ETB32" t="s">
        <v>1305</v>
      </c>
      <c r="ETC32" t="s">
        <v>251</v>
      </c>
      <c r="ETD32" t="s">
        <v>1305</v>
      </c>
      <c r="ETE32" t="s">
        <v>251</v>
      </c>
      <c r="ETF32" t="s">
        <v>1305</v>
      </c>
      <c r="ETG32" t="s">
        <v>251</v>
      </c>
      <c r="ETH32" t="s">
        <v>1305</v>
      </c>
      <c r="ETI32" t="s">
        <v>251</v>
      </c>
      <c r="ETJ32" t="s">
        <v>1305</v>
      </c>
      <c r="ETK32" t="s">
        <v>251</v>
      </c>
      <c r="ETL32" t="s">
        <v>1305</v>
      </c>
      <c r="ETM32" t="s">
        <v>251</v>
      </c>
      <c r="ETN32" t="s">
        <v>1305</v>
      </c>
      <c r="ETO32" t="s">
        <v>251</v>
      </c>
      <c r="ETP32" t="s">
        <v>1305</v>
      </c>
      <c r="ETQ32" t="s">
        <v>251</v>
      </c>
      <c r="ETR32" t="s">
        <v>1305</v>
      </c>
      <c r="ETS32" t="s">
        <v>251</v>
      </c>
      <c r="ETT32" t="s">
        <v>1305</v>
      </c>
      <c r="ETU32" t="s">
        <v>251</v>
      </c>
      <c r="ETV32" t="s">
        <v>1305</v>
      </c>
      <c r="ETW32" t="s">
        <v>251</v>
      </c>
      <c r="ETX32" t="s">
        <v>1305</v>
      </c>
      <c r="ETY32" t="s">
        <v>251</v>
      </c>
      <c r="ETZ32" t="s">
        <v>1305</v>
      </c>
      <c r="EUA32" t="s">
        <v>251</v>
      </c>
      <c r="EUB32" t="s">
        <v>1305</v>
      </c>
      <c r="EUC32" t="s">
        <v>251</v>
      </c>
      <c r="EUD32" t="s">
        <v>1305</v>
      </c>
      <c r="EUE32" t="s">
        <v>251</v>
      </c>
      <c r="EUF32" t="s">
        <v>1305</v>
      </c>
      <c r="EUG32" t="s">
        <v>251</v>
      </c>
      <c r="EUH32" t="s">
        <v>1305</v>
      </c>
      <c r="EUI32" t="s">
        <v>251</v>
      </c>
      <c r="EUJ32" t="s">
        <v>1305</v>
      </c>
      <c r="EUK32" t="s">
        <v>251</v>
      </c>
      <c r="EUL32" t="s">
        <v>1305</v>
      </c>
      <c r="EUM32" t="s">
        <v>251</v>
      </c>
      <c r="EUN32" t="s">
        <v>1305</v>
      </c>
      <c r="EUO32" t="s">
        <v>251</v>
      </c>
      <c r="EUP32" t="s">
        <v>1305</v>
      </c>
      <c r="EUQ32" t="s">
        <v>251</v>
      </c>
      <c r="EUR32" t="s">
        <v>1305</v>
      </c>
      <c r="EUS32" t="s">
        <v>251</v>
      </c>
      <c r="EUT32" t="s">
        <v>1305</v>
      </c>
      <c r="EUU32" t="s">
        <v>251</v>
      </c>
      <c r="EUV32" t="s">
        <v>1305</v>
      </c>
      <c r="EUW32" t="s">
        <v>251</v>
      </c>
      <c r="EUX32" t="s">
        <v>1305</v>
      </c>
      <c r="EUY32" t="s">
        <v>251</v>
      </c>
      <c r="EUZ32" t="s">
        <v>1305</v>
      </c>
      <c r="EVA32" t="s">
        <v>251</v>
      </c>
      <c r="EVB32" t="s">
        <v>1305</v>
      </c>
      <c r="EVC32" t="s">
        <v>251</v>
      </c>
      <c r="EVD32" t="s">
        <v>1305</v>
      </c>
      <c r="EVE32" t="s">
        <v>251</v>
      </c>
      <c r="EVF32" t="s">
        <v>1305</v>
      </c>
      <c r="EVG32" t="s">
        <v>251</v>
      </c>
      <c r="EVH32" t="s">
        <v>1305</v>
      </c>
      <c r="EVI32" t="s">
        <v>251</v>
      </c>
      <c r="EVJ32" t="s">
        <v>1305</v>
      </c>
      <c r="EVK32" t="s">
        <v>251</v>
      </c>
      <c r="EVL32" t="s">
        <v>1305</v>
      </c>
      <c r="EVM32" t="s">
        <v>251</v>
      </c>
      <c r="EVN32" t="s">
        <v>1305</v>
      </c>
      <c r="EVO32" t="s">
        <v>251</v>
      </c>
      <c r="EVP32" t="s">
        <v>1305</v>
      </c>
      <c r="EVQ32" t="s">
        <v>251</v>
      </c>
      <c r="EVR32" t="s">
        <v>1305</v>
      </c>
      <c r="EVS32" t="s">
        <v>251</v>
      </c>
      <c r="EVT32" t="s">
        <v>1305</v>
      </c>
      <c r="EVU32" t="s">
        <v>251</v>
      </c>
      <c r="EVV32" t="s">
        <v>1305</v>
      </c>
      <c r="EVW32" t="s">
        <v>251</v>
      </c>
      <c r="EVX32" t="s">
        <v>1305</v>
      </c>
      <c r="EVY32" t="s">
        <v>251</v>
      </c>
      <c r="EVZ32" t="s">
        <v>1305</v>
      </c>
      <c r="EWA32" t="s">
        <v>251</v>
      </c>
      <c r="EWB32" t="s">
        <v>1305</v>
      </c>
      <c r="EWC32" t="s">
        <v>251</v>
      </c>
      <c r="EWD32" t="s">
        <v>1305</v>
      </c>
      <c r="EWE32" t="s">
        <v>251</v>
      </c>
      <c r="EWF32" t="s">
        <v>1305</v>
      </c>
      <c r="EWG32" t="s">
        <v>251</v>
      </c>
      <c r="EWH32" t="s">
        <v>1305</v>
      </c>
      <c r="EWI32" t="s">
        <v>251</v>
      </c>
      <c r="EWJ32" t="s">
        <v>1305</v>
      </c>
      <c r="EWK32" t="s">
        <v>251</v>
      </c>
      <c r="EWL32" t="s">
        <v>1305</v>
      </c>
      <c r="EWM32" t="s">
        <v>251</v>
      </c>
      <c r="EWN32" t="s">
        <v>1305</v>
      </c>
      <c r="EWO32" t="s">
        <v>251</v>
      </c>
      <c r="EWP32" t="s">
        <v>1305</v>
      </c>
      <c r="EWQ32" t="s">
        <v>251</v>
      </c>
      <c r="EWR32" t="s">
        <v>1305</v>
      </c>
      <c r="EWS32" t="s">
        <v>251</v>
      </c>
      <c r="EWT32" t="s">
        <v>1305</v>
      </c>
      <c r="EWU32" t="s">
        <v>251</v>
      </c>
      <c r="EWV32" t="s">
        <v>1305</v>
      </c>
      <c r="EWW32" t="s">
        <v>251</v>
      </c>
      <c r="EWX32" t="s">
        <v>1305</v>
      </c>
      <c r="EWY32" t="s">
        <v>251</v>
      </c>
      <c r="EWZ32" t="s">
        <v>1305</v>
      </c>
      <c r="EXA32" t="s">
        <v>251</v>
      </c>
      <c r="EXB32" t="s">
        <v>1305</v>
      </c>
      <c r="EXC32" t="s">
        <v>251</v>
      </c>
      <c r="EXD32" t="s">
        <v>1305</v>
      </c>
      <c r="EXE32" t="s">
        <v>251</v>
      </c>
      <c r="EXF32" t="s">
        <v>1305</v>
      </c>
      <c r="EXG32" t="s">
        <v>251</v>
      </c>
      <c r="EXH32" t="s">
        <v>1305</v>
      </c>
      <c r="EXI32" t="s">
        <v>251</v>
      </c>
      <c r="EXJ32" t="s">
        <v>1305</v>
      </c>
      <c r="EXK32" t="s">
        <v>251</v>
      </c>
      <c r="EXL32" t="s">
        <v>1305</v>
      </c>
      <c r="EXM32" t="s">
        <v>251</v>
      </c>
      <c r="EXN32" t="s">
        <v>1305</v>
      </c>
      <c r="EXO32" t="s">
        <v>251</v>
      </c>
      <c r="EXP32" t="s">
        <v>1305</v>
      </c>
      <c r="EXQ32" t="s">
        <v>251</v>
      </c>
      <c r="EXR32" t="s">
        <v>1305</v>
      </c>
      <c r="EXS32" t="s">
        <v>251</v>
      </c>
      <c r="EXT32" t="s">
        <v>1305</v>
      </c>
      <c r="EXU32" t="s">
        <v>251</v>
      </c>
      <c r="EXV32" t="s">
        <v>1305</v>
      </c>
      <c r="EXW32" t="s">
        <v>251</v>
      </c>
      <c r="EXX32" t="s">
        <v>1305</v>
      </c>
      <c r="EXY32" t="s">
        <v>251</v>
      </c>
      <c r="EXZ32" t="s">
        <v>1305</v>
      </c>
      <c r="EYA32" t="s">
        <v>251</v>
      </c>
      <c r="EYB32" t="s">
        <v>1305</v>
      </c>
      <c r="EYC32" t="s">
        <v>251</v>
      </c>
      <c r="EYD32" t="s">
        <v>1305</v>
      </c>
      <c r="EYE32" t="s">
        <v>251</v>
      </c>
      <c r="EYF32" t="s">
        <v>1305</v>
      </c>
      <c r="EYG32" t="s">
        <v>251</v>
      </c>
      <c r="EYH32" t="s">
        <v>1305</v>
      </c>
      <c r="EYI32" t="s">
        <v>251</v>
      </c>
      <c r="EYJ32" t="s">
        <v>1305</v>
      </c>
      <c r="EYK32" t="s">
        <v>251</v>
      </c>
      <c r="EYL32" t="s">
        <v>1305</v>
      </c>
      <c r="EYM32" t="s">
        <v>251</v>
      </c>
      <c r="EYN32" t="s">
        <v>1305</v>
      </c>
      <c r="EYO32" t="s">
        <v>251</v>
      </c>
      <c r="EYP32" t="s">
        <v>1305</v>
      </c>
      <c r="EYQ32" t="s">
        <v>251</v>
      </c>
      <c r="EYR32" t="s">
        <v>1305</v>
      </c>
      <c r="EYS32" t="s">
        <v>251</v>
      </c>
      <c r="EYT32" t="s">
        <v>1305</v>
      </c>
      <c r="EYU32" t="s">
        <v>251</v>
      </c>
      <c r="EYV32" t="s">
        <v>1305</v>
      </c>
      <c r="EYW32" t="s">
        <v>251</v>
      </c>
      <c r="EYX32" t="s">
        <v>1305</v>
      </c>
      <c r="EYY32" t="s">
        <v>251</v>
      </c>
      <c r="EYZ32" t="s">
        <v>1305</v>
      </c>
      <c r="EZA32" t="s">
        <v>251</v>
      </c>
      <c r="EZB32" t="s">
        <v>1305</v>
      </c>
      <c r="EZC32" t="s">
        <v>251</v>
      </c>
      <c r="EZD32" t="s">
        <v>1305</v>
      </c>
      <c r="EZE32" t="s">
        <v>251</v>
      </c>
      <c r="EZF32" t="s">
        <v>1305</v>
      </c>
      <c r="EZG32" t="s">
        <v>251</v>
      </c>
      <c r="EZH32" t="s">
        <v>1305</v>
      </c>
      <c r="EZI32" t="s">
        <v>251</v>
      </c>
      <c r="EZJ32" t="s">
        <v>1305</v>
      </c>
      <c r="EZK32" t="s">
        <v>251</v>
      </c>
      <c r="EZL32" t="s">
        <v>1305</v>
      </c>
      <c r="EZM32" t="s">
        <v>251</v>
      </c>
      <c r="EZN32" t="s">
        <v>1305</v>
      </c>
      <c r="EZO32" t="s">
        <v>251</v>
      </c>
      <c r="EZP32" t="s">
        <v>1305</v>
      </c>
      <c r="EZQ32" t="s">
        <v>251</v>
      </c>
      <c r="EZR32" t="s">
        <v>1305</v>
      </c>
      <c r="EZS32" t="s">
        <v>251</v>
      </c>
      <c r="EZT32" t="s">
        <v>1305</v>
      </c>
      <c r="EZU32" t="s">
        <v>251</v>
      </c>
      <c r="EZV32" t="s">
        <v>1305</v>
      </c>
      <c r="EZW32" t="s">
        <v>251</v>
      </c>
      <c r="EZX32" t="s">
        <v>1305</v>
      </c>
      <c r="EZY32" t="s">
        <v>251</v>
      </c>
      <c r="EZZ32" t="s">
        <v>1305</v>
      </c>
      <c r="FAA32" t="s">
        <v>251</v>
      </c>
      <c r="FAB32" t="s">
        <v>1305</v>
      </c>
      <c r="FAC32" t="s">
        <v>251</v>
      </c>
      <c r="FAD32" t="s">
        <v>1305</v>
      </c>
      <c r="FAE32" t="s">
        <v>251</v>
      </c>
      <c r="FAF32" t="s">
        <v>1305</v>
      </c>
      <c r="FAG32" t="s">
        <v>251</v>
      </c>
      <c r="FAH32" t="s">
        <v>1305</v>
      </c>
      <c r="FAI32" t="s">
        <v>251</v>
      </c>
      <c r="FAJ32" t="s">
        <v>1305</v>
      </c>
      <c r="FAK32" t="s">
        <v>251</v>
      </c>
      <c r="FAL32" t="s">
        <v>1305</v>
      </c>
      <c r="FAM32" t="s">
        <v>251</v>
      </c>
      <c r="FAN32" t="s">
        <v>1305</v>
      </c>
      <c r="FAO32" t="s">
        <v>251</v>
      </c>
      <c r="FAP32" t="s">
        <v>1305</v>
      </c>
      <c r="FAQ32" t="s">
        <v>251</v>
      </c>
      <c r="FAR32" t="s">
        <v>1305</v>
      </c>
      <c r="FAS32" t="s">
        <v>251</v>
      </c>
      <c r="FAT32" t="s">
        <v>1305</v>
      </c>
      <c r="FAU32" t="s">
        <v>251</v>
      </c>
      <c r="FAV32" t="s">
        <v>1305</v>
      </c>
      <c r="FAW32" t="s">
        <v>251</v>
      </c>
      <c r="FAX32" t="s">
        <v>1305</v>
      </c>
      <c r="FAY32" t="s">
        <v>251</v>
      </c>
      <c r="FAZ32" t="s">
        <v>1305</v>
      </c>
      <c r="FBA32" t="s">
        <v>251</v>
      </c>
      <c r="FBB32" t="s">
        <v>1305</v>
      </c>
      <c r="FBC32" t="s">
        <v>251</v>
      </c>
      <c r="FBD32" t="s">
        <v>1305</v>
      </c>
      <c r="FBE32" t="s">
        <v>251</v>
      </c>
      <c r="FBF32" t="s">
        <v>1305</v>
      </c>
      <c r="FBG32" t="s">
        <v>251</v>
      </c>
      <c r="FBH32" t="s">
        <v>1305</v>
      </c>
      <c r="FBI32" t="s">
        <v>251</v>
      </c>
      <c r="FBJ32" t="s">
        <v>1305</v>
      </c>
      <c r="FBK32" t="s">
        <v>251</v>
      </c>
      <c r="FBL32" t="s">
        <v>1305</v>
      </c>
      <c r="FBM32" t="s">
        <v>251</v>
      </c>
      <c r="FBN32" t="s">
        <v>1305</v>
      </c>
      <c r="FBO32" t="s">
        <v>251</v>
      </c>
      <c r="FBP32" t="s">
        <v>1305</v>
      </c>
      <c r="FBQ32" t="s">
        <v>251</v>
      </c>
      <c r="FBR32" t="s">
        <v>1305</v>
      </c>
      <c r="FBS32" t="s">
        <v>251</v>
      </c>
      <c r="FBT32" t="s">
        <v>1305</v>
      </c>
      <c r="FBU32" t="s">
        <v>251</v>
      </c>
      <c r="FBV32" t="s">
        <v>1305</v>
      </c>
      <c r="FBW32" t="s">
        <v>251</v>
      </c>
      <c r="FBX32" t="s">
        <v>1305</v>
      </c>
      <c r="FBY32" t="s">
        <v>251</v>
      </c>
      <c r="FBZ32" t="s">
        <v>1305</v>
      </c>
      <c r="FCA32" t="s">
        <v>251</v>
      </c>
      <c r="FCB32" t="s">
        <v>1305</v>
      </c>
      <c r="FCC32" t="s">
        <v>251</v>
      </c>
      <c r="FCD32" t="s">
        <v>1305</v>
      </c>
      <c r="FCE32" t="s">
        <v>251</v>
      </c>
      <c r="FCF32" t="s">
        <v>1305</v>
      </c>
      <c r="FCG32" t="s">
        <v>251</v>
      </c>
      <c r="FCH32" t="s">
        <v>1305</v>
      </c>
      <c r="FCI32" t="s">
        <v>251</v>
      </c>
      <c r="FCJ32" t="s">
        <v>1305</v>
      </c>
      <c r="FCK32" t="s">
        <v>251</v>
      </c>
      <c r="FCL32" t="s">
        <v>1305</v>
      </c>
      <c r="FCM32" t="s">
        <v>251</v>
      </c>
      <c r="FCN32" t="s">
        <v>1305</v>
      </c>
      <c r="FCO32" t="s">
        <v>251</v>
      </c>
      <c r="FCP32" t="s">
        <v>1305</v>
      </c>
      <c r="FCQ32" t="s">
        <v>251</v>
      </c>
      <c r="FCR32" t="s">
        <v>1305</v>
      </c>
      <c r="FCS32" t="s">
        <v>251</v>
      </c>
      <c r="FCT32" t="s">
        <v>1305</v>
      </c>
      <c r="FCU32" t="s">
        <v>251</v>
      </c>
      <c r="FCV32" t="s">
        <v>1305</v>
      </c>
      <c r="FCW32" t="s">
        <v>251</v>
      </c>
      <c r="FCX32" t="s">
        <v>1305</v>
      </c>
      <c r="FCY32" t="s">
        <v>251</v>
      </c>
      <c r="FCZ32" t="s">
        <v>1305</v>
      </c>
      <c r="FDA32" t="s">
        <v>251</v>
      </c>
      <c r="FDB32" t="s">
        <v>1305</v>
      </c>
      <c r="FDC32" t="s">
        <v>251</v>
      </c>
      <c r="FDD32" t="s">
        <v>1305</v>
      </c>
      <c r="FDE32" t="s">
        <v>251</v>
      </c>
      <c r="FDF32" t="s">
        <v>1305</v>
      </c>
      <c r="FDG32" t="s">
        <v>251</v>
      </c>
      <c r="FDH32" t="s">
        <v>1305</v>
      </c>
      <c r="FDI32" t="s">
        <v>251</v>
      </c>
      <c r="FDJ32" t="s">
        <v>1305</v>
      </c>
      <c r="FDK32" t="s">
        <v>251</v>
      </c>
      <c r="FDL32" t="s">
        <v>1305</v>
      </c>
      <c r="FDM32" t="s">
        <v>251</v>
      </c>
      <c r="FDN32" t="s">
        <v>1305</v>
      </c>
      <c r="FDO32" t="s">
        <v>251</v>
      </c>
      <c r="FDP32" t="s">
        <v>1305</v>
      </c>
      <c r="FDQ32" t="s">
        <v>251</v>
      </c>
      <c r="FDR32" t="s">
        <v>1305</v>
      </c>
      <c r="FDS32" t="s">
        <v>251</v>
      </c>
      <c r="FDT32" t="s">
        <v>1305</v>
      </c>
      <c r="FDU32" t="s">
        <v>251</v>
      </c>
      <c r="FDV32" t="s">
        <v>1305</v>
      </c>
      <c r="FDW32" t="s">
        <v>251</v>
      </c>
      <c r="FDX32" t="s">
        <v>1305</v>
      </c>
      <c r="FDY32" t="s">
        <v>251</v>
      </c>
      <c r="FDZ32" t="s">
        <v>1305</v>
      </c>
      <c r="FEA32" t="s">
        <v>251</v>
      </c>
      <c r="FEB32" t="s">
        <v>1305</v>
      </c>
      <c r="FEC32" t="s">
        <v>251</v>
      </c>
      <c r="FED32" t="s">
        <v>1305</v>
      </c>
      <c r="FEE32" t="s">
        <v>251</v>
      </c>
      <c r="FEF32" t="s">
        <v>1305</v>
      </c>
      <c r="FEG32" t="s">
        <v>251</v>
      </c>
      <c r="FEH32" t="s">
        <v>1305</v>
      </c>
      <c r="FEI32" t="s">
        <v>251</v>
      </c>
      <c r="FEJ32" t="s">
        <v>1305</v>
      </c>
      <c r="FEK32" t="s">
        <v>251</v>
      </c>
      <c r="FEL32" t="s">
        <v>1305</v>
      </c>
      <c r="FEM32" t="s">
        <v>251</v>
      </c>
      <c r="FEN32" t="s">
        <v>1305</v>
      </c>
      <c r="FEO32" t="s">
        <v>251</v>
      </c>
      <c r="FEP32" t="s">
        <v>1305</v>
      </c>
      <c r="FEQ32" t="s">
        <v>251</v>
      </c>
      <c r="FER32" t="s">
        <v>1305</v>
      </c>
      <c r="FES32" t="s">
        <v>251</v>
      </c>
      <c r="FET32" t="s">
        <v>1305</v>
      </c>
      <c r="FEU32" t="s">
        <v>251</v>
      </c>
      <c r="FEV32" t="s">
        <v>1305</v>
      </c>
      <c r="FEW32" t="s">
        <v>251</v>
      </c>
      <c r="FEX32" t="s">
        <v>1305</v>
      </c>
      <c r="FEY32" t="s">
        <v>251</v>
      </c>
      <c r="FEZ32" t="s">
        <v>1305</v>
      </c>
      <c r="FFA32" t="s">
        <v>251</v>
      </c>
      <c r="FFB32" t="s">
        <v>1305</v>
      </c>
      <c r="FFC32" t="s">
        <v>251</v>
      </c>
      <c r="FFD32" t="s">
        <v>1305</v>
      </c>
      <c r="FFE32" t="s">
        <v>251</v>
      </c>
      <c r="FFF32" t="s">
        <v>1305</v>
      </c>
      <c r="FFG32" t="s">
        <v>251</v>
      </c>
      <c r="FFH32" t="s">
        <v>1305</v>
      </c>
      <c r="FFI32" t="s">
        <v>251</v>
      </c>
      <c r="FFJ32" t="s">
        <v>1305</v>
      </c>
      <c r="FFK32" t="s">
        <v>251</v>
      </c>
      <c r="FFL32" t="s">
        <v>1305</v>
      </c>
      <c r="FFM32" t="s">
        <v>251</v>
      </c>
      <c r="FFN32" t="s">
        <v>1305</v>
      </c>
      <c r="FFO32" t="s">
        <v>251</v>
      </c>
      <c r="FFP32" t="s">
        <v>1305</v>
      </c>
      <c r="FFQ32" t="s">
        <v>251</v>
      </c>
      <c r="FFR32" t="s">
        <v>1305</v>
      </c>
      <c r="FFS32" t="s">
        <v>251</v>
      </c>
      <c r="FFT32" t="s">
        <v>1305</v>
      </c>
      <c r="FFU32" t="s">
        <v>251</v>
      </c>
      <c r="FFV32" t="s">
        <v>1305</v>
      </c>
      <c r="FFW32" t="s">
        <v>251</v>
      </c>
      <c r="FFX32" t="s">
        <v>1305</v>
      </c>
      <c r="FFY32" t="s">
        <v>251</v>
      </c>
      <c r="FFZ32" t="s">
        <v>1305</v>
      </c>
      <c r="FGA32" t="s">
        <v>251</v>
      </c>
      <c r="FGB32" t="s">
        <v>1305</v>
      </c>
      <c r="FGC32" t="s">
        <v>251</v>
      </c>
      <c r="FGD32" t="s">
        <v>1305</v>
      </c>
      <c r="FGE32" t="s">
        <v>251</v>
      </c>
      <c r="FGF32" t="s">
        <v>1305</v>
      </c>
      <c r="FGG32" t="s">
        <v>251</v>
      </c>
      <c r="FGH32" t="s">
        <v>1305</v>
      </c>
      <c r="FGI32" t="s">
        <v>251</v>
      </c>
      <c r="FGJ32" t="s">
        <v>1305</v>
      </c>
      <c r="FGK32" t="s">
        <v>251</v>
      </c>
      <c r="FGL32" t="s">
        <v>1305</v>
      </c>
      <c r="FGM32" t="s">
        <v>251</v>
      </c>
      <c r="FGN32" t="s">
        <v>1305</v>
      </c>
      <c r="FGO32" t="s">
        <v>251</v>
      </c>
      <c r="FGP32" t="s">
        <v>1305</v>
      </c>
      <c r="FGQ32" t="s">
        <v>251</v>
      </c>
      <c r="FGR32" t="s">
        <v>1305</v>
      </c>
      <c r="FGS32" t="s">
        <v>251</v>
      </c>
      <c r="FGT32" t="s">
        <v>1305</v>
      </c>
      <c r="FGU32" t="s">
        <v>251</v>
      </c>
      <c r="FGV32" t="s">
        <v>1305</v>
      </c>
      <c r="FGW32" t="s">
        <v>251</v>
      </c>
      <c r="FGX32" t="s">
        <v>1305</v>
      </c>
      <c r="FGY32" t="s">
        <v>251</v>
      </c>
      <c r="FGZ32" t="s">
        <v>1305</v>
      </c>
      <c r="FHA32" t="s">
        <v>251</v>
      </c>
      <c r="FHB32" t="s">
        <v>1305</v>
      </c>
      <c r="FHC32" t="s">
        <v>251</v>
      </c>
      <c r="FHD32" t="s">
        <v>1305</v>
      </c>
      <c r="FHE32" t="s">
        <v>251</v>
      </c>
      <c r="FHF32" t="s">
        <v>1305</v>
      </c>
      <c r="FHG32" t="s">
        <v>251</v>
      </c>
      <c r="FHH32" t="s">
        <v>1305</v>
      </c>
      <c r="FHI32" t="s">
        <v>251</v>
      </c>
      <c r="FHJ32" t="s">
        <v>1305</v>
      </c>
      <c r="FHK32" t="s">
        <v>251</v>
      </c>
      <c r="FHL32" t="s">
        <v>1305</v>
      </c>
      <c r="FHM32" t="s">
        <v>251</v>
      </c>
      <c r="FHN32" t="s">
        <v>1305</v>
      </c>
      <c r="FHO32" t="s">
        <v>251</v>
      </c>
      <c r="FHP32" t="s">
        <v>1305</v>
      </c>
      <c r="FHQ32" t="s">
        <v>251</v>
      </c>
      <c r="FHR32" t="s">
        <v>1305</v>
      </c>
      <c r="FHS32" t="s">
        <v>251</v>
      </c>
      <c r="FHT32" t="s">
        <v>1305</v>
      </c>
      <c r="FHU32" t="s">
        <v>251</v>
      </c>
      <c r="FHV32" t="s">
        <v>1305</v>
      </c>
      <c r="FHW32" t="s">
        <v>251</v>
      </c>
      <c r="FHX32" t="s">
        <v>1305</v>
      </c>
      <c r="FHY32" t="s">
        <v>251</v>
      </c>
      <c r="FHZ32" t="s">
        <v>1305</v>
      </c>
      <c r="FIA32" t="s">
        <v>251</v>
      </c>
      <c r="FIB32" t="s">
        <v>1305</v>
      </c>
      <c r="FIC32" t="s">
        <v>251</v>
      </c>
      <c r="FID32" t="s">
        <v>1305</v>
      </c>
      <c r="FIE32" t="s">
        <v>251</v>
      </c>
      <c r="FIF32" t="s">
        <v>1305</v>
      </c>
      <c r="FIG32" t="s">
        <v>251</v>
      </c>
      <c r="FIH32" t="s">
        <v>1305</v>
      </c>
      <c r="FII32" t="s">
        <v>251</v>
      </c>
      <c r="FIJ32" t="s">
        <v>1305</v>
      </c>
      <c r="FIK32" t="s">
        <v>251</v>
      </c>
      <c r="FIL32" t="s">
        <v>1305</v>
      </c>
      <c r="FIM32" t="s">
        <v>251</v>
      </c>
      <c r="FIN32" t="s">
        <v>1305</v>
      </c>
      <c r="FIO32" t="s">
        <v>251</v>
      </c>
      <c r="FIP32" t="s">
        <v>1305</v>
      </c>
      <c r="FIQ32" t="s">
        <v>251</v>
      </c>
      <c r="FIR32" t="s">
        <v>1305</v>
      </c>
      <c r="FIS32" t="s">
        <v>251</v>
      </c>
      <c r="FIT32" t="s">
        <v>1305</v>
      </c>
      <c r="FIU32" t="s">
        <v>251</v>
      </c>
      <c r="FIV32" t="s">
        <v>1305</v>
      </c>
      <c r="FIW32" t="s">
        <v>251</v>
      </c>
      <c r="FIX32" t="s">
        <v>1305</v>
      </c>
      <c r="FIY32" t="s">
        <v>251</v>
      </c>
      <c r="FIZ32" t="s">
        <v>1305</v>
      </c>
      <c r="FJA32" t="s">
        <v>251</v>
      </c>
      <c r="FJB32" t="s">
        <v>1305</v>
      </c>
      <c r="FJC32" t="s">
        <v>251</v>
      </c>
      <c r="FJD32" t="s">
        <v>1305</v>
      </c>
      <c r="FJE32" t="s">
        <v>251</v>
      </c>
      <c r="FJF32" t="s">
        <v>1305</v>
      </c>
      <c r="FJG32" t="s">
        <v>251</v>
      </c>
      <c r="FJH32" t="s">
        <v>1305</v>
      </c>
      <c r="FJI32" t="s">
        <v>251</v>
      </c>
      <c r="FJJ32" t="s">
        <v>1305</v>
      </c>
      <c r="FJK32" t="s">
        <v>251</v>
      </c>
      <c r="FJL32" t="s">
        <v>1305</v>
      </c>
      <c r="FJM32" t="s">
        <v>251</v>
      </c>
      <c r="FJN32" t="s">
        <v>1305</v>
      </c>
      <c r="FJO32" t="s">
        <v>251</v>
      </c>
      <c r="FJP32" t="s">
        <v>1305</v>
      </c>
      <c r="FJQ32" t="s">
        <v>251</v>
      </c>
      <c r="FJR32" t="s">
        <v>1305</v>
      </c>
      <c r="FJS32" t="s">
        <v>251</v>
      </c>
      <c r="FJT32" t="s">
        <v>1305</v>
      </c>
      <c r="FJU32" t="s">
        <v>251</v>
      </c>
      <c r="FJV32" t="s">
        <v>1305</v>
      </c>
      <c r="FJW32" t="s">
        <v>251</v>
      </c>
      <c r="FJX32" t="s">
        <v>1305</v>
      </c>
      <c r="FJY32" t="s">
        <v>251</v>
      </c>
      <c r="FJZ32" t="s">
        <v>1305</v>
      </c>
      <c r="FKA32" t="s">
        <v>251</v>
      </c>
      <c r="FKB32" t="s">
        <v>1305</v>
      </c>
      <c r="FKC32" t="s">
        <v>251</v>
      </c>
      <c r="FKD32" t="s">
        <v>1305</v>
      </c>
      <c r="FKE32" t="s">
        <v>251</v>
      </c>
      <c r="FKF32" t="s">
        <v>1305</v>
      </c>
      <c r="FKG32" t="s">
        <v>251</v>
      </c>
      <c r="FKH32" t="s">
        <v>1305</v>
      </c>
      <c r="FKI32" t="s">
        <v>251</v>
      </c>
      <c r="FKJ32" t="s">
        <v>1305</v>
      </c>
      <c r="FKK32" t="s">
        <v>251</v>
      </c>
      <c r="FKL32" t="s">
        <v>1305</v>
      </c>
      <c r="FKM32" t="s">
        <v>251</v>
      </c>
      <c r="FKN32" t="s">
        <v>1305</v>
      </c>
      <c r="FKO32" t="s">
        <v>251</v>
      </c>
      <c r="FKP32" t="s">
        <v>1305</v>
      </c>
      <c r="FKQ32" t="s">
        <v>251</v>
      </c>
      <c r="FKR32" t="s">
        <v>1305</v>
      </c>
      <c r="FKS32" t="s">
        <v>251</v>
      </c>
      <c r="FKT32" t="s">
        <v>1305</v>
      </c>
      <c r="FKU32" t="s">
        <v>251</v>
      </c>
      <c r="FKV32" t="s">
        <v>1305</v>
      </c>
      <c r="FKW32" t="s">
        <v>251</v>
      </c>
      <c r="FKX32" t="s">
        <v>1305</v>
      </c>
      <c r="FKY32" t="s">
        <v>251</v>
      </c>
      <c r="FKZ32" t="s">
        <v>1305</v>
      </c>
      <c r="FLA32" t="s">
        <v>251</v>
      </c>
      <c r="FLB32" t="s">
        <v>1305</v>
      </c>
      <c r="FLC32" t="s">
        <v>251</v>
      </c>
      <c r="FLD32" t="s">
        <v>1305</v>
      </c>
      <c r="FLE32" t="s">
        <v>251</v>
      </c>
      <c r="FLF32" t="s">
        <v>1305</v>
      </c>
      <c r="FLG32" t="s">
        <v>251</v>
      </c>
      <c r="FLH32" t="s">
        <v>1305</v>
      </c>
      <c r="FLI32" t="s">
        <v>251</v>
      </c>
      <c r="FLJ32" t="s">
        <v>1305</v>
      </c>
      <c r="FLK32" t="s">
        <v>251</v>
      </c>
      <c r="FLL32" t="s">
        <v>1305</v>
      </c>
      <c r="FLM32" t="s">
        <v>251</v>
      </c>
      <c r="FLN32" t="s">
        <v>1305</v>
      </c>
      <c r="FLO32" t="s">
        <v>251</v>
      </c>
      <c r="FLP32" t="s">
        <v>1305</v>
      </c>
      <c r="FLQ32" t="s">
        <v>251</v>
      </c>
      <c r="FLR32" t="s">
        <v>1305</v>
      </c>
      <c r="FLS32" t="s">
        <v>251</v>
      </c>
      <c r="FLT32" t="s">
        <v>1305</v>
      </c>
      <c r="FLU32" t="s">
        <v>251</v>
      </c>
      <c r="FLV32" t="s">
        <v>1305</v>
      </c>
      <c r="FLW32" t="s">
        <v>251</v>
      </c>
      <c r="FLX32" t="s">
        <v>1305</v>
      </c>
      <c r="FLY32" t="s">
        <v>251</v>
      </c>
      <c r="FLZ32" t="s">
        <v>1305</v>
      </c>
      <c r="FMA32" t="s">
        <v>251</v>
      </c>
      <c r="FMB32" t="s">
        <v>1305</v>
      </c>
      <c r="FMC32" t="s">
        <v>251</v>
      </c>
      <c r="FMD32" t="s">
        <v>1305</v>
      </c>
      <c r="FME32" t="s">
        <v>251</v>
      </c>
      <c r="FMF32" t="s">
        <v>1305</v>
      </c>
      <c r="FMG32" t="s">
        <v>251</v>
      </c>
      <c r="FMH32" t="s">
        <v>1305</v>
      </c>
      <c r="FMI32" t="s">
        <v>251</v>
      </c>
      <c r="FMJ32" t="s">
        <v>1305</v>
      </c>
      <c r="FMK32" t="s">
        <v>251</v>
      </c>
      <c r="FML32" t="s">
        <v>1305</v>
      </c>
      <c r="FMM32" t="s">
        <v>251</v>
      </c>
      <c r="FMN32" t="s">
        <v>1305</v>
      </c>
      <c r="FMO32" t="s">
        <v>251</v>
      </c>
      <c r="FMP32" t="s">
        <v>1305</v>
      </c>
      <c r="FMQ32" t="s">
        <v>251</v>
      </c>
      <c r="FMR32" t="s">
        <v>1305</v>
      </c>
      <c r="FMS32" t="s">
        <v>251</v>
      </c>
      <c r="FMT32" t="s">
        <v>1305</v>
      </c>
      <c r="FMU32" t="s">
        <v>251</v>
      </c>
      <c r="FMV32" t="s">
        <v>1305</v>
      </c>
      <c r="FMW32" t="s">
        <v>251</v>
      </c>
      <c r="FMX32" t="s">
        <v>1305</v>
      </c>
      <c r="FMY32" t="s">
        <v>251</v>
      </c>
      <c r="FMZ32" t="s">
        <v>1305</v>
      </c>
      <c r="FNA32" t="s">
        <v>251</v>
      </c>
      <c r="FNB32" t="s">
        <v>1305</v>
      </c>
      <c r="FNC32" t="s">
        <v>251</v>
      </c>
      <c r="FND32" t="s">
        <v>1305</v>
      </c>
      <c r="FNE32" t="s">
        <v>251</v>
      </c>
      <c r="FNF32" t="s">
        <v>1305</v>
      </c>
      <c r="FNG32" t="s">
        <v>251</v>
      </c>
      <c r="FNH32" t="s">
        <v>1305</v>
      </c>
      <c r="FNI32" t="s">
        <v>251</v>
      </c>
      <c r="FNJ32" t="s">
        <v>1305</v>
      </c>
      <c r="FNK32" t="s">
        <v>251</v>
      </c>
      <c r="FNL32" t="s">
        <v>1305</v>
      </c>
      <c r="FNM32" t="s">
        <v>251</v>
      </c>
      <c r="FNN32" t="s">
        <v>1305</v>
      </c>
      <c r="FNO32" t="s">
        <v>251</v>
      </c>
      <c r="FNP32" t="s">
        <v>1305</v>
      </c>
      <c r="FNQ32" t="s">
        <v>251</v>
      </c>
      <c r="FNR32" t="s">
        <v>1305</v>
      </c>
      <c r="FNS32" t="s">
        <v>251</v>
      </c>
      <c r="FNT32" t="s">
        <v>1305</v>
      </c>
      <c r="FNU32" t="s">
        <v>251</v>
      </c>
      <c r="FNV32" t="s">
        <v>1305</v>
      </c>
      <c r="FNW32" t="s">
        <v>251</v>
      </c>
      <c r="FNX32" t="s">
        <v>1305</v>
      </c>
      <c r="FNY32" t="s">
        <v>251</v>
      </c>
      <c r="FNZ32" t="s">
        <v>1305</v>
      </c>
      <c r="FOA32" t="s">
        <v>251</v>
      </c>
      <c r="FOB32" t="s">
        <v>1305</v>
      </c>
      <c r="FOC32" t="s">
        <v>251</v>
      </c>
      <c r="FOD32" t="s">
        <v>1305</v>
      </c>
      <c r="FOE32" t="s">
        <v>251</v>
      </c>
      <c r="FOF32" t="s">
        <v>1305</v>
      </c>
      <c r="FOG32" t="s">
        <v>251</v>
      </c>
      <c r="FOH32" t="s">
        <v>1305</v>
      </c>
      <c r="FOI32" t="s">
        <v>251</v>
      </c>
      <c r="FOJ32" t="s">
        <v>1305</v>
      </c>
      <c r="FOK32" t="s">
        <v>251</v>
      </c>
      <c r="FOL32" t="s">
        <v>1305</v>
      </c>
      <c r="FOM32" t="s">
        <v>251</v>
      </c>
      <c r="FON32" t="s">
        <v>1305</v>
      </c>
      <c r="FOO32" t="s">
        <v>251</v>
      </c>
      <c r="FOP32" t="s">
        <v>1305</v>
      </c>
      <c r="FOQ32" t="s">
        <v>251</v>
      </c>
      <c r="FOR32" t="s">
        <v>1305</v>
      </c>
      <c r="FOS32" t="s">
        <v>251</v>
      </c>
      <c r="FOT32" t="s">
        <v>1305</v>
      </c>
      <c r="FOU32" t="s">
        <v>251</v>
      </c>
      <c r="FOV32" t="s">
        <v>1305</v>
      </c>
      <c r="FOW32" t="s">
        <v>251</v>
      </c>
      <c r="FOX32" t="s">
        <v>1305</v>
      </c>
      <c r="FOY32" t="s">
        <v>251</v>
      </c>
      <c r="FOZ32" t="s">
        <v>1305</v>
      </c>
      <c r="FPA32" t="s">
        <v>251</v>
      </c>
      <c r="FPB32" t="s">
        <v>1305</v>
      </c>
      <c r="FPC32" t="s">
        <v>251</v>
      </c>
      <c r="FPD32" t="s">
        <v>1305</v>
      </c>
      <c r="FPE32" t="s">
        <v>251</v>
      </c>
      <c r="FPF32" t="s">
        <v>1305</v>
      </c>
      <c r="FPG32" t="s">
        <v>251</v>
      </c>
      <c r="FPH32" t="s">
        <v>1305</v>
      </c>
      <c r="FPI32" t="s">
        <v>251</v>
      </c>
      <c r="FPJ32" t="s">
        <v>1305</v>
      </c>
      <c r="FPK32" t="s">
        <v>251</v>
      </c>
      <c r="FPL32" t="s">
        <v>1305</v>
      </c>
      <c r="FPM32" t="s">
        <v>251</v>
      </c>
      <c r="FPN32" t="s">
        <v>1305</v>
      </c>
      <c r="FPO32" t="s">
        <v>251</v>
      </c>
      <c r="FPP32" t="s">
        <v>1305</v>
      </c>
      <c r="FPQ32" t="s">
        <v>251</v>
      </c>
      <c r="FPR32" t="s">
        <v>1305</v>
      </c>
      <c r="FPS32" t="s">
        <v>251</v>
      </c>
      <c r="FPT32" t="s">
        <v>1305</v>
      </c>
      <c r="FPU32" t="s">
        <v>251</v>
      </c>
      <c r="FPV32" t="s">
        <v>1305</v>
      </c>
      <c r="FPW32" t="s">
        <v>251</v>
      </c>
      <c r="FPX32" t="s">
        <v>1305</v>
      </c>
      <c r="FPY32" t="s">
        <v>251</v>
      </c>
      <c r="FPZ32" t="s">
        <v>1305</v>
      </c>
      <c r="FQA32" t="s">
        <v>251</v>
      </c>
      <c r="FQB32" t="s">
        <v>1305</v>
      </c>
      <c r="FQC32" t="s">
        <v>251</v>
      </c>
      <c r="FQD32" t="s">
        <v>1305</v>
      </c>
      <c r="FQE32" t="s">
        <v>251</v>
      </c>
      <c r="FQF32" t="s">
        <v>1305</v>
      </c>
      <c r="FQG32" t="s">
        <v>251</v>
      </c>
      <c r="FQH32" t="s">
        <v>1305</v>
      </c>
      <c r="FQI32" t="s">
        <v>251</v>
      </c>
      <c r="FQJ32" t="s">
        <v>1305</v>
      </c>
      <c r="FQK32" t="s">
        <v>251</v>
      </c>
      <c r="FQL32" t="s">
        <v>1305</v>
      </c>
      <c r="FQM32" t="s">
        <v>251</v>
      </c>
      <c r="FQN32" t="s">
        <v>1305</v>
      </c>
      <c r="FQO32" t="s">
        <v>251</v>
      </c>
      <c r="FQP32" t="s">
        <v>1305</v>
      </c>
      <c r="FQQ32" t="s">
        <v>251</v>
      </c>
      <c r="FQR32" t="s">
        <v>1305</v>
      </c>
      <c r="FQS32" t="s">
        <v>251</v>
      </c>
      <c r="FQT32" t="s">
        <v>1305</v>
      </c>
      <c r="FQU32" t="s">
        <v>251</v>
      </c>
      <c r="FQV32" t="s">
        <v>1305</v>
      </c>
      <c r="FQW32" t="s">
        <v>251</v>
      </c>
      <c r="FQX32" t="s">
        <v>1305</v>
      </c>
      <c r="FQY32" t="s">
        <v>251</v>
      </c>
      <c r="FQZ32" t="s">
        <v>1305</v>
      </c>
      <c r="FRA32" t="s">
        <v>251</v>
      </c>
      <c r="FRB32" t="s">
        <v>1305</v>
      </c>
      <c r="FRC32" t="s">
        <v>251</v>
      </c>
      <c r="FRD32" t="s">
        <v>1305</v>
      </c>
      <c r="FRE32" t="s">
        <v>251</v>
      </c>
      <c r="FRF32" t="s">
        <v>1305</v>
      </c>
      <c r="FRG32" t="s">
        <v>251</v>
      </c>
      <c r="FRH32" t="s">
        <v>1305</v>
      </c>
      <c r="FRI32" t="s">
        <v>251</v>
      </c>
      <c r="FRJ32" t="s">
        <v>1305</v>
      </c>
      <c r="FRK32" t="s">
        <v>251</v>
      </c>
      <c r="FRL32" t="s">
        <v>1305</v>
      </c>
      <c r="FRM32" t="s">
        <v>251</v>
      </c>
      <c r="FRN32" t="s">
        <v>1305</v>
      </c>
      <c r="FRO32" t="s">
        <v>251</v>
      </c>
      <c r="FRP32" t="s">
        <v>1305</v>
      </c>
      <c r="FRQ32" t="s">
        <v>251</v>
      </c>
      <c r="FRR32" t="s">
        <v>1305</v>
      </c>
      <c r="FRS32" t="s">
        <v>251</v>
      </c>
      <c r="FRT32" t="s">
        <v>1305</v>
      </c>
      <c r="FRU32" t="s">
        <v>251</v>
      </c>
      <c r="FRV32" t="s">
        <v>1305</v>
      </c>
      <c r="FRW32" t="s">
        <v>251</v>
      </c>
      <c r="FRX32" t="s">
        <v>1305</v>
      </c>
      <c r="FRY32" t="s">
        <v>251</v>
      </c>
      <c r="FRZ32" t="s">
        <v>1305</v>
      </c>
      <c r="FSA32" t="s">
        <v>251</v>
      </c>
      <c r="FSB32" t="s">
        <v>1305</v>
      </c>
      <c r="FSC32" t="s">
        <v>251</v>
      </c>
      <c r="FSD32" t="s">
        <v>1305</v>
      </c>
      <c r="FSE32" t="s">
        <v>251</v>
      </c>
      <c r="FSF32" t="s">
        <v>1305</v>
      </c>
      <c r="FSG32" t="s">
        <v>251</v>
      </c>
      <c r="FSH32" t="s">
        <v>1305</v>
      </c>
      <c r="FSI32" t="s">
        <v>251</v>
      </c>
      <c r="FSJ32" t="s">
        <v>1305</v>
      </c>
      <c r="FSK32" t="s">
        <v>251</v>
      </c>
      <c r="FSL32" t="s">
        <v>1305</v>
      </c>
      <c r="FSM32" t="s">
        <v>251</v>
      </c>
      <c r="FSN32" t="s">
        <v>1305</v>
      </c>
      <c r="FSO32" t="s">
        <v>251</v>
      </c>
      <c r="FSP32" t="s">
        <v>1305</v>
      </c>
      <c r="FSQ32" t="s">
        <v>251</v>
      </c>
      <c r="FSR32" t="s">
        <v>1305</v>
      </c>
      <c r="FSS32" t="s">
        <v>251</v>
      </c>
      <c r="FST32" t="s">
        <v>1305</v>
      </c>
      <c r="FSU32" t="s">
        <v>251</v>
      </c>
      <c r="FSV32" t="s">
        <v>1305</v>
      </c>
      <c r="FSW32" t="s">
        <v>251</v>
      </c>
      <c r="FSX32" t="s">
        <v>1305</v>
      </c>
      <c r="FSY32" t="s">
        <v>251</v>
      </c>
      <c r="FSZ32" t="s">
        <v>1305</v>
      </c>
      <c r="FTA32" t="s">
        <v>251</v>
      </c>
      <c r="FTB32" t="s">
        <v>1305</v>
      </c>
      <c r="FTC32" t="s">
        <v>251</v>
      </c>
      <c r="FTD32" t="s">
        <v>1305</v>
      </c>
      <c r="FTE32" t="s">
        <v>251</v>
      </c>
      <c r="FTF32" t="s">
        <v>1305</v>
      </c>
      <c r="FTG32" t="s">
        <v>251</v>
      </c>
      <c r="FTH32" t="s">
        <v>1305</v>
      </c>
      <c r="FTI32" t="s">
        <v>251</v>
      </c>
      <c r="FTJ32" t="s">
        <v>1305</v>
      </c>
      <c r="FTK32" t="s">
        <v>251</v>
      </c>
      <c r="FTL32" t="s">
        <v>1305</v>
      </c>
      <c r="FTM32" t="s">
        <v>251</v>
      </c>
      <c r="FTN32" t="s">
        <v>1305</v>
      </c>
      <c r="FTO32" t="s">
        <v>251</v>
      </c>
      <c r="FTP32" t="s">
        <v>1305</v>
      </c>
      <c r="FTQ32" t="s">
        <v>251</v>
      </c>
      <c r="FTR32" t="s">
        <v>1305</v>
      </c>
      <c r="FTS32" t="s">
        <v>251</v>
      </c>
      <c r="FTT32" t="s">
        <v>1305</v>
      </c>
      <c r="FTU32" t="s">
        <v>251</v>
      </c>
      <c r="FTV32" t="s">
        <v>1305</v>
      </c>
      <c r="FTW32" t="s">
        <v>251</v>
      </c>
      <c r="FTX32" t="s">
        <v>1305</v>
      </c>
      <c r="FTY32" t="s">
        <v>251</v>
      </c>
      <c r="FTZ32" t="s">
        <v>1305</v>
      </c>
      <c r="FUA32" t="s">
        <v>251</v>
      </c>
      <c r="FUB32" t="s">
        <v>1305</v>
      </c>
      <c r="FUC32" t="s">
        <v>251</v>
      </c>
      <c r="FUD32" t="s">
        <v>1305</v>
      </c>
      <c r="FUE32" t="s">
        <v>251</v>
      </c>
      <c r="FUF32" t="s">
        <v>1305</v>
      </c>
      <c r="FUG32" t="s">
        <v>251</v>
      </c>
      <c r="FUH32" t="s">
        <v>1305</v>
      </c>
      <c r="FUI32" t="s">
        <v>251</v>
      </c>
      <c r="FUJ32" t="s">
        <v>1305</v>
      </c>
      <c r="FUK32" t="s">
        <v>251</v>
      </c>
      <c r="FUL32" t="s">
        <v>1305</v>
      </c>
      <c r="FUM32" t="s">
        <v>251</v>
      </c>
      <c r="FUN32" t="s">
        <v>1305</v>
      </c>
      <c r="FUO32" t="s">
        <v>251</v>
      </c>
      <c r="FUP32" t="s">
        <v>1305</v>
      </c>
      <c r="FUQ32" t="s">
        <v>251</v>
      </c>
      <c r="FUR32" t="s">
        <v>1305</v>
      </c>
      <c r="FUS32" t="s">
        <v>251</v>
      </c>
      <c r="FUT32" t="s">
        <v>1305</v>
      </c>
      <c r="FUU32" t="s">
        <v>251</v>
      </c>
      <c r="FUV32" t="s">
        <v>1305</v>
      </c>
      <c r="FUW32" t="s">
        <v>251</v>
      </c>
      <c r="FUX32" t="s">
        <v>1305</v>
      </c>
      <c r="FUY32" t="s">
        <v>251</v>
      </c>
      <c r="FUZ32" t="s">
        <v>1305</v>
      </c>
      <c r="FVA32" t="s">
        <v>251</v>
      </c>
      <c r="FVB32" t="s">
        <v>1305</v>
      </c>
      <c r="FVC32" t="s">
        <v>251</v>
      </c>
      <c r="FVD32" t="s">
        <v>1305</v>
      </c>
      <c r="FVE32" t="s">
        <v>251</v>
      </c>
      <c r="FVF32" t="s">
        <v>1305</v>
      </c>
      <c r="FVG32" t="s">
        <v>251</v>
      </c>
      <c r="FVH32" t="s">
        <v>1305</v>
      </c>
      <c r="FVI32" t="s">
        <v>251</v>
      </c>
      <c r="FVJ32" t="s">
        <v>1305</v>
      </c>
      <c r="FVK32" t="s">
        <v>251</v>
      </c>
      <c r="FVL32" t="s">
        <v>1305</v>
      </c>
      <c r="FVM32" t="s">
        <v>251</v>
      </c>
      <c r="FVN32" t="s">
        <v>1305</v>
      </c>
      <c r="FVO32" t="s">
        <v>251</v>
      </c>
      <c r="FVP32" t="s">
        <v>1305</v>
      </c>
      <c r="FVQ32" t="s">
        <v>251</v>
      </c>
      <c r="FVR32" t="s">
        <v>1305</v>
      </c>
      <c r="FVS32" t="s">
        <v>251</v>
      </c>
      <c r="FVT32" t="s">
        <v>1305</v>
      </c>
      <c r="FVU32" t="s">
        <v>251</v>
      </c>
      <c r="FVV32" t="s">
        <v>1305</v>
      </c>
      <c r="FVW32" t="s">
        <v>251</v>
      </c>
      <c r="FVX32" t="s">
        <v>1305</v>
      </c>
      <c r="FVY32" t="s">
        <v>251</v>
      </c>
      <c r="FVZ32" t="s">
        <v>1305</v>
      </c>
      <c r="FWA32" t="s">
        <v>251</v>
      </c>
      <c r="FWB32" t="s">
        <v>1305</v>
      </c>
      <c r="FWC32" t="s">
        <v>251</v>
      </c>
      <c r="FWD32" t="s">
        <v>1305</v>
      </c>
      <c r="FWE32" t="s">
        <v>251</v>
      </c>
      <c r="FWF32" t="s">
        <v>1305</v>
      </c>
      <c r="FWG32" t="s">
        <v>251</v>
      </c>
      <c r="FWH32" t="s">
        <v>1305</v>
      </c>
      <c r="FWI32" t="s">
        <v>251</v>
      </c>
      <c r="FWJ32" t="s">
        <v>1305</v>
      </c>
      <c r="FWK32" t="s">
        <v>251</v>
      </c>
      <c r="FWL32" t="s">
        <v>1305</v>
      </c>
      <c r="FWM32" t="s">
        <v>251</v>
      </c>
      <c r="FWN32" t="s">
        <v>1305</v>
      </c>
      <c r="FWO32" t="s">
        <v>251</v>
      </c>
      <c r="FWP32" t="s">
        <v>1305</v>
      </c>
      <c r="FWQ32" t="s">
        <v>251</v>
      </c>
      <c r="FWR32" t="s">
        <v>1305</v>
      </c>
      <c r="FWS32" t="s">
        <v>251</v>
      </c>
      <c r="FWT32" t="s">
        <v>1305</v>
      </c>
      <c r="FWU32" t="s">
        <v>251</v>
      </c>
      <c r="FWV32" t="s">
        <v>1305</v>
      </c>
      <c r="FWW32" t="s">
        <v>251</v>
      </c>
      <c r="FWX32" t="s">
        <v>1305</v>
      </c>
      <c r="FWY32" t="s">
        <v>251</v>
      </c>
      <c r="FWZ32" t="s">
        <v>1305</v>
      </c>
      <c r="FXA32" t="s">
        <v>251</v>
      </c>
      <c r="FXB32" t="s">
        <v>1305</v>
      </c>
      <c r="FXC32" t="s">
        <v>251</v>
      </c>
      <c r="FXD32" t="s">
        <v>1305</v>
      </c>
      <c r="FXE32" t="s">
        <v>251</v>
      </c>
      <c r="FXF32" t="s">
        <v>1305</v>
      </c>
      <c r="FXG32" t="s">
        <v>251</v>
      </c>
      <c r="FXH32" t="s">
        <v>1305</v>
      </c>
      <c r="FXI32" t="s">
        <v>251</v>
      </c>
      <c r="FXJ32" t="s">
        <v>1305</v>
      </c>
      <c r="FXK32" t="s">
        <v>251</v>
      </c>
      <c r="FXL32" t="s">
        <v>1305</v>
      </c>
      <c r="FXM32" t="s">
        <v>251</v>
      </c>
      <c r="FXN32" t="s">
        <v>1305</v>
      </c>
      <c r="FXO32" t="s">
        <v>251</v>
      </c>
      <c r="FXP32" t="s">
        <v>1305</v>
      </c>
      <c r="FXQ32" t="s">
        <v>251</v>
      </c>
      <c r="FXR32" t="s">
        <v>1305</v>
      </c>
      <c r="FXS32" t="s">
        <v>251</v>
      </c>
      <c r="FXT32" t="s">
        <v>1305</v>
      </c>
      <c r="FXU32" t="s">
        <v>251</v>
      </c>
      <c r="FXV32" t="s">
        <v>1305</v>
      </c>
      <c r="FXW32" t="s">
        <v>251</v>
      </c>
      <c r="FXX32" t="s">
        <v>1305</v>
      </c>
      <c r="FXY32" t="s">
        <v>251</v>
      </c>
      <c r="FXZ32" t="s">
        <v>1305</v>
      </c>
      <c r="FYA32" t="s">
        <v>251</v>
      </c>
      <c r="FYB32" t="s">
        <v>1305</v>
      </c>
      <c r="FYC32" t="s">
        <v>251</v>
      </c>
      <c r="FYD32" t="s">
        <v>1305</v>
      </c>
      <c r="FYE32" t="s">
        <v>251</v>
      </c>
      <c r="FYF32" t="s">
        <v>1305</v>
      </c>
      <c r="FYG32" t="s">
        <v>251</v>
      </c>
      <c r="FYH32" t="s">
        <v>1305</v>
      </c>
      <c r="FYI32" t="s">
        <v>251</v>
      </c>
      <c r="FYJ32" t="s">
        <v>1305</v>
      </c>
      <c r="FYK32" t="s">
        <v>251</v>
      </c>
      <c r="FYL32" t="s">
        <v>1305</v>
      </c>
      <c r="FYM32" t="s">
        <v>251</v>
      </c>
      <c r="FYN32" t="s">
        <v>1305</v>
      </c>
      <c r="FYO32" t="s">
        <v>251</v>
      </c>
      <c r="FYP32" t="s">
        <v>1305</v>
      </c>
      <c r="FYQ32" t="s">
        <v>251</v>
      </c>
      <c r="FYR32" t="s">
        <v>1305</v>
      </c>
      <c r="FYS32" t="s">
        <v>251</v>
      </c>
      <c r="FYT32" t="s">
        <v>1305</v>
      </c>
      <c r="FYU32" t="s">
        <v>251</v>
      </c>
      <c r="FYV32" t="s">
        <v>1305</v>
      </c>
      <c r="FYW32" t="s">
        <v>251</v>
      </c>
      <c r="FYX32" t="s">
        <v>1305</v>
      </c>
      <c r="FYY32" t="s">
        <v>251</v>
      </c>
      <c r="FYZ32" t="s">
        <v>1305</v>
      </c>
      <c r="FZA32" t="s">
        <v>251</v>
      </c>
      <c r="FZB32" t="s">
        <v>1305</v>
      </c>
      <c r="FZC32" t="s">
        <v>251</v>
      </c>
      <c r="FZD32" t="s">
        <v>1305</v>
      </c>
      <c r="FZE32" t="s">
        <v>251</v>
      </c>
      <c r="FZF32" t="s">
        <v>1305</v>
      </c>
      <c r="FZG32" t="s">
        <v>251</v>
      </c>
      <c r="FZH32" t="s">
        <v>1305</v>
      </c>
      <c r="FZI32" t="s">
        <v>251</v>
      </c>
      <c r="FZJ32" t="s">
        <v>1305</v>
      </c>
      <c r="FZK32" t="s">
        <v>251</v>
      </c>
      <c r="FZL32" t="s">
        <v>1305</v>
      </c>
      <c r="FZM32" t="s">
        <v>251</v>
      </c>
      <c r="FZN32" t="s">
        <v>1305</v>
      </c>
      <c r="FZO32" t="s">
        <v>251</v>
      </c>
      <c r="FZP32" t="s">
        <v>1305</v>
      </c>
      <c r="FZQ32" t="s">
        <v>251</v>
      </c>
      <c r="FZR32" t="s">
        <v>1305</v>
      </c>
      <c r="FZS32" t="s">
        <v>251</v>
      </c>
      <c r="FZT32" t="s">
        <v>1305</v>
      </c>
      <c r="FZU32" t="s">
        <v>251</v>
      </c>
      <c r="FZV32" t="s">
        <v>1305</v>
      </c>
      <c r="FZW32" t="s">
        <v>251</v>
      </c>
      <c r="FZX32" t="s">
        <v>1305</v>
      </c>
      <c r="FZY32" t="s">
        <v>251</v>
      </c>
      <c r="FZZ32" t="s">
        <v>1305</v>
      </c>
      <c r="GAA32" t="s">
        <v>251</v>
      </c>
      <c r="GAB32" t="s">
        <v>1305</v>
      </c>
      <c r="GAC32" t="s">
        <v>251</v>
      </c>
      <c r="GAD32" t="s">
        <v>1305</v>
      </c>
      <c r="GAE32" t="s">
        <v>251</v>
      </c>
      <c r="GAF32" t="s">
        <v>1305</v>
      </c>
      <c r="GAG32" t="s">
        <v>251</v>
      </c>
      <c r="GAH32" t="s">
        <v>1305</v>
      </c>
      <c r="GAI32" t="s">
        <v>251</v>
      </c>
      <c r="GAJ32" t="s">
        <v>1305</v>
      </c>
      <c r="GAK32" t="s">
        <v>251</v>
      </c>
      <c r="GAL32" t="s">
        <v>1305</v>
      </c>
      <c r="GAM32" t="s">
        <v>251</v>
      </c>
      <c r="GAN32" t="s">
        <v>1305</v>
      </c>
      <c r="GAO32" t="s">
        <v>251</v>
      </c>
      <c r="GAP32" t="s">
        <v>1305</v>
      </c>
      <c r="GAQ32" t="s">
        <v>251</v>
      </c>
      <c r="GAR32" t="s">
        <v>1305</v>
      </c>
      <c r="GAS32" t="s">
        <v>251</v>
      </c>
      <c r="GAT32" t="s">
        <v>1305</v>
      </c>
      <c r="GAU32" t="s">
        <v>251</v>
      </c>
      <c r="GAV32" t="s">
        <v>1305</v>
      </c>
      <c r="GAW32" t="s">
        <v>251</v>
      </c>
      <c r="GAX32" t="s">
        <v>1305</v>
      </c>
      <c r="GAY32" t="s">
        <v>251</v>
      </c>
      <c r="GAZ32" t="s">
        <v>1305</v>
      </c>
      <c r="GBA32" t="s">
        <v>251</v>
      </c>
      <c r="GBB32" t="s">
        <v>1305</v>
      </c>
      <c r="GBC32" t="s">
        <v>251</v>
      </c>
      <c r="GBD32" t="s">
        <v>1305</v>
      </c>
      <c r="GBE32" t="s">
        <v>251</v>
      </c>
      <c r="GBF32" t="s">
        <v>1305</v>
      </c>
      <c r="GBG32" t="s">
        <v>251</v>
      </c>
      <c r="GBH32" t="s">
        <v>1305</v>
      </c>
      <c r="GBI32" t="s">
        <v>251</v>
      </c>
      <c r="GBJ32" t="s">
        <v>1305</v>
      </c>
      <c r="GBK32" t="s">
        <v>251</v>
      </c>
      <c r="GBL32" t="s">
        <v>1305</v>
      </c>
      <c r="GBM32" t="s">
        <v>251</v>
      </c>
      <c r="GBN32" t="s">
        <v>1305</v>
      </c>
      <c r="GBO32" t="s">
        <v>251</v>
      </c>
      <c r="GBP32" t="s">
        <v>1305</v>
      </c>
      <c r="GBQ32" t="s">
        <v>251</v>
      </c>
      <c r="GBR32" t="s">
        <v>1305</v>
      </c>
      <c r="GBS32" t="s">
        <v>251</v>
      </c>
      <c r="GBT32" t="s">
        <v>1305</v>
      </c>
      <c r="GBU32" t="s">
        <v>251</v>
      </c>
      <c r="GBV32" t="s">
        <v>1305</v>
      </c>
      <c r="GBW32" t="s">
        <v>251</v>
      </c>
      <c r="GBX32" t="s">
        <v>1305</v>
      </c>
      <c r="GBY32" t="s">
        <v>251</v>
      </c>
      <c r="GBZ32" t="s">
        <v>1305</v>
      </c>
      <c r="GCA32" t="s">
        <v>251</v>
      </c>
      <c r="GCB32" t="s">
        <v>1305</v>
      </c>
      <c r="GCC32" t="s">
        <v>251</v>
      </c>
      <c r="GCD32" t="s">
        <v>1305</v>
      </c>
      <c r="GCE32" t="s">
        <v>251</v>
      </c>
      <c r="GCF32" t="s">
        <v>1305</v>
      </c>
      <c r="GCG32" t="s">
        <v>251</v>
      </c>
      <c r="GCH32" t="s">
        <v>1305</v>
      </c>
      <c r="GCI32" t="s">
        <v>251</v>
      </c>
      <c r="GCJ32" t="s">
        <v>1305</v>
      </c>
      <c r="GCK32" t="s">
        <v>251</v>
      </c>
      <c r="GCL32" t="s">
        <v>1305</v>
      </c>
      <c r="GCM32" t="s">
        <v>251</v>
      </c>
      <c r="GCN32" t="s">
        <v>1305</v>
      </c>
      <c r="GCO32" t="s">
        <v>251</v>
      </c>
      <c r="GCP32" t="s">
        <v>1305</v>
      </c>
      <c r="GCQ32" t="s">
        <v>251</v>
      </c>
      <c r="GCR32" t="s">
        <v>1305</v>
      </c>
      <c r="GCS32" t="s">
        <v>251</v>
      </c>
      <c r="GCT32" t="s">
        <v>1305</v>
      </c>
      <c r="GCU32" t="s">
        <v>251</v>
      </c>
      <c r="GCV32" t="s">
        <v>1305</v>
      </c>
      <c r="GCW32" t="s">
        <v>251</v>
      </c>
      <c r="GCX32" t="s">
        <v>1305</v>
      </c>
      <c r="GCY32" t="s">
        <v>251</v>
      </c>
      <c r="GCZ32" t="s">
        <v>1305</v>
      </c>
      <c r="GDA32" t="s">
        <v>251</v>
      </c>
      <c r="GDB32" t="s">
        <v>1305</v>
      </c>
      <c r="GDC32" t="s">
        <v>251</v>
      </c>
      <c r="GDD32" t="s">
        <v>1305</v>
      </c>
      <c r="GDE32" t="s">
        <v>251</v>
      </c>
      <c r="GDF32" t="s">
        <v>1305</v>
      </c>
      <c r="GDG32" t="s">
        <v>251</v>
      </c>
      <c r="GDH32" t="s">
        <v>1305</v>
      </c>
      <c r="GDI32" t="s">
        <v>251</v>
      </c>
      <c r="GDJ32" t="s">
        <v>1305</v>
      </c>
      <c r="GDK32" t="s">
        <v>251</v>
      </c>
      <c r="GDL32" t="s">
        <v>1305</v>
      </c>
      <c r="GDM32" t="s">
        <v>251</v>
      </c>
      <c r="GDN32" t="s">
        <v>1305</v>
      </c>
      <c r="GDO32" t="s">
        <v>251</v>
      </c>
      <c r="GDP32" t="s">
        <v>1305</v>
      </c>
      <c r="GDQ32" t="s">
        <v>251</v>
      </c>
      <c r="GDR32" t="s">
        <v>1305</v>
      </c>
      <c r="GDS32" t="s">
        <v>251</v>
      </c>
      <c r="GDT32" t="s">
        <v>1305</v>
      </c>
      <c r="GDU32" t="s">
        <v>251</v>
      </c>
      <c r="GDV32" t="s">
        <v>1305</v>
      </c>
      <c r="GDW32" t="s">
        <v>251</v>
      </c>
      <c r="GDX32" t="s">
        <v>1305</v>
      </c>
      <c r="GDY32" t="s">
        <v>251</v>
      </c>
      <c r="GDZ32" t="s">
        <v>1305</v>
      </c>
      <c r="GEA32" t="s">
        <v>251</v>
      </c>
      <c r="GEB32" t="s">
        <v>1305</v>
      </c>
      <c r="GEC32" t="s">
        <v>251</v>
      </c>
      <c r="GED32" t="s">
        <v>1305</v>
      </c>
      <c r="GEE32" t="s">
        <v>251</v>
      </c>
      <c r="GEF32" t="s">
        <v>1305</v>
      </c>
      <c r="GEG32" t="s">
        <v>251</v>
      </c>
      <c r="GEH32" t="s">
        <v>1305</v>
      </c>
      <c r="GEI32" t="s">
        <v>251</v>
      </c>
      <c r="GEJ32" t="s">
        <v>1305</v>
      </c>
      <c r="GEK32" t="s">
        <v>251</v>
      </c>
      <c r="GEL32" t="s">
        <v>1305</v>
      </c>
      <c r="GEM32" t="s">
        <v>251</v>
      </c>
      <c r="GEN32" t="s">
        <v>1305</v>
      </c>
      <c r="GEO32" t="s">
        <v>251</v>
      </c>
      <c r="GEP32" t="s">
        <v>1305</v>
      </c>
      <c r="GEQ32" t="s">
        <v>251</v>
      </c>
      <c r="GER32" t="s">
        <v>1305</v>
      </c>
      <c r="GES32" t="s">
        <v>251</v>
      </c>
      <c r="GET32" t="s">
        <v>1305</v>
      </c>
      <c r="GEU32" t="s">
        <v>251</v>
      </c>
      <c r="GEV32" t="s">
        <v>1305</v>
      </c>
      <c r="GEW32" t="s">
        <v>251</v>
      </c>
      <c r="GEX32" t="s">
        <v>1305</v>
      </c>
      <c r="GEY32" t="s">
        <v>251</v>
      </c>
      <c r="GEZ32" t="s">
        <v>1305</v>
      </c>
      <c r="GFA32" t="s">
        <v>251</v>
      </c>
      <c r="GFB32" t="s">
        <v>1305</v>
      </c>
      <c r="GFC32" t="s">
        <v>251</v>
      </c>
      <c r="GFD32" t="s">
        <v>1305</v>
      </c>
      <c r="GFE32" t="s">
        <v>251</v>
      </c>
      <c r="GFF32" t="s">
        <v>1305</v>
      </c>
      <c r="GFG32" t="s">
        <v>251</v>
      </c>
      <c r="GFH32" t="s">
        <v>1305</v>
      </c>
      <c r="GFI32" t="s">
        <v>251</v>
      </c>
      <c r="GFJ32" t="s">
        <v>1305</v>
      </c>
      <c r="GFK32" t="s">
        <v>251</v>
      </c>
      <c r="GFL32" t="s">
        <v>1305</v>
      </c>
      <c r="GFM32" t="s">
        <v>251</v>
      </c>
      <c r="GFN32" t="s">
        <v>1305</v>
      </c>
      <c r="GFO32" t="s">
        <v>251</v>
      </c>
      <c r="GFP32" t="s">
        <v>1305</v>
      </c>
      <c r="GFQ32" t="s">
        <v>251</v>
      </c>
      <c r="GFR32" t="s">
        <v>1305</v>
      </c>
      <c r="GFS32" t="s">
        <v>251</v>
      </c>
      <c r="GFT32" t="s">
        <v>1305</v>
      </c>
      <c r="GFU32" t="s">
        <v>251</v>
      </c>
      <c r="GFV32" t="s">
        <v>1305</v>
      </c>
      <c r="GFW32" t="s">
        <v>251</v>
      </c>
      <c r="GFX32" t="s">
        <v>1305</v>
      </c>
      <c r="GFY32" t="s">
        <v>251</v>
      </c>
      <c r="GFZ32" t="s">
        <v>1305</v>
      </c>
      <c r="GGA32" t="s">
        <v>251</v>
      </c>
      <c r="GGB32" t="s">
        <v>1305</v>
      </c>
      <c r="GGC32" t="s">
        <v>251</v>
      </c>
      <c r="GGD32" t="s">
        <v>1305</v>
      </c>
      <c r="GGE32" t="s">
        <v>251</v>
      </c>
      <c r="GGF32" t="s">
        <v>1305</v>
      </c>
      <c r="GGG32" t="s">
        <v>251</v>
      </c>
      <c r="GGH32" t="s">
        <v>1305</v>
      </c>
      <c r="GGI32" t="s">
        <v>251</v>
      </c>
      <c r="GGJ32" t="s">
        <v>1305</v>
      </c>
      <c r="GGK32" t="s">
        <v>251</v>
      </c>
      <c r="GGL32" t="s">
        <v>1305</v>
      </c>
      <c r="GGM32" t="s">
        <v>251</v>
      </c>
      <c r="GGN32" t="s">
        <v>1305</v>
      </c>
      <c r="GGO32" t="s">
        <v>251</v>
      </c>
      <c r="GGP32" t="s">
        <v>1305</v>
      </c>
      <c r="GGQ32" t="s">
        <v>251</v>
      </c>
      <c r="GGR32" t="s">
        <v>1305</v>
      </c>
      <c r="GGS32" t="s">
        <v>251</v>
      </c>
      <c r="GGT32" t="s">
        <v>1305</v>
      </c>
      <c r="GGU32" t="s">
        <v>251</v>
      </c>
      <c r="GGV32" t="s">
        <v>1305</v>
      </c>
      <c r="GGW32" t="s">
        <v>251</v>
      </c>
      <c r="GGX32" t="s">
        <v>1305</v>
      </c>
      <c r="GGY32" t="s">
        <v>251</v>
      </c>
      <c r="GGZ32" t="s">
        <v>1305</v>
      </c>
      <c r="GHA32" t="s">
        <v>251</v>
      </c>
      <c r="GHB32" t="s">
        <v>1305</v>
      </c>
      <c r="GHC32" t="s">
        <v>251</v>
      </c>
      <c r="GHD32" t="s">
        <v>1305</v>
      </c>
      <c r="GHE32" t="s">
        <v>251</v>
      </c>
      <c r="GHF32" t="s">
        <v>1305</v>
      </c>
      <c r="GHG32" t="s">
        <v>251</v>
      </c>
      <c r="GHH32" t="s">
        <v>1305</v>
      </c>
      <c r="GHI32" t="s">
        <v>251</v>
      </c>
      <c r="GHJ32" t="s">
        <v>1305</v>
      </c>
      <c r="GHK32" t="s">
        <v>251</v>
      </c>
      <c r="GHL32" t="s">
        <v>1305</v>
      </c>
      <c r="GHM32" t="s">
        <v>251</v>
      </c>
      <c r="GHN32" t="s">
        <v>1305</v>
      </c>
      <c r="GHO32" t="s">
        <v>251</v>
      </c>
      <c r="GHP32" t="s">
        <v>1305</v>
      </c>
      <c r="GHQ32" t="s">
        <v>251</v>
      </c>
      <c r="GHR32" t="s">
        <v>1305</v>
      </c>
      <c r="GHS32" t="s">
        <v>251</v>
      </c>
      <c r="GHT32" t="s">
        <v>1305</v>
      </c>
      <c r="GHU32" t="s">
        <v>251</v>
      </c>
      <c r="GHV32" t="s">
        <v>1305</v>
      </c>
      <c r="GHW32" t="s">
        <v>251</v>
      </c>
      <c r="GHX32" t="s">
        <v>1305</v>
      </c>
      <c r="GHY32" t="s">
        <v>251</v>
      </c>
      <c r="GHZ32" t="s">
        <v>1305</v>
      </c>
      <c r="GIA32" t="s">
        <v>251</v>
      </c>
      <c r="GIB32" t="s">
        <v>1305</v>
      </c>
      <c r="GIC32" t="s">
        <v>251</v>
      </c>
      <c r="GID32" t="s">
        <v>1305</v>
      </c>
      <c r="GIE32" t="s">
        <v>251</v>
      </c>
      <c r="GIF32" t="s">
        <v>1305</v>
      </c>
      <c r="GIG32" t="s">
        <v>251</v>
      </c>
      <c r="GIH32" t="s">
        <v>1305</v>
      </c>
      <c r="GII32" t="s">
        <v>251</v>
      </c>
      <c r="GIJ32" t="s">
        <v>1305</v>
      </c>
      <c r="GIK32" t="s">
        <v>251</v>
      </c>
      <c r="GIL32" t="s">
        <v>1305</v>
      </c>
      <c r="GIM32" t="s">
        <v>251</v>
      </c>
      <c r="GIN32" t="s">
        <v>1305</v>
      </c>
      <c r="GIO32" t="s">
        <v>251</v>
      </c>
      <c r="GIP32" t="s">
        <v>1305</v>
      </c>
      <c r="GIQ32" t="s">
        <v>251</v>
      </c>
      <c r="GIR32" t="s">
        <v>1305</v>
      </c>
      <c r="GIS32" t="s">
        <v>251</v>
      </c>
      <c r="GIT32" t="s">
        <v>1305</v>
      </c>
      <c r="GIU32" t="s">
        <v>251</v>
      </c>
      <c r="GIV32" t="s">
        <v>1305</v>
      </c>
      <c r="GIW32" t="s">
        <v>251</v>
      </c>
      <c r="GIX32" t="s">
        <v>1305</v>
      </c>
      <c r="GIY32" t="s">
        <v>251</v>
      </c>
      <c r="GIZ32" t="s">
        <v>1305</v>
      </c>
      <c r="GJA32" t="s">
        <v>251</v>
      </c>
      <c r="GJB32" t="s">
        <v>1305</v>
      </c>
      <c r="GJC32" t="s">
        <v>251</v>
      </c>
      <c r="GJD32" t="s">
        <v>1305</v>
      </c>
      <c r="GJE32" t="s">
        <v>251</v>
      </c>
      <c r="GJF32" t="s">
        <v>1305</v>
      </c>
      <c r="GJG32" t="s">
        <v>251</v>
      </c>
      <c r="GJH32" t="s">
        <v>1305</v>
      </c>
      <c r="GJI32" t="s">
        <v>251</v>
      </c>
      <c r="GJJ32" t="s">
        <v>1305</v>
      </c>
      <c r="GJK32" t="s">
        <v>251</v>
      </c>
      <c r="GJL32" t="s">
        <v>1305</v>
      </c>
      <c r="GJM32" t="s">
        <v>251</v>
      </c>
      <c r="GJN32" t="s">
        <v>1305</v>
      </c>
      <c r="GJO32" t="s">
        <v>251</v>
      </c>
      <c r="GJP32" t="s">
        <v>1305</v>
      </c>
      <c r="GJQ32" t="s">
        <v>251</v>
      </c>
      <c r="GJR32" t="s">
        <v>1305</v>
      </c>
      <c r="GJS32" t="s">
        <v>251</v>
      </c>
      <c r="GJT32" t="s">
        <v>1305</v>
      </c>
      <c r="GJU32" t="s">
        <v>251</v>
      </c>
      <c r="GJV32" t="s">
        <v>1305</v>
      </c>
      <c r="GJW32" t="s">
        <v>251</v>
      </c>
      <c r="GJX32" t="s">
        <v>1305</v>
      </c>
      <c r="GJY32" t="s">
        <v>251</v>
      </c>
      <c r="GJZ32" t="s">
        <v>1305</v>
      </c>
      <c r="GKA32" t="s">
        <v>251</v>
      </c>
      <c r="GKB32" t="s">
        <v>1305</v>
      </c>
      <c r="GKC32" t="s">
        <v>251</v>
      </c>
      <c r="GKD32" t="s">
        <v>1305</v>
      </c>
      <c r="GKE32" t="s">
        <v>251</v>
      </c>
      <c r="GKF32" t="s">
        <v>1305</v>
      </c>
      <c r="GKG32" t="s">
        <v>251</v>
      </c>
      <c r="GKH32" t="s">
        <v>1305</v>
      </c>
      <c r="GKI32" t="s">
        <v>251</v>
      </c>
      <c r="GKJ32" t="s">
        <v>1305</v>
      </c>
      <c r="GKK32" t="s">
        <v>251</v>
      </c>
      <c r="GKL32" t="s">
        <v>1305</v>
      </c>
      <c r="GKM32" t="s">
        <v>251</v>
      </c>
      <c r="GKN32" t="s">
        <v>1305</v>
      </c>
      <c r="GKO32" t="s">
        <v>251</v>
      </c>
      <c r="GKP32" t="s">
        <v>1305</v>
      </c>
      <c r="GKQ32" t="s">
        <v>251</v>
      </c>
      <c r="GKR32" t="s">
        <v>1305</v>
      </c>
      <c r="GKS32" t="s">
        <v>251</v>
      </c>
      <c r="GKT32" t="s">
        <v>1305</v>
      </c>
      <c r="GKU32" t="s">
        <v>251</v>
      </c>
      <c r="GKV32" t="s">
        <v>1305</v>
      </c>
      <c r="GKW32" t="s">
        <v>251</v>
      </c>
      <c r="GKX32" t="s">
        <v>1305</v>
      </c>
      <c r="GKY32" t="s">
        <v>251</v>
      </c>
      <c r="GKZ32" t="s">
        <v>1305</v>
      </c>
      <c r="GLA32" t="s">
        <v>251</v>
      </c>
      <c r="GLB32" t="s">
        <v>1305</v>
      </c>
      <c r="GLC32" t="s">
        <v>251</v>
      </c>
      <c r="GLD32" t="s">
        <v>1305</v>
      </c>
      <c r="GLE32" t="s">
        <v>251</v>
      </c>
      <c r="GLF32" t="s">
        <v>1305</v>
      </c>
      <c r="GLG32" t="s">
        <v>251</v>
      </c>
      <c r="GLH32" t="s">
        <v>1305</v>
      </c>
      <c r="GLI32" t="s">
        <v>251</v>
      </c>
      <c r="GLJ32" t="s">
        <v>1305</v>
      </c>
      <c r="GLK32" t="s">
        <v>251</v>
      </c>
      <c r="GLL32" t="s">
        <v>1305</v>
      </c>
      <c r="GLM32" t="s">
        <v>251</v>
      </c>
      <c r="GLN32" t="s">
        <v>1305</v>
      </c>
      <c r="GLO32" t="s">
        <v>251</v>
      </c>
      <c r="GLP32" t="s">
        <v>1305</v>
      </c>
      <c r="GLQ32" t="s">
        <v>251</v>
      </c>
      <c r="GLR32" t="s">
        <v>1305</v>
      </c>
      <c r="GLS32" t="s">
        <v>251</v>
      </c>
      <c r="GLT32" t="s">
        <v>1305</v>
      </c>
      <c r="GLU32" t="s">
        <v>251</v>
      </c>
      <c r="GLV32" t="s">
        <v>1305</v>
      </c>
      <c r="GLW32" t="s">
        <v>251</v>
      </c>
      <c r="GLX32" t="s">
        <v>1305</v>
      </c>
      <c r="GLY32" t="s">
        <v>251</v>
      </c>
      <c r="GLZ32" t="s">
        <v>1305</v>
      </c>
      <c r="GMA32" t="s">
        <v>251</v>
      </c>
      <c r="GMB32" t="s">
        <v>1305</v>
      </c>
      <c r="GMC32" t="s">
        <v>251</v>
      </c>
      <c r="GMD32" t="s">
        <v>1305</v>
      </c>
      <c r="GME32" t="s">
        <v>251</v>
      </c>
      <c r="GMF32" t="s">
        <v>1305</v>
      </c>
      <c r="GMG32" t="s">
        <v>251</v>
      </c>
      <c r="GMH32" t="s">
        <v>1305</v>
      </c>
      <c r="GMI32" t="s">
        <v>251</v>
      </c>
      <c r="GMJ32" t="s">
        <v>1305</v>
      </c>
      <c r="GMK32" t="s">
        <v>251</v>
      </c>
      <c r="GML32" t="s">
        <v>1305</v>
      </c>
      <c r="GMM32" t="s">
        <v>251</v>
      </c>
      <c r="GMN32" t="s">
        <v>1305</v>
      </c>
      <c r="GMO32" t="s">
        <v>251</v>
      </c>
      <c r="GMP32" t="s">
        <v>1305</v>
      </c>
      <c r="GMQ32" t="s">
        <v>251</v>
      </c>
      <c r="GMR32" t="s">
        <v>1305</v>
      </c>
      <c r="GMS32" t="s">
        <v>251</v>
      </c>
      <c r="GMT32" t="s">
        <v>1305</v>
      </c>
      <c r="GMU32" t="s">
        <v>251</v>
      </c>
      <c r="GMV32" t="s">
        <v>1305</v>
      </c>
      <c r="GMW32" t="s">
        <v>251</v>
      </c>
      <c r="GMX32" t="s">
        <v>1305</v>
      </c>
      <c r="GMY32" t="s">
        <v>251</v>
      </c>
      <c r="GMZ32" t="s">
        <v>1305</v>
      </c>
      <c r="GNA32" t="s">
        <v>251</v>
      </c>
      <c r="GNB32" t="s">
        <v>1305</v>
      </c>
      <c r="GNC32" t="s">
        <v>251</v>
      </c>
      <c r="GND32" t="s">
        <v>1305</v>
      </c>
      <c r="GNE32" t="s">
        <v>251</v>
      </c>
      <c r="GNF32" t="s">
        <v>1305</v>
      </c>
      <c r="GNG32" t="s">
        <v>251</v>
      </c>
      <c r="GNH32" t="s">
        <v>1305</v>
      </c>
      <c r="GNI32" t="s">
        <v>251</v>
      </c>
      <c r="GNJ32" t="s">
        <v>1305</v>
      </c>
      <c r="GNK32" t="s">
        <v>251</v>
      </c>
      <c r="GNL32" t="s">
        <v>1305</v>
      </c>
      <c r="GNM32" t="s">
        <v>251</v>
      </c>
      <c r="GNN32" t="s">
        <v>1305</v>
      </c>
      <c r="GNO32" t="s">
        <v>251</v>
      </c>
      <c r="GNP32" t="s">
        <v>1305</v>
      </c>
      <c r="GNQ32" t="s">
        <v>251</v>
      </c>
      <c r="GNR32" t="s">
        <v>1305</v>
      </c>
      <c r="GNS32" t="s">
        <v>251</v>
      </c>
      <c r="GNT32" t="s">
        <v>1305</v>
      </c>
      <c r="GNU32" t="s">
        <v>251</v>
      </c>
      <c r="GNV32" t="s">
        <v>1305</v>
      </c>
      <c r="GNW32" t="s">
        <v>251</v>
      </c>
      <c r="GNX32" t="s">
        <v>1305</v>
      </c>
      <c r="GNY32" t="s">
        <v>251</v>
      </c>
      <c r="GNZ32" t="s">
        <v>1305</v>
      </c>
      <c r="GOA32" t="s">
        <v>251</v>
      </c>
      <c r="GOB32" t="s">
        <v>1305</v>
      </c>
      <c r="GOC32" t="s">
        <v>251</v>
      </c>
      <c r="GOD32" t="s">
        <v>1305</v>
      </c>
      <c r="GOE32" t="s">
        <v>251</v>
      </c>
      <c r="GOF32" t="s">
        <v>1305</v>
      </c>
      <c r="GOG32" t="s">
        <v>251</v>
      </c>
      <c r="GOH32" t="s">
        <v>1305</v>
      </c>
      <c r="GOI32" t="s">
        <v>251</v>
      </c>
      <c r="GOJ32" t="s">
        <v>1305</v>
      </c>
      <c r="GOK32" t="s">
        <v>251</v>
      </c>
      <c r="GOL32" t="s">
        <v>1305</v>
      </c>
      <c r="GOM32" t="s">
        <v>251</v>
      </c>
      <c r="GON32" t="s">
        <v>1305</v>
      </c>
      <c r="GOO32" t="s">
        <v>251</v>
      </c>
      <c r="GOP32" t="s">
        <v>1305</v>
      </c>
      <c r="GOQ32" t="s">
        <v>251</v>
      </c>
      <c r="GOR32" t="s">
        <v>1305</v>
      </c>
      <c r="GOS32" t="s">
        <v>251</v>
      </c>
      <c r="GOT32" t="s">
        <v>1305</v>
      </c>
      <c r="GOU32" t="s">
        <v>251</v>
      </c>
      <c r="GOV32" t="s">
        <v>1305</v>
      </c>
      <c r="GOW32" t="s">
        <v>251</v>
      </c>
      <c r="GOX32" t="s">
        <v>1305</v>
      </c>
      <c r="GOY32" t="s">
        <v>251</v>
      </c>
      <c r="GOZ32" t="s">
        <v>1305</v>
      </c>
      <c r="GPA32" t="s">
        <v>251</v>
      </c>
      <c r="GPB32" t="s">
        <v>1305</v>
      </c>
      <c r="GPC32" t="s">
        <v>251</v>
      </c>
      <c r="GPD32" t="s">
        <v>1305</v>
      </c>
      <c r="GPE32" t="s">
        <v>251</v>
      </c>
      <c r="GPF32" t="s">
        <v>1305</v>
      </c>
      <c r="GPG32" t="s">
        <v>251</v>
      </c>
      <c r="GPH32" t="s">
        <v>1305</v>
      </c>
      <c r="GPI32" t="s">
        <v>251</v>
      </c>
      <c r="GPJ32" t="s">
        <v>1305</v>
      </c>
      <c r="GPK32" t="s">
        <v>251</v>
      </c>
      <c r="GPL32" t="s">
        <v>1305</v>
      </c>
      <c r="GPM32" t="s">
        <v>251</v>
      </c>
      <c r="GPN32" t="s">
        <v>1305</v>
      </c>
      <c r="GPO32" t="s">
        <v>251</v>
      </c>
      <c r="GPP32" t="s">
        <v>1305</v>
      </c>
      <c r="GPQ32" t="s">
        <v>251</v>
      </c>
      <c r="GPR32" t="s">
        <v>1305</v>
      </c>
      <c r="GPS32" t="s">
        <v>251</v>
      </c>
      <c r="GPT32" t="s">
        <v>1305</v>
      </c>
      <c r="GPU32" t="s">
        <v>251</v>
      </c>
      <c r="GPV32" t="s">
        <v>1305</v>
      </c>
      <c r="GPW32" t="s">
        <v>251</v>
      </c>
      <c r="GPX32" t="s">
        <v>1305</v>
      </c>
      <c r="GPY32" t="s">
        <v>251</v>
      </c>
      <c r="GPZ32" t="s">
        <v>1305</v>
      </c>
      <c r="GQA32" t="s">
        <v>251</v>
      </c>
      <c r="GQB32" t="s">
        <v>1305</v>
      </c>
      <c r="GQC32" t="s">
        <v>251</v>
      </c>
      <c r="GQD32" t="s">
        <v>1305</v>
      </c>
      <c r="GQE32" t="s">
        <v>251</v>
      </c>
      <c r="GQF32" t="s">
        <v>1305</v>
      </c>
      <c r="GQG32" t="s">
        <v>251</v>
      </c>
      <c r="GQH32" t="s">
        <v>1305</v>
      </c>
      <c r="GQI32" t="s">
        <v>251</v>
      </c>
      <c r="GQJ32" t="s">
        <v>1305</v>
      </c>
      <c r="GQK32" t="s">
        <v>251</v>
      </c>
      <c r="GQL32" t="s">
        <v>1305</v>
      </c>
      <c r="GQM32" t="s">
        <v>251</v>
      </c>
      <c r="GQN32" t="s">
        <v>1305</v>
      </c>
      <c r="GQO32" t="s">
        <v>251</v>
      </c>
      <c r="GQP32" t="s">
        <v>1305</v>
      </c>
      <c r="GQQ32" t="s">
        <v>251</v>
      </c>
      <c r="GQR32" t="s">
        <v>1305</v>
      </c>
      <c r="GQS32" t="s">
        <v>251</v>
      </c>
      <c r="GQT32" t="s">
        <v>1305</v>
      </c>
      <c r="GQU32" t="s">
        <v>251</v>
      </c>
      <c r="GQV32" t="s">
        <v>1305</v>
      </c>
      <c r="GQW32" t="s">
        <v>251</v>
      </c>
      <c r="GQX32" t="s">
        <v>1305</v>
      </c>
      <c r="GQY32" t="s">
        <v>251</v>
      </c>
      <c r="GQZ32" t="s">
        <v>1305</v>
      </c>
      <c r="GRA32" t="s">
        <v>251</v>
      </c>
      <c r="GRB32" t="s">
        <v>1305</v>
      </c>
      <c r="GRC32" t="s">
        <v>251</v>
      </c>
      <c r="GRD32" t="s">
        <v>1305</v>
      </c>
      <c r="GRE32" t="s">
        <v>251</v>
      </c>
      <c r="GRF32" t="s">
        <v>1305</v>
      </c>
      <c r="GRG32" t="s">
        <v>251</v>
      </c>
      <c r="GRH32" t="s">
        <v>1305</v>
      </c>
      <c r="GRI32" t="s">
        <v>251</v>
      </c>
      <c r="GRJ32" t="s">
        <v>1305</v>
      </c>
      <c r="GRK32" t="s">
        <v>251</v>
      </c>
      <c r="GRL32" t="s">
        <v>1305</v>
      </c>
      <c r="GRM32" t="s">
        <v>251</v>
      </c>
      <c r="GRN32" t="s">
        <v>1305</v>
      </c>
      <c r="GRO32" t="s">
        <v>251</v>
      </c>
      <c r="GRP32" t="s">
        <v>1305</v>
      </c>
      <c r="GRQ32" t="s">
        <v>251</v>
      </c>
      <c r="GRR32" t="s">
        <v>1305</v>
      </c>
      <c r="GRS32" t="s">
        <v>251</v>
      </c>
      <c r="GRT32" t="s">
        <v>1305</v>
      </c>
      <c r="GRU32" t="s">
        <v>251</v>
      </c>
      <c r="GRV32" t="s">
        <v>1305</v>
      </c>
      <c r="GRW32" t="s">
        <v>251</v>
      </c>
      <c r="GRX32" t="s">
        <v>1305</v>
      </c>
      <c r="GRY32" t="s">
        <v>251</v>
      </c>
      <c r="GRZ32" t="s">
        <v>1305</v>
      </c>
      <c r="GSA32" t="s">
        <v>251</v>
      </c>
      <c r="GSB32" t="s">
        <v>1305</v>
      </c>
      <c r="GSC32" t="s">
        <v>251</v>
      </c>
      <c r="GSD32" t="s">
        <v>1305</v>
      </c>
      <c r="GSE32" t="s">
        <v>251</v>
      </c>
      <c r="GSF32" t="s">
        <v>1305</v>
      </c>
      <c r="GSG32" t="s">
        <v>251</v>
      </c>
      <c r="GSH32" t="s">
        <v>1305</v>
      </c>
      <c r="GSI32" t="s">
        <v>251</v>
      </c>
      <c r="GSJ32" t="s">
        <v>1305</v>
      </c>
      <c r="GSK32" t="s">
        <v>251</v>
      </c>
      <c r="GSL32" t="s">
        <v>1305</v>
      </c>
      <c r="GSM32" t="s">
        <v>251</v>
      </c>
      <c r="GSN32" t="s">
        <v>1305</v>
      </c>
      <c r="GSO32" t="s">
        <v>251</v>
      </c>
      <c r="GSP32" t="s">
        <v>1305</v>
      </c>
      <c r="GSQ32" t="s">
        <v>251</v>
      </c>
      <c r="GSR32" t="s">
        <v>1305</v>
      </c>
      <c r="GSS32" t="s">
        <v>251</v>
      </c>
      <c r="GST32" t="s">
        <v>1305</v>
      </c>
      <c r="GSU32" t="s">
        <v>251</v>
      </c>
      <c r="GSV32" t="s">
        <v>1305</v>
      </c>
      <c r="GSW32" t="s">
        <v>251</v>
      </c>
      <c r="GSX32" t="s">
        <v>1305</v>
      </c>
      <c r="GSY32" t="s">
        <v>251</v>
      </c>
      <c r="GSZ32" t="s">
        <v>1305</v>
      </c>
      <c r="GTA32" t="s">
        <v>251</v>
      </c>
      <c r="GTB32" t="s">
        <v>1305</v>
      </c>
      <c r="GTC32" t="s">
        <v>251</v>
      </c>
      <c r="GTD32" t="s">
        <v>1305</v>
      </c>
      <c r="GTE32" t="s">
        <v>251</v>
      </c>
      <c r="GTF32" t="s">
        <v>1305</v>
      </c>
      <c r="GTG32" t="s">
        <v>251</v>
      </c>
      <c r="GTH32" t="s">
        <v>1305</v>
      </c>
      <c r="GTI32" t="s">
        <v>251</v>
      </c>
      <c r="GTJ32" t="s">
        <v>1305</v>
      </c>
      <c r="GTK32" t="s">
        <v>251</v>
      </c>
      <c r="GTL32" t="s">
        <v>1305</v>
      </c>
      <c r="GTM32" t="s">
        <v>251</v>
      </c>
      <c r="GTN32" t="s">
        <v>1305</v>
      </c>
      <c r="GTO32" t="s">
        <v>251</v>
      </c>
      <c r="GTP32" t="s">
        <v>1305</v>
      </c>
      <c r="GTQ32" t="s">
        <v>251</v>
      </c>
      <c r="GTR32" t="s">
        <v>1305</v>
      </c>
      <c r="GTS32" t="s">
        <v>251</v>
      </c>
      <c r="GTT32" t="s">
        <v>1305</v>
      </c>
      <c r="GTU32" t="s">
        <v>251</v>
      </c>
      <c r="GTV32" t="s">
        <v>1305</v>
      </c>
      <c r="GTW32" t="s">
        <v>251</v>
      </c>
      <c r="GTX32" t="s">
        <v>1305</v>
      </c>
      <c r="GTY32" t="s">
        <v>251</v>
      </c>
      <c r="GTZ32" t="s">
        <v>1305</v>
      </c>
      <c r="GUA32" t="s">
        <v>251</v>
      </c>
      <c r="GUB32" t="s">
        <v>1305</v>
      </c>
      <c r="GUC32" t="s">
        <v>251</v>
      </c>
      <c r="GUD32" t="s">
        <v>1305</v>
      </c>
      <c r="GUE32" t="s">
        <v>251</v>
      </c>
      <c r="GUF32" t="s">
        <v>1305</v>
      </c>
      <c r="GUG32" t="s">
        <v>251</v>
      </c>
      <c r="GUH32" t="s">
        <v>1305</v>
      </c>
      <c r="GUI32" t="s">
        <v>251</v>
      </c>
      <c r="GUJ32" t="s">
        <v>1305</v>
      </c>
      <c r="GUK32" t="s">
        <v>251</v>
      </c>
      <c r="GUL32" t="s">
        <v>1305</v>
      </c>
      <c r="GUM32" t="s">
        <v>251</v>
      </c>
      <c r="GUN32" t="s">
        <v>1305</v>
      </c>
      <c r="GUO32" t="s">
        <v>251</v>
      </c>
      <c r="GUP32" t="s">
        <v>1305</v>
      </c>
      <c r="GUQ32" t="s">
        <v>251</v>
      </c>
      <c r="GUR32" t="s">
        <v>1305</v>
      </c>
      <c r="GUS32" t="s">
        <v>251</v>
      </c>
      <c r="GUT32" t="s">
        <v>1305</v>
      </c>
      <c r="GUU32" t="s">
        <v>251</v>
      </c>
      <c r="GUV32" t="s">
        <v>1305</v>
      </c>
      <c r="GUW32" t="s">
        <v>251</v>
      </c>
      <c r="GUX32" t="s">
        <v>1305</v>
      </c>
      <c r="GUY32" t="s">
        <v>251</v>
      </c>
      <c r="GUZ32" t="s">
        <v>1305</v>
      </c>
      <c r="GVA32" t="s">
        <v>251</v>
      </c>
      <c r="GVB32" t="s">
        <v>1305</v>
      </c>
      <c r="GVC32" t="s">
        <v>251</v>
      </c>
      <c r="GVD32" t="s">
        <v>1305</v>
      </c>
      <c r="GVE32" t="s">
        <v>251</v>
      </c>
      <c r="GVF32" t="s">
        <v>1305</v>
      </c>
      <c r="GVG32" t="s">
        <v>251</v>
      </c>
      <c r="GVH32" t="s">
        <v>1305</v>
      </c>
      <c r="GVI32" t="s">
        <v>251</v>
      </c>
      <c r="GVJ32" t="s">
        <v>1305</v>
      </c>
      <c r="GVK32" t="s">
        <v>251</v>
      </c>
      <c r="GVL32" t="s">
        <v>1305</v>
      </c>
      <c r="GVM32" t="s">
        <v>251</v>
      </c>
      <c r="GVN32" t="s">
        <v>1305</v>
      </c>
      <c r="GVO32" t="s">
        <v>251</v>
      </c>
      <c r="GVP32" t="s">
        <v>1305</v>
      </c>
      <c r="GVQ32" t="s">
        <v>251</v>
      </c>
      <c r="GVR32" t="s">
        <v>1305</v>
      </c>
      <c r="GVS32" t="s">
        <v>251</v>
      </c>
      <c r="GVT32" t="s">
        <v>1305</v>
      </c>
      <c r="GVU32" t="s">
        <v>251</v>
      </c>
      <c r="GVV32" t="s">
        <v>1305</v>
      </c>
      <c r="GVW32" t="s">
        <v>251</v>
      </c>
      <c r="GVX32" t="s">
        <v>1305</v>
      </c>
      <c r="GVY32" t="s">
        <v>251</v>
      </c>
      <c r="GVZ32" t="s">
        <v>1305</v>
      </c>
      <c r="GWA32" t="s">
        <v>251</v>
      </c>
      <c r="GWB32" t="s">
        <v>1305</v>
      </c>
      <c r="GWC32" t="s">
        <v>251</v>
      </c>
      <c r="GWD32" t="s">
        <v>1305</v>
      </c>
      <c r="GWE32" t="s">
        <v>251</v>
      </c>
      <c r="GWF32" t="s">
        <v>1305</v>
      </c>
      <c r="GWG32" t="s">
        <v>251</v>
      </c>
      <c r="GWH32" t="s">
        <v>1305</v>
      </c>
      <c r="GWI32" t="s">
        <v>251</v>
      </c>
      <c r="GWJ32" t="s">
        <v>1305</v>
      </c>
      <c r="GWK32" t="s">
        <v>251</v>
      </c>
      <c r="GWL32" t="s">
        <v>1305</v>
      </c>
      <c r="GWM32" t="s">
        <v>251</v>
      </c>
      <c r="GWN32" t="s">
        <v>1305</v>
      </c>
      <c r="GWO32" t="s">
        <v>251</v>
      </c>
      <c r="GWP32" t="s">
        <v>1305</v>
      </c>
      <c r="GWQ32" t="s">
        <v>251</v>
      </c>
      <c r="GWR32" t="s">
        <v>1305</v>
      </c>
      <c r="GWS32" t="s">
        <v>251</v>
      </c>
      <c r="GWT32" t="s">
        <v>1305</v>
      </c>
      <c r="GWU32" t="s">
        <v>251</v>
      </c>
      <c r="GWV32" t="s">
        <v>1305</v>
      </c>
      <c r="GWW32" t="s">
        <v>251</v>
      </c>
      <c r="GWX32" t="s">
        <v>1305</v>
      </c>
      <c r="GWY32" t="s">
        <v>251</v>
      </c>
      <c r="GWZ32" t="s">
        <v>1305</v>
      </c>
      <c r="GXA32" t="s">
        <v>251</v>
      </c>
      <c r="GXB32" t="s">
        <v>1305</v>
      </c>
      <c r="GXC32" t="s">
        <v>251</v>
      </c>
      <c r="GXD32" t="s">
        <v>1305</v>
      </c>
      <c r="GXE32" t="s">
        <v>251</v>
      </c>
      <c r="GXF32" t="s">
        <v>1305</v>
      </c>
      <c r="GXG32" t="s">
        <v>251</v>
      </c>
      <c r="GXH32" t="s">
        <v>1305</v>
      </c>
      <c r="GXI32" t="s">
        <v>251</v>
      </c>
      <c r="GXJ32" t="s">
        <v>1305</v>
      </c>
      <c r="GXK32" t="s">
        <v>251</v>
      </c>
      <c r="GXL32" t="s">
        <v>1305</v>
      </c>
      <c r="GXM32" t="s">
        <v>251</v>
      </c>
      <c r="GXN32" t="s">
        <v>1305</v>
      </c>
      <c r="GXO32" t="s">
        <v>251</v>
      </c>
      <c r="GXP32" t="s">
        <v>1305</v>
      </c>
      <c r="GXQ32" t="s">
        <v>251</v>
      </c>
      <c r="GXR32" t="s">
        <v>1305</v>
      </c>
      <c r="GXS32" t="s">
        <v>251</v>
      </c>
      <c r="GXT32" t="s">
        <v>1305</v>
      </c>
      <c r="GXU32" t="s">
        <v>251</v>
      </c>
      <c r="GXV32" t="s">
        <v>1305</v>
      </c>
      <c r="GXW32" t="s">
        <v>251</v>
      </c>
      <c r="GXX32" t="s">
        <v>1305</v>
      </c>
      <c r="GXY32" t="s">
        <v>251</v>
      </c>
      <c r="GXZ32" t="s">
        <v>1305</v>
      </c>
      <c r="GYA32" t="s">
        <v>251</v>
      </c>
      <c r="GYB32" t="s">
        <v>1305</v>
      </c>
      <c r="GYC32" t="s">
        <v>251</v>
      </c>
      <c r="GYD32" t="s">
        <v>1305</v>
      </c>
      <c r="GYE32" t="s">
        <v>251</v>
      </c>
      <c r="GYF32" t="s">
        <v>1305</v>
      </c>
      <c r="GYG32" t="s">
        <v>251</v>
      </c>
      <c r="GYH32" t="s">
        <v>1305</v>
      </c>
      <c r="GYI32" t="s">
        <v>251</v>
      </c>
      <c r="GYJ32" t="s">
        <v>1305</v>
      </c>
      <c r="GYK32" t="s">
        <v>251</v>
      </c>
      <c r="GYL32" t="s">
        <v>1305</v>
      </c>
      <c r="GYM32" t="s">
        <v>251</v>
      </c>
      <c r="GYN32" t="s">
        <v>1305</v>
      </c>
      <c r="GYO32" t="s">
        <v>251</v>
      </c>
      <c r="GYP32" t="s">
        <v>1305</v>
      </c>
      <c r="GYQ32" t="s">
        <v>251</v>
      </c>
      <c r="GYR32" t="s">
        <v>1305</v>
      </c>
      <c r="GYS32" t="s">
        <v>251</v>
      </c>
      <c r="GYT32" t="s">
        <v>1305</v>
      </c>
      <c r="GYU32" t="s">
        <v>251</v>
      </c>
      <c r="GYV32" t="s">
        <v>1305</v>
      </c>
      <c r="GYW32" t="s">
        <v>251</v>
      </c>
      <c r="GYX32" t="s">
        <v>1305</v>
      </c>
      <c r="GYY32" t="s">
        <v>251</v>
      </c>
      <c r="GYZ32" t="s">
        <v>1305</v>
      </c>
      <c r="GZA32" t="s">
        <v>251</v>
      </c>
      <c r="GZB32" t="s">
        <v>1305</v>
      </c>
      <c r="GZC32" t="s">
        <v>251</v>
      </c>
      <c r="GZD32" t="s">
        <v>1305</v>
      </c>
      <c r="GZE32" t="s">
        <v>251</v>
      </c>
      <c r="GZF32" t="s">
        <v>1305</v>
      </c>
      <c r="GZG32" t="s">
        <v>251</v>
      </c>
      <c r="GZH32" t="s">
        <v>1305</v>
      </c>
      <c r="GZI32" t="s">
        <v>251</v>
      </c>
      <c r="GZJ32" t="s">
        <v>1305</v>
      </c>
      <c r="GZK32" t="s">
        <v>251</v>
      </c>
      <c r="GZL32" t="s">
        <v>1305</v>
      </c>
      <c r="GZM32" t="s">
        <v>251</v>
      </c>
      <c r="GZN32" t="s">
        <v>1305</v>
      </c>
      <c r="GZO32" t="s">
        <v>251</v>
      </c>
      <c r="GZP32" t="s">
        <v>1305</v>
      </c>
      <c r="GZQ32" t="s">
        <v>251</v>
      </c>
      <c r="GZR32" t="s">
        <v>1305</v>
      </c>
      <c r="GZS32" t="s">
        <v>251</v>
      </c>
      <c r="GZT32" t="s">
        <v>1305</v>
      </c>
      <c r="GZU32" t="s">
        <v>251</v>
      </c>
      <c r="GZV32" t="s">
        <v>1305</v>
      </c>
      <c r="GZW32" t="s">
        <v>251</v>
      </c>
      <c r="GZX32" t="s">
        <v>1305</v>
      </c>
      <c r="GZY32" t="s">
        <v>251</v>
      </c>
      <c r="GZZ32" t="s">
        <v>1305</v>
      </c>
      <c r="HAA32" t="s">
        <v>251</v>
      </c>
      <c r="HAB32" t="s">
        <v>1305</v>
      </c>
      <c r="HAC32" t="s">
        <v>251</v>
      </c>
      <c r="HAD32" t="s">
        <v>1305</v>
      </c>
      <c r="HAE32" t="s">
        <v>251</v>
      </c>
      <c r="HAF32" t="s">
        <v>1305</v>
      </c>
      <c r="HAG32" t="s">
        <v>251</v>
      </c>
      <c r="HAH32" t="s">
        <v>1305</v>
      </c>
      <c r="HAI32" t="s">
        <v>251</v>
      </c>
      <c r="HAJ32" t="s">
        <v>1305</v>
      </c>
      <c r="HAK32" t="s">
        <v>251</v>
      </c>
      <c r="HAL32" t="s">
        <v>1305</v>
      </c>
      <c r="HAM32" t="s">
        <v>251</v>
      </c>
      <c r="HAN32" t="s">
        <v>1305</v>
      </c>
      <c r="HAO32" t="s">
        <v>251</v>
      </c>
      <c r="HAP32" t="s">
        <v>1305</v>
      </c>
      <c r="HAQ32" t="s">
        <v>251</v>
      </c>
      <c r="HAR32" t="s">
        <v>1305</v>
      </c>
      <c r="HAS32" t="s">
        <v>251</v>
      </c>
      <c r="HAT32" t="s">
        <v>1305</v>
      </c>
      <c r="HAU32" t="s">
        <v>251</v>
      </c>
      <c r="HAV32" t="s">
        <v>1305</v>
      </c>
      <c r="HAW32" t="s">
        <v>251</v>
      </c>
      <c r="HAX32" t="s">
        <v>1305</v>
      </c>
      <c r="HAY32" t="s">
        <v>251</v>
      </c>
      <c r="HAZ32" t="s">
        <v>1305</v>
      </c>
      <c r="HBA32" t="s">
        <v>251</v>
      </c>
      <c r="HBB32" t="s">
        <v>1305</v>
      </c>
      <c r="HBC32" t="s">
        <v>251</v>
      </c>
      <c r="HBD32" t="s">
        <v>1305</v>
      </c>
      <c r="HBE32" t="s">
        <v>251</v>
      </c>
      <c r="HBF32" t="s">
        <v>1305</v>
      </c>
      <c r="HBG32" t="s">
        <v>251</v>
      </c>
      <c r="HBH32" t="s">
        <v>1305</v>
      </c>
      <c r="HBI32" t="s">
        <v>251</v>
      </c>
      <c r="HBJ32" t="s">
        <v>1305</v>
      </c>
      <c r="HBK32" t="s">
        <v>251</v>
      </c>
      <c r="HBL32" t="s">
        <v>1305</v>
      </c>
      <c r="HBM32" t="s">
        <v>251</v>
      </c>
      <c r="HBN32" t="s">
        <v>1305</v>
      </c>
      <c r="HBO32" t="s">
        <v>251</v>
      </c>
      <c r="HBP32" t="s">
        <v>1305</v>
      </c>
      <c r="HBQ32" t="s">
        <v>251</v>
      </c>
      <c r="HBR32" t="s">
        <v>1305</v>
      </c>
      <c r="HBS32" t="s">
        <v>251</v>
      </c>
      <c r="HBT32" t="s">
        <v>1305</v>
      </c>
      <c r="HBU32" t="s">
        <v>251</v>
      </c>
      <c r="HBV32" t="s">
        <v>1305</v>
      </c>
      <c r="HBW32" t="s">
        <v>251</v>
      </c>
      <c r="HBX32" t="s">
        <v>1305</v>
      </c>
      <c r="HBY32" t="s">
        <v>251</v>
      </c>
      <c r="HBZ32" t="s">
        <v>1305</v>
      </c>
      <c r="HCA32" t="s">
        <v>251</v>
      </c>
      <c r="HCB32" t="s">
        <v>1305</v>
      </c>
      <c r="HCC32" t="s">
        <v>251</v>
      </c>
      <c r="HCD32" t="s">
        <v>1305</v>
      </c>
      <c r="HCE32" t="s">
        <v>251</v>
      </c>
      <c r="HCF32" t="s">
        <v>1305</v>
      </c>
      <c r="HCG32" t="s">
        <v>251</v>
      </c>
      <c r="HCH32" t="s">
        <v>1305</v>
      </c>
      <c r="HCI32" t="s">
        <v>251</v>
      </c>
      <c r="HCJ32" t="s">
        <v>1305</v>
      </c>
      <c r="HCK32" t="s">
        <v>251</v>
      </c>
      <c r="HCL32" t="s">
        <v>1305</v>
      </c>
      <c r="HCM32" t="s">
        <v>251</v>
      </c>
      <c r="HCN32" t="s">
        <v>1305</v>
      </c>
      <c r="HCO32" t="s">
        <v>251</v>
      </c>
      <c r="HCP32" t="s">
        <v>1305</v>
      </c>
      <c r="HCQ32" t="s">
        <v>251</v>
      </c>
      <c r="HCR32" t="s">
        <v>1305</v>
      </c>
      <c r="HCS32" t="s">
        <v>251</v>
      </c>
      <c r="HCT32" t="s">
        <v>1305</v>
      </c>
      <c r="HCU32" t="s">
        <v>251</v>
      </c>
      <c r="HCV32" t="s">
        <v>1305</v>
      </c>
      <c r="HCW32" t="s">
        <v>251</v>
      </c>
      <c r="HCX32" t="s">
        <v>1305</v>
      </c>
      <c r="HCY32" t="s">
        <v>251</v>
      </c>
      <c r="HCZ32" t="s">
        <v>1305</v>
      </c>
      <c r="HDA32" t="s">
        <v>251</v>
      </c>
      <c r="HDB32" t="s">
        <v>1305</v>
      </c>
      <c r="HDC32" t="s">
        <v>251</v>
      </c>
      <c r="HDD32" t="s">
        <v>1305</v>
      </c>
      <c r="HDE32" t="s">
        <v>251</v>
      </c>
      <c r="HDF32" t="s">
        <v>1305</v>
      </c>
      <c r="HDG32" t="s">
        <v>251</v>
      </c>
      <c r="HDH32" t="s">
        <v>1305</v>
      </c>
      <c r="HDI32" t="s">
        <v>251</v>
      </c>
      <c r="HDJ32" t="s">
        <v>1305</v>
      </c>
      <c r="HDK32" t="s">
        <v>251</v>
      </c>
      <c r="HDL32" t="s">
        <v>1305</v>
      </c>
      <c r="HDM32" t="s">
        <v>251</v>
      </c>
      <c r="HDN32" t="s">
        <v>1305</v>
      </c>
      <c r="HDO32" t="s">
        <v>251</v>
      </c>
      <c r="HDP32" t="s">
        <v>1305</v>
      </c>
      <c r="HDQ32" t="s">
        <v>251</v>
      </c>
      <c r="HDR32" t="s">
        <v>1305</v>
      </c>
      <c r="HDS32" t="s">
        <v>251</v>
      </c>
      <c r="HDT32" t="s">
        <v>1305</v>
      </c>
      <c r="HDU32" t="s">
        <v>251</v>
      </c>
      <c r="HDV32" t="s">
        <v>1305</v>
      </c>
      <c r="HDW32" t="s">
        <v>251</v>
      </c>
      <c r="HDX32" t="s">
        <v>1305</v>
      </c>
      <c r="HDY32" t="s">
        <v>251</v>
      </c>
      <c r="HDZ32" t="s">
        <v>1305</v>
      </c>
      <c r="HEA32" t="s">
        <v>251</v>
      </c>
      <c r="HEB32" t="s">
        <v>1305</v>
      </c>
      <c r="HEC32" t="s">
        <v>251</v>
      </c>
      <c r="HED32" t="s">
        <v>1305</v>
      </c>
      <c r="HEE32" t="s">
        <v>251</v>
      </c>
      <c r="HEF32" t="s">
        <v>1305</v>
      </c>
      <c r="HEG32" t="s">
        <v>251</v>
      </c>
      <c r="HEH32" t="s">
        <v>1305</v>
      </c>
      <c r="HEI32" t="s">
        <v>251</v>
      </c>
      <c r="HEJ32" t="s">
        <v>1305</v>
      </c>
      <c r="HEK32" t="s">
        <v>251</v>
      </c>
      <c r="HEL32" t="s">
        <v>1305</v>
      </c>
      <c r="HEM32" t="s">
        <v>251</v>
      </c>
      <c r="HEN32" t="s">
        <v>1305</v>
      </c>
      <c r="HEO32" t="s">
        <v>251</v>
      </c>
      <c r="HEP32" t="s">
        <v>1305</v>
      </c>
      <c r="HEQ32" t="s">
        <v>251</v>
      </c>
      <c r="HER32" t="s">
        <v>1305</v>
      </c>
      <c r="HES32" t="s">
        <v>251</v>
      </c>
      <c r="HET32" t="s">
        <v>1305</v>
      </c>
      <c r="HEU32" t="s">
        <v>251</v>
      </c>
      <c r="HEV32" t="s">
        <v>1305</v>
      </c>
      <c r="HEW32" t="s">
        <v>251</v>
      </c>
      <c r="HEX32" t="s">
        <v>1305</v>
      </c>
      <c r="HEY32" t="s">
        <v>251</v>
      </c>
      <c r="HEZ32" t="s">
        <v>1305</v>
      </c>
      <c r="HFA32" t="s">
        <v>251</v>
      </c>
      <c r="HFB32" t="s">
        <v>1305</v>
      </c>
      <c r="HFC32" t="s">
        <v>251</v>
      </c>
      <c r="HFD32" t="s">
        <v>1305</v>
      </c>
      <c r="HFE32" t="s">
        <v>251</v>
      </c>
      <c r="HFF32" t="s">
        <v>1305</v>
      </c>
      <c r="HFG32" t="s">
        <v>251</v>
      </c>
      <c r="HFH32" t="s">
        <v>1305</v>
      </c>
      <c r="HFI32" t="s">
        <v>251</v>
      </c>
      <c r="HFJ32" t="s">
        <v>1305</v>
      </c>
      <c r="HFK32" t="s">
        <v>251</v>
      </c>
      <c r="HFL32" t="s">
        <v>1305</v>
      </c>
      <c r="HFM32" t="s">
        <v>251</v>
      </c>
      <c r="HFN32" t="s">
        <v>1305</v>
      </c>
      <c r="HFO32" t="s">
        <v>251</v>
      </c>
      <c r="HFP32" t="s">
        <v>1305</v>
      </c>
      <c r="HFQ32" t="s">
        <v>251</v>
      </c>
      <c r="HFR32" t="s">
        <v>1305</v>
      </c>
      <c r="HFS32" t="s">
        <v>251</v>
      </c>
      <c r="HFT32" t="s">
        <v>1305</v>
      </c>
      <c r="HFU32" t="s">
        <v>251</v>
      </c>
      <c r="HFV32" t="s">
        <v>1305</v>
      </c>
      <c r="HFW32" t="s">
        <v>251</v>
      </c>
      <c r="HFX32" t="s">
        <v>1305</v>
      </c>
      <c r="HFY32" t="s">
        <v>251</v>
      </c>
      <c r="HFZ32" t="s">
        <v>1305</v>
      </c>
      <c r="HGA32" t="s">
        <v>251</v>
      </c>
      <c r="HGB32" t="s">
        <v>1305</v>
      </c>
      <c r="HGC32" t="s">
        <v>251</v>
      </c>
      <c r="HGD32" t="s">
        <v>1305</v>
      </c>
      <c r="HGE32" t="s">
        <v>251</v>
      </c>
      <c r="HGF32" t="s">
        <v>1305</v>
      </c>
      <c r="HGG32" t="s">
        <v>251</v>
      </c>
      <c r="HGH32" t="s">
        <v>1305</v>
      </c>
      <c r="HGI32" t="s">
        <v>251</v>
      </c>
      <c r="HGJ32" t="s">
        <v>1305</v>
      </c>
      <c r="HGK32" t="s">
        <v>251</v>
      </c>
      <c r="HGL32" t="s">
        <v>1305</v>
      </c>
      <c r="HGM32" t="s">
        <v>251</v>
      </c>
      <c r="HGN32" t="s">
        <v>1305</v>
      </c>
      <c r="HGO32" t="s">
        <v>251</v>
      </c>
      <c r="HGP32" t="s">
        <v>1305</v>
      </c>
      <c r="HGQ32" t="s">
        <v>251</v>
      </c>
      <c r="HGR32" t="s">
        <v>1305</v>
      </c>
      <c r="HGS32" t="s">
        <v>251</v>
      </c>
      <c r="HGT32" t="s">
        <v>1305</v>
      </c>
      <c r="HGU32" t="s">
        <v>251</v>
      </c>
      <c r="HGV32" t="s">
        <v>1305</v>
      </c>
      <c r="HGW32" t="s">
        <v>251</v>
      </c>
      <c r="HGX32" t="s">
        <v>1305</v>
      </c>
      <c r="HGY32" t="s">
        <v>251</v>
      </c>
      <c r="HGZ32" t="s">
        <v>1305</v>
      </c>
      <c r="HHA32" t="s">
        <v>251</v>
      </c>
      <c r="HHB32" t="s">
        <v>1305</v>
      </c>
      <c r="HHC32" t="s">
        <v>251</v>
      </c>
      <c r="HHD32" t="s">
        <v>1305</v>
      </c>
      <c r="HHE32" t="s">
        <v>251</v>
      </c>
      <c r="HHF32" t="s">
        <v>1305</v>
      </c>
      <c r="HHG32" t="s">
        <v>251</v>
      </c>
      <c r="HHH32" t="s">
        <v>1305</v>
      </c>
      <c r="HHI32" t="s">
        <v>251</v>
      </c>
      <c r="HHJ32" t="s">
        <v>1305</v>
      </c>
      <c r="HHK32" t="s">
        <v>251</v>
      </c>
      <c r="HHL32" t="s">
        <v>1305</v>
      </c>
      <c r="HHM32" t="s">
        <v>251</v>
      </c>
      <c r="HHN32" t="s">
        <v>1305</v>
      </c>
      <c r="HHO32" t="s">
        <v>251</v>
      </c>
      <c r="HHP32" t="s">
        <v>1305</v>
      </c>
      <c r="HHQ32" t="s">
        <v>251</v>
      </c>
      <c r="HHR32" t="s">
        <v>1305</v>
      </c>
      <c r="HHS32" t="s">
        <v>251</v>
      </c>
      <c r="HHT32" t="s">
        <v>1305</v>
      </c>
      <c r="HHU32" t="s">
        <v>251</v>
      </c>
      <c r="HHV32" t="s">
        <v>1305</v>
      </c>
      <c r="HHW32" t="s">
        <v>251</v>
      </c>
      <c r="HHX32" t="s">
        <v>1305</v>
      </c>
      <c r="HHY32" t="s">
        <v>251</v>
      </c>
      <c r="HHZ32" t="s">
        <v>1305</v>
      </c>
      <c r="HIA32" t="s">
        <v>251</v>
      </c>
      <c r="HIB32" t="s">
        <v>1305</v>
      </c>
      <c r="HIC32" t="s">
        <v>251</v>
      </c>
      <c r="HID32" t="s">
        <v>1305</v>
      </c>
      <c r="HIE32" t="s">
        <v>251</v>
      </c>
      <c r="HIF32" t="s">
        <v>1305</v>
      </c>
      <c r="HIG32" t="s">
        <v>251</v>
      </c>
      <c r="HIH32" t="s">
        <v>1305</v>
      </c>
      <c r="HII32" t="s">
        <v>251</v>
      </c>
      <c r="HIJ32" t="s">
        <v>1305</v>
      </c>
      <c r="HIK32" t="s">
        <v>251</v>
      </c>
      <c r="HIL32" t="s">
        <v>1305</v>
      </c>
      <c r="HIM32" t="s">
        <v>251</v>
      </c>
      <c r="HIN32" t="s">
        <v>1305</v>
      </c>
      <c r="HIO32" t="s">
        <v>251</v>
      </c>
      <c r="HIP32" t="s">
        <v>1305</v>
      </c>
      <c r="HIQ32" t="s">
        <v>251</v>
      </c>
      <c r="HIR32" t="s">
        <v>1305</v>
      </c>
      <c r="HIS32" t="s">
        <v>251</v>
      </c>
      <c r="HIT32" t="s">
        <v>1305</v>
      </c>
      <c r="HIU32" t="s">
        <v>251</v>
      </c>
      <c r="HIV32" t="s">
        <v>1305</v>
      </c>
      <c r="HIW32" t="s">
        <v>251</v>
      </c>
      <c r="HIX32" t="s">
        <v>1305</v>
      </c>
      <c r="HIY32" t="s">
        <v>251</v>
      </c>
      <c r="HIZ32" t="s">
        <v>1305</v>
      </c>
      <c r="HJA32" t="s">
        <v>251</v>
      </c>
      <c r="HJB32" t="s">
        <v>1305</v>
      </c>
      <c r="HJC32" t="s">
        <v>251</v>
      </c>
      <c r="HJD32" t="s">
        <v>1305</v>
      </c>
      <c r="HJE32" t="s">
        <v>251</v>
      </c>
      <c r="HJF32" t="s">
        <v>1305</v>
      </c>
      <c r="HJG32" t="s">
        <v>251</v>
      </c>
      <c r="HJH32" t="s">
        <v>1305</v>
      </c>
      <c r="HJI32" t="s">
        <v>251</v>
      </c>
      <c r="HJJ32" t="s">
        <v>1305</v>
      </c>
      <c r="HJK32" t="s">
        <v>251</v>
      </c>
      <c r="HJL32" t="s">
        <v>1305</v>
      </c>
      <c r="HJM32" t="s">
        <v>251</v>
      </c>
      <c r="HJN32" t="s">
        <v>1305</v>
      </c>
      <c r="HJO32" t="s">
        <v>251</v>
      </c>
      <c r="HJP32" t="s">
        <v>1305</v>
      </c>
      <c r="HJQ32" t="s">
        <v>251</v>
      </c>
      <c r="HJR32" t="s">
        <v>1305</v>
      </c>
      <c r="HJS32" t="s">
        <v>251</v>
      </c>
      <c r="HJT32" t="s">
        <v>1305</v>
      </c>
      <c r="HJU32" t="s">
        <v>251</v>
      </c>
      <c r="HJV32" t="s">
        <v>1305</v>
      </c>
      <c r="HJW32" t="s">
        <v>251</v>
      </c>
      <c r="HJX32" t="s">
        <v>1305</v>
      </c>
      <c r="HJY32" t="s">
        <v>251</v>
      </c>
      <c r="HJZ32" t="s">
        <v>1305</v>
      </c>
      <c r="HKA32" t="s">
        <v>251</v>
      </c>
      <c r="HKB32" t="s">
        <v>1305</v>
      </c>
      <c r="HKC32" t="s">
        <v>251</v>
      </c>
      <c r="HKD32" t="s">
        <v>1305</v>
      </c>
      <c r="HKE32" t="s">
        <v>251</v>
      </c>
      <c r="HKF32" t="s">
        <v>1305</v>
      </c>
      <c r="HKG32" t="s">
        <v>251</v>
      </c>
      <c r="HKH32" t="s">
        <v>1305</v>
      </c>
      <c r="HKI32" t="s">
        <v>251</v>
      </c>
      <c r="HKJ32" t="s">
        <v>1305</v>
      </c>
      <c r="HKK32" t="s">
        <v>251</v>
      </c>
      <c r="HKL32" t="s">
        <v>1305</v>
      </c>
      <c r="HKM32" t="s">
        <v>251</v>
      </c>
      <c r="HKN32" t="s">
        <v>1305</v>
      </c>
      <c r="HKO32" t="s">
        <v>251</v>
      </c>
      <c r="HKP32" t="s">
        <v>1305</v>
      </c>
      <c r="HKQ32" t="s">
        <v>251</v>
      </c>
      <c r="HKR32" t="s">
        <v>1305</v>
      </c>
      <c r="HKS32" t="s">
        <v>251</v>
      </c>
      <c r="HKT32" t="s">
        <v>1305</v>
      </c>
      <c r="HKU32" t="s">
        <v>251</v>
      </c>
      <c r="HKV32" t="s">
        <v>1305</v>
      </c>
      <c r="HKW32" t="s">
        <v>251</v>
      </c>
      <c r="HKX32" t="s">
        <v>1305</v>
      </c>
      <c r="HKY32" t="s">
        <v>251</v>
      </c>
      <c r="HKZ32" t="s">
        <v>1305</v>
      </c>
      <c r="HLA32" t="s">
        <v>251</v>
      </c>
      <c r="HLB32" t="s">
        <v>1305</v>
      </c>
      <c r="HLC32" t="s">
        <v>251</v>
      </c>
      <c r="HLD32" t="s">
        <v>1305</v>
      </c>
      <c r="HLE32" t="s">
        <v>251</v>
      </c>
      <c r="HLF32" t="s">
        <v>1305</v>
      </c>
      <c r="HLG32" t="s">
        <v>251</v>
      </c>
      <c r="HLH32" t="s">
        <v>1305</v>
      </c>
      <c r="HLI32" t="s">
        <v>251</v>
      </c>
      <c r="HLJ32" t="s">
        <v>1305</v>
      </c>
      <c r="HLK32" t="s">
        <v>251</v>
      </c>
      <c r="HLL32" t="s">
        <v>1305</v>
      </c>
      <c r="HLM32" t="s">
        <v>251</v>
      </c>
      <c r="HLN32" t="s">
        <v>1305</v>
      </c>
      <c r="HLO32" t="s">
        <v>251</v>
      </c>
      <c r="HLP32" t="s">
        <v>1305</v>
      </c>
      <c r="HLQ32" t="s">
        <v>251</v>
      </c>
      <c r="HLR32" t="s">
        <v>1305</v>
      </c>
      <c r="HLS32" t="s">
        <v>251</v>
      </c>
      <c r="HLT32" t="s">
        <v>1305</v>
      </c>
      <c r="HLU32" t="s">
        <v>251</v>
      </c>
      <c r="HLV32" t="s">
        <v>1305</v>
      </c>
      <c r="HLW32" t="s">
        <v>251</v>
      </c>
      <c r="HLX32" t="s">
        <v>1305</v>
      </c>
      <c r="HLY32" t="s">
        <v>251</v>
      </c>
      <c r="HLZ32" t="s">
        <v>1305</v>
      </c>
      <c r="HMA32" t="s">
        <v>251</v>
      </c>
      <c r="HMB32" t="s">
        <v>1305</v>
      </c>
      <c r="HMC32" t="s">
        <v>251</v>
      </c>
      <c r="HMD32" t="s">
        <v>1305</v>
      </c>
      <c r="HME32" t="s">
        <v>251</v>
      </c>
      <c r="HMF32" t="s">
        <v>1305</v>
      </c>
      <c r="HMG32" t="s">
        <v>251</v>
      </c>
      <c r="HMH32" t="s">
        <v>1305</v>
      </c>
      <c r="HMI32" t="s">
        <v>251</v>
      </c>
      <c r="HMJ32" t="s">
        <v>1305</v>
      </c>
      <c r="HMK32" t="s">
        <v>251</v>
      </c>
      <c r="HML32" t="s">
        <v>1305</v>
      </c>
      <c r="HMM32" t="s">
        <v>251</v>
      </c>
      <c r="HMN32" t="s">
        <v>1305</v>
      </c>
      <c r="HMO32" t="s">
        <v>251</v>
      </c>
      <c r="HMP32" t="s">
        <v>1305</v>
      </c>
      <c r="HMQ32" t="s">
        <v>251</v>
      </c>
      <c r="HMR32" t="s">
        <v>1305</v>
      </c>
      <c r="HMS32" t="s">
        <v>251</v>
      </c>
      <c r="HMT32" t="s">
        <v>1305</v>
      </c>
      <c r="HMU32" t="s">
        <v>251</v>
      </c>
      <c r="HMV32" t="s">
        <v>1305</v>
      </c>
      <c r="HMW32" t="s">
        <v>251</v>
      </c>
      <c r="HMX32" t="s">
        <v>1305</v>
      </c>
      <c r="HMY32" t="s">
        <v>251</v>
      </c>
      <c r="HMZ32" t="s">
        <v>1305</v>
      </c>
      <c r="HNA32" t="s">
        <v>251</v>
      </c>
      <c r="HNB32" t="s">
        <v>1305</v>
      </c>
      <c r="HNC32" t="s">
        <v>251</v>
      </c>
      <c r="HND32" t="s">
        <v>1305</v>
      </c>
      <c r="HNE32" t="s">
        <v>251</v>
      </c>
      <c r="HNF32" t="s">
        <v>1305</v>
      </c>
      <c r="HNG32" t="s">
        <v>251</v>
      </c>
      <c r="HNH32" t="s">
        <v>1305</v>
      </c>
      <c r="HNI32" t="s">
        <v>251</v>
      </c>
      <c r="HNJ32" t="s">
        <v>1305</v>
      </c>
      <c r="HNK32" t="s">
        <v>251</v>
      </c>
      <c r="HNL32" t="s">
        <v>1305</v>
      </c>
      <c r="HNM32" t="s">
        <v>251</v>
      </c>
      <c r="HNN32" t="s">
        <v>1305</v>
      </c>
      <c r="HNO32" t="s">
        <v>251</v>
      </c>
      <c r="HNP32" t="s">
        <v>1305</v>
      </c>
      <c r="HNQ32" t="s">
        <v>251</v>
      </c>
      <c r="HNR32" t="s">
        <v>1305</v>
      </c>
      <c r="HNS32" t="s">
        <v>251</v>
      </c>
      <c r="HNT32" t="s">
        <v>1305</v>
      </c>
      <c r="HNU32" t="s">
        <v>251</v>
      </c>
      <c r="HNV32" t="s">
        <v>1305</v>
      </c>
      <c r="HNW32" t="s">
        <v>251</v>
      </c>
      <c r="HNX32" t="s">
        <v>1305</v>
      </c>
      <c r="HNY32" t="s">
        <v>251</v>
      </c>
      <c r="HNZ32" t="s">
        <v>1305</v>
      </c>
      <c r="HOA32" t="s">
        <v>251</v>
      </c>
      <c r="HOB32" t="s">
        <v>1305</v>
      </c>
      <c r="HOC32" t="s">
        <v>251</v>
      </c>
      <c r="HOD32" t="s">
        <v>1305</v>
      </c>
      <c r="HOE32" t="s">
        <v>251</v>
      </c>
      <c r="HOF32" t="s">
        <v>1305</v>
      </c>
      <c r="HOG32" t="s">
        <v>251</v>
      </c>
      <c r="HOH32" t="s">
        <v>1305</v>
      </c>
      <c r="HOI32" t="s">
        <v>251</v>
      </c>
      <c r="HOJ32" t="s">
        <v>1305</v>
      </c>
      <c r="HOK32" t="s">
        <v>251</v>
      </c>
      <c r="HOL32" t="s">
        <v>1305</v>
      </c>
      <c r="HOM32" t="s">
        <v>251</v>
      </c>
      <c r="HON32" t="s">
        <v>1305</v>
      </c>
      <c r="HOO32" t="s">
        <v>251</v>
      </c>
      <c r="HOP32" t="s">
        <v>1305</v>
      </c>
      <c r="HOQ32" t="s">
        <v>251</v>
      </c>
      <c r="HOR32" t="s">
        <v>1305</v>
      </c>
      <c r="HOS32" t="s">
        <v>251</v>
      </c>
      <c r="HOT32" t="s">
        <v>1305</v>
      </c>
      <c r="HOU32" t="s">
        <v>251</v>
      </c>
      <c r="HOV32" t="s">
        <v>1305</v>
      </c>
      <c r="HOW32" t="s">
        <v>251</v>
      </c>
      <c r="HOX32" t="s">
        <v>1305</v>
      </c>
      <c r="HOY32" t="s">
        <v>251</v>
      </c>
      <c r="HOZ32" t="s">
        <v>1305</v>
      </c>
      <c r="HPA32" t="s">
        <v>251</v>
      </c>
      <c r="HPB32" t="s">
        <v>1305</v>
      </c>
      <c r="HPC32" t="s">
        <v>251</v>
      </c>
      <c r="HPD32" t="s">
        <v>1305</v>
      </c>
      <c r="HPE32" t="s">
        <v>251</v>
      </c>
      <c r="HPF32" t="s">
        <v>1305</v>
      </c>
      <c r="HPG32" t="s">
        <v>251</v>
      </c>
      <c r="HPH32" t="s">
        <v>1305</v>
      </c>
      <c r="HPI32" t="s">
        <v>251</v>
      </c>
      <c r="HPJ32" t="s">
        <v>1305</v>
      </c>
      <c r="HPK32" t="s">
        <v>251</v>
      </c>
      <c r="HPL32" t="s">
        <v>1305</v>
      </c>
      <c r="HPM32" t="s">
        <v>251</v>
      </c>
      <c r="HPN32" t="s">
        <v>1305</v>
      </c>
      <c r="HPO32" t="s">
        <v>251</v>
      </c>
      <c r="HPP32" t="s">
        <v>1305</v>
      </c>
      <c r="HPQ32" t="s">
        <v>251</v>
      </c>
      <c r="HPR32" t="s">
        <v>1305</v>
      </c>
      <c r="HPS32" t="s">
        <v>251</v>
      </c>
      <c r="HPT32" t="s">
        <v>1305</v>
      </c>
      <c r="HPU32" t="s">
        <v>251</v>
      </c>
      <c r="HPV32" t="s">
        <v>1305</v>
      </c>
      <c r="HPW32" t="s">
        <v>251</v>
      </c>
      <c r="HPX32" t="s">
        <v>1305</v>
      </c>
      <c r="HPY32" t="s">
        <v>251</v>
      </c>
      <c r="HPZ32" t="s">
        <v>1305</v>
      </c>
      <c r="HQA32" t="s">
        <v>251</v>
      </c>
      <c r="HQB32" t="s">
        <v>1305</v>
      </c>
      <c r="HQC32" t="s">
        <v>251</v>
      </c>
      <c r="HQD32" t="s">
        <v>1305</v>
      </c>
      <c r="HQE32" t="s">
        <v>251</v>
      </c>
      <c r="HQF32" t="s">
        <v>1305</v>
      </c>
      <c r="HQG32" t="s">
        <v>251</v>
      </c>
      <c r="HQH32" t="s">
        <v>1305</v>
      </c>
      <c r="HQI32" t="s">
        <v>251</v>
      </c>
      <c r="HQJ32" t="s">
        <v>1305</v>
      </c>
      <c r="HQK32" t="s">
        <v>251</v>
      </c>
      <c r="HQL32" t="s">
        <v>1305</v>
      </c>
      <c r="HQM32" t="s">
        <v>251</v>
      </c>
      <c r="HQN32" t="s">
        <v>1305</v>
      </c>
      <c r="HQO32" t="s">
        <v>251</v>
      </c>
      <c r="HQP32" t="s">
        <v>1305</v>
      </c>
      <c r="HQQ32" t="s">
        <v>251</v>
      </c>
      <c r="HQR32" t="s">
        <v>1305</v>
      </c>
      <c r="HQS32" t="s">
        <v>251</v>
      </c>
      <c r="HQT32" t="s">
        <v>1305</v>
      </c>
      <c r="HQU32" t="s">
        <v>251</v>
      </c>
      <c r="HQV32" t="s">
        <v>1305</v>
      </c>
      <c r="HQW32" t="s">
        <v>251</v>
      </c>
      <c r="HQX32" t="s">
        <v>1305</v>
      </c>
      <c r="HQY32" t="s">
        <v>251</v>
      </c>
      <c r="HQZ32" t="s">
        <v>1305</v>
      </c>
      <c r="HRA32" t="s">
        <v>251</v>
      </c>
      <c r="HRB32" t="s">
        <v>1305</v>
      </c>
      <c r="HRC32" t="s">
        <v>251</v>
      </c>
      <c r="HRD32" t="s">
        <v>1305</v>
      </c>
      <c r="HRE32" t="s">
        <v>251</v>
      </c>
      <c r="HRF32" t="s">
        <v>1305</v>
      </c>
      <c r="HRG32" t="s">
        <v>251</v>
      </c>
      <c r="HRH32" t="s">
        <v>1305</v>
      </c>
      <c r="HRI32" t="s">
        <v>251</v>
      </c>
      <c r="HRJ32" t="s">
        <v>1305</v>
      </c>
      <c r="HRK32" t="s">
        <v>251</v>
      </c>
      <c r="HRL32" t="s">
        <v>1305</v>
      </c>
      <c r="HRM32" t="s">
        <v>251</v>
      </c>
      <c r="HRN32" t="s">
        <v>1305</v>
      </c>
      <c r="HRO32" t="s">
        <v>251</v>
      </c>
      <c r="HRP32" t="s">
        <v>1305</v>
      </c>
      <c r="HRQ32" t="s">
        <v>251</v>
      </c>
      <c r="HRR32" t="s">
        <v>1305</v>
      </c>
      <c r="HRS32" t="s">
        <v>251</v>
      </c>
      <c r="HRT32" t="s">
        <v>1305</v>
      </c>
      <c r="HRU32" t="s">
        <v>251</v>
      </c>
      <c r="HRV32" t="s">
        <v>1305</v>
      </c>
      <c r="HRW32" t="s">
        <v>251</v>
      </c>
      <c r="HRX32" t="s">
        <v>1305</v>
      </c>
      <c r="HRY32" t="s">
        <v>251</v>
      </c>
      <c r="HRZ32" t="s">
        <v>1305</v>
      </c>
      <c r="HSA32" t="s">
        <v>251</v>
      </c>
      <c r="HSB32" t="s">
        <v>1305</v>
      </c>
      <c r="HSC32" t="s">
        <v>251</v>
      </c>
      <c r="HSD32" t="s">
        <v>1305</v>
      </c>
      <c r="HSE32" t="s">
        <v>251</v>
      </c>
      <c r="HSF32" t="s">
        <v>1305</v>
      </c>
      <c r="HSG32" t="s">
        <v>251</v>
      </c>
      <c r="HSH32" t="s">
        <v>1305</v>
      </c>
      <c r="HSI32" t="s">
        <v>251</v>
      </c>
      <c r="HSJ32" t="s">
        <v>1305</v>
      </c>
      <c r="HSK32" t="s">
        <v>251</v>
      </c>
      <c r="HSL32" t="s">
        <v>1305</v>
      </c>
      <c r="HSM32" t="s">
        <v>251</v>
      </c>
      <c r="HSN32" t="s">
        <v>1305</v>
      </c>
      <c r="HSO32" t="s">
        <v>251</v>
      </c>
      <c r="HSP32" t="s">
        <v>1305</v>
      </c>
      <c r="HSQ32" t="s">
        <v>251</v>
      </c>
      <c r="HSR32" t="s">
        <v>1305</v>
      </c>
      <c r="HSS32" t="s">
        <v>251</v>
      </c>
      <c r="HST32" t="s">
        <v>1305</v>
      </c>
      <c r="HSU32" t="s">
        <v>251</v>
      </c>
      <c r="HSV32" t="s">
        <v>1305</v>
      </c>
      <c r="HSW32" t="s">
        <v>251</v>
      </c>
      <c r="HSX32" t="s">
        <v>1305</v>
      </c>
      <c r="HSY32" t="s">
        <v>251</v>
      </c>
      <c r="HSZ32" t="s">
        <v>1305</v>
      </c>
      <c r="HTA32" t="s">
        <v>251</v>
      </c>
      <c r="HTB32" t="s">
        <v>1305</v>
      </c>
      <c r="HTC32" t="s">
        <v>251</v>
      </c>
      <c r="HTD32" t="s">
        <v>1305</v>
      </c>
      <c r="HTE32" t="s">
        <v>251</v>
      </c>
      <c r="HTF32" t="s">
        <v>1305</v>
      </c>
      <c r="HTG32" t="s">
        <v>251</v>
      </c>
      <c r="HTH32" t="s">
        <v>1305</v>
      </c>
      <c r="HTI32" t="s">
        <v>251</v>
      </c>
      <c r="HTJ32" t="s">
        <v>1305</v>
      </c>
      <c r="HTK32" t="s">
        <v>251</v>
      </c>
      <c r="HTL32" t="s">
        <v>1305</v>
      </c>
      <c r="HTM32" t="s">
        <v>251</v>
      </c>
      <c r="HTN32" t="s">
        <v>1305</v>
      </c>
      <c r="HTO32" t="s">
        <v>251</v>
      </c>
      <c r="HTP32" t="s">
        <v>1305</v>
      </c>
      <c r="HTQ32" t="s">
        <v>251</v>
      </c>
      <c r="HTR32" t="s">
        <v>1305</v>
      </c>
      <c r="HTS32" t="s">
        <v>251</v>
      </c>
      <c r="HTT32" t="s">
        <v>1305</v>
      </c>
      <c r="HTU32" t="s">
        <v>251</v>
      </c>
      <c r="HTV32" t="s">
        <v>1305</v>
      </c>
      <c r="HTW32" t="s">
        <v>251</v>
      </c>
      <c r="HTX32" t="s">
        <v>1305</v>
      </c>
      <c r="HTY32" t="s">
        <v>251</v>
      </c>
      <c r="HTZ32" t="s">
        <v>1305</v>
      </c>
      <c r="HUA32" t="s">
        <v>251</v>
      </c>
      <c r="HUB32" t="s">
        <v>1305</v>
      </c>
      <c r="HUC32" t="s">
        <v>251</v>
      </c>
      <c r="HUD32" t="s">
        <v>1305</v>
      </c>
      <c r="HUE32" t="s">
        <v>251</v>
      </c>
      <c r="HUF32" t="s">
        <v>1305</v>
      </c>
      <c r="HUG32" t="s">
        <v>251</v>
      </c>
      <c r="HUH32" t="s">
        <v>1305</v>
      </c>
      <c r="HUI32" t="s">
        <v>251</v>
      </c>
      <c r="HUJ32" t="s">
        <v>1305</v>
      </c>
      <c r="HUK32" t="s">
        <v>251</v>
      </c>
      <c r="HUL32" t="s">
        <v>1305</v>
      </c>
      <c r="HUM32" t="s">
        <v>251</v>
      </c>
      <c r="HUN32" t="s">
        <v>1305</v>
      </c>
      <c r="HUO32" t="s">
        <v>251</v>
      </c>
      <c r="HUP32" t="s">
        <v>1305</v>
      </c>
      <c r="HUQ32" t="s">
        <v>251</v>
      </c>
      <c r="HUR32" t="s">
        <v>1305</v>
      </c>
      <c r="HUS32" t="s">
        <v>251</v>
      </c>
      <c r="HUT32" t="s">
        <v>1305</v>
      </c>
      <c r="HUU32" t="s">
        <v>251</v>
      </c>
      <c r="HUV32" t="s">
        <v>1305</v>
      </c>
      <c r="HUW32" t="s">
        <v>251</v>
      </c>
      <c r="HUX32" t="s">
        <v>1305</v>
      </c>
      <c r="HUY32" t="s">
        <v>251</v>
      </c>
      <c r="HUZ32" t="s">
        <v>1305</v>
      </c>
      <c r="HVA32" t="s">
        <v>251</v>
      </c>
      <c r="HVB32" t="s">
        <v>1305</v>
      </c>
      <c r="HVC32" t="s">
        <v>251</v>
      </c>
      <c r="HVD32" t="s">
        <v>1305</v>
      </c>
      <c r="HVE32" t="s">
        <v>251</v>
      </c>
      <c r="HVF32" t="s">
        <v>1305</v>
      </c>
      <c r="HVG32" t="s">
        <v>251</v>
      </c>
      <c r="HVH32" t="s">
        <v>1305</v>
      </c>
      <c r="HVI32" t="s">
        <v>251</v>
      </c>
      <c r="HVJ32" t="s">
        <v>1305</v>
      </c>
      <c r="HVK32" t="s">
        <v>251</v>
      </c>
      <c r="HVL32" t="s">
        <v>1305</v>
      </c>
      <c r="HVM32" t="s">
        <v>251</v>
      </c>
      <c r="HVN32" t="s">
        <v>1305</v>
      </c>
      <c r="HVO32" t="s">
        <v>251</v>
      </c>
      <c r="HVP32" t="s">
        <v>1305</v>
      </c>
      <c r="HVQ32" t="s">
        <v>251</v>
      </c>
      <c r="HVR32" t="s">
        <v>1305</v>
      </c>
      <c r="HVS32" t="s">
        <v>251</v>
      </c>
      <c r="HVT32" t="s">
        <v>1305</v>
      </c>
      <c r="HVU32" t="s">
        <v>251</v>
      </c>
      <c r="HVV32" t="s">
        <v>1305</v>
      </c>
      <c r="HVW32" t="s">
        <v>251</v>
      </c>
      <c r="HVX32" t="s">
        <v>1305</v>
      </c>
      <c r="HVY32" t="s">
        <v>251</v>
      </c>
      <c r="HVZ32" t="s">
        <v>1305</v>
      </c>
      <c r="HWA32" t="s">
        <v>251</v>
      </c>
      <c r="HWB32" t="s">
        <v>1305</v>
      </c>
      <c r="HWC32" t="s">
        <v>251</v>
      </c>
      <c r="HWD32" t="s">
        <v>1305</v>
      </c>
      <c r="HWE32" t="s">
        <v>251</v>
      </c>
      <c r="HWF32" t="s">
        <v>1305</v>
      </c>
      <c r="HWG32" t="s">
        <v>251</v>
      </c>
      <c r="HWH32" t="s">
        <v>1305</v>
      </c>
      <c r="HWI32" t="s">
        <v>251</v>
      </c>
      <c r="HWJ32" t="s">
        <v>1305</v>
      </c>
      <c r="HWK32" t="s">
        <v>251</v>
      </c>
      <c r="HWL32" t="s">
        <v>1305</v>
      </c>
      <c r="HWM32" t="s">
        <v>251</v>
      </c>
      <c r="HWN32" t="s">
        <v>1305</v>
      </c>
      <c r="HWO32" t="s">
        <v>251</v>
      </c>
      <c r="HWP32" t="s">
        <v>1305</v>
      </c>
      <c r="HWQ32" t="s">
        <v>251</v>
      </c>
      <c r="HWR32" t="s">
        <v>1305</v>
      </c>
      <c r="HWS32" t="s">
        <v>251</v>
      </c>
      <c r="HWT32" t="s">
        <v>1305</v>
      </c>
      <c r="HWU32" t="s">
        <v>251</v>
      </c>
      <c r="HWV32" t="s">
        <v>1305</v>
      </c>
      <c r="HWW32" t="s">
        <v>251</v>
      </c>
      <c r="HWX32" t="s">
        <v>1305</v>
      </c>
      <c r="HWY32" t="s">
        <v>251</v>
      </c>
      <c r="HWZ32" t="s">
        <v>1305</v>
      </c>
      <c r="HXA32" t="s">
        <v>251</v>
      </c>
      <c r="HXB32" t="s">
        <v>1305</v>
      </c>
      <c r="HXC32" t="s">
        <v>251</v>
      </c>
      <c r="HXD32" t="s">
        <v>1305</v>
      </c>
      <c r="HXE32" t="s">
        <v>251</v>
      </c>
      <c r="HXF32" t="s">
        <v>1305</v>
      </c>
      <c r="HXG32" t="s">
        <v>251</v>
      </c>
      <c r="HXH32" t="s">
        <v>1305</v>
      </c>
      <c r="HXI32" t="s">
        <v>251</v>
      </c>
      <c r="HXJ32" t="s">
        <v>1305</v>
      </c>
      <c r="HXK32" t="s">
        <v>251</v>
      </c>
      <c r="HXL32" t="s">
        <v>1305</v>
      </c>
      <c r="HXM32" t="s">
        <v>251</v>
      </c>
      <c r="HXN32" t="s">
        <v>1305</v>
      </c>
      <c r="HXO32" t="s">
        <v>251</v>
      </c>
      <c r="HXP32" t="s">
        <v>1305</v>
      </c>
      <c r="HXQ32" t="s">
        <v>251</v>
      </c>
      <c r="HXR32" t="s">
        <v>1305</v>
      </c>
      <c r="HXS32" t="s">
        <v>251</v>
      </c>
      <c r="HXT32" t="s">
        <v>1305</v>
      </c>
      <c r="HXU32" t="s">
        <v>251</v>
      </c>
      <c r="HXV32" t="s">
        <v>1305</v>
      </c>
      <c r="HXW32" t="s">
        <v>251</v>
      </c>
      <c r="HXX32" t="s">
        <v>1305</v>
      </c>
      <c r="HXY32" t="s">
        <v>251</v>
      </c>
      <c r="HXZ32" t="s">
        <v>1305</v>
      </c>
      <c r="HYA32" t="s">
        <v>251</v>
      </c>
      <c r="HYB32" t="s">
        <v>1305</v>
      </c>
      <c r="HYC32" t="s">
        <v>251</v>
      </c>
      <c r="HYD32" t="s">
        <v>1305</v>
      </c>
      <c r="HYE32" t="s">
        <v>251</v>
      </c>
      <c r="HYF32" t="s">
        <v>1305</v>
      </c>
      <c r="HYG32" t="s">
        <v>251</v>
      </c>
      <c r="HYH32" t="s">
        <v>1305</v>
      </c>
      <c r="HYI32" t="s">
        <v>251</v>
      </c>
      <c r="HYJ32" t="s">
        <v>1305</v>
      </c>
      <c r="HYK32" t="s">
        <v>251</v>
      </c>
      <c r="HYL32" t="s">
        <v>1305</v>
      </c>
      <c r="HYM32" t="s">
        <v>251</v>
      </c>
      <c r="HYN32" t="s">
        <v>1305</v>
      </c>
      <c r="HYO32" t="s">
        <v>251</v>
      </c>
      <c r="HYP32" t="s">
        <v>1305</v>
      </c>
      <c r="HYQ32" t="s">
        <v>251</v>
      </c>
      <c r="HYR32" t="s">
        <v>1305</v>
      </c>
      <c r="HYS32" t="s">
        <v>251</v>
      </c>
      <c r="HYT32" t="s">
        <v>1305</v>
      </c>
      <c r="HYU32" t="s">
        <v>251</v>
      </c>
      <c r="HYV32" t="s">
        <v>1305</v>
      </c>
      <c r="HYW32" t="s">
        <v>251</v>
      </c>
      <c r="HYX32" t="s">
        <v>1305</v>
      </c>
      <c r="HYY32" t="s">
        <v>251</v>
      </c>
      <c r="HYZ32" t="s">
        <v>1305</v>
      </c>
      <c r="HZA32" t="s">
        <v>251</v>
      </c>
      <c r="HZB32" t="s">
        <v>1305</v>
      </c>
      <c r="HZC32" t="s">
        <v>251</v>
      </c>
      <c r="HZD32" t="s">
        <v>1305</v>
      </c>
      <c r="HZE32" t="s">
        <v>251</v>
      </c>
      <c r="HZF32" t="s">
        <v>1305</v>
      </c>
      <c r="HZG32" t="s">
        <v>251</v>
      </c>
      <c r="HZH32" t="s">
        <v>1305</v>
      </c>
      <c r="HZI32" t="s">
        <v>251</v>
      </c>
      <c r="HZJ32" t="s">
        <v>1305</v>
      </c>
      <c r="HZK32" t="s">
        <v>251</v>
      </c>
      <c r="HZL32" t="s">
        <v>1305</v>
      </c>
      <c r="HZM32" t="s">
        <v>251</v>
      </c>
      <c r="HZN32" t="s">
        <v>1305</v>
      </c>
      <c r="HZO32" t="s">
        <v>251</v>
      </c>
      <c r="HZP32" t="s">
        <v>1305</v>
      </c>
      <c r="HZQ32" t="s">
        <v>251</v>
      </c>
      <c r="HZR32" t="s">
        <v>1305</v>
      </c>
      <c r="HZS32" t="s">
        <v>251</v>
      </c>
      <c r="HZT32" t="s">
        <v>1305</v>
      </c>
      <c r="HZU32" t="s">
        <v>251</v>
      </c>
      <c r="HZV32" t="s">
        <v>1305</v>
      </c>
      <c r="HZW32" t="s">
        <v>251</v>
      </c>
      <c r="HZX32" t="s">
        <v>1305</v>
      </c>
      <c r="HZY32" t="s">
        <v>251</v>
      </c>
      <c r="HZZ32" t="s">
        <v>1305</v>
      </c>
      <c r="IAA32" t="s">
        <v>251</v>
      </c>
      <c r="IAB32" t="s">
        <v>1305</v>
      </c>
      <c r="IAC32" t="s">
        <v>251</v>
      </c>
      <c r="IAD32" t="s">
        <v>1305</v>
      </c>
      <c r="IAE32" t="s">
        <v>251</v>
      </c>
      <c r="IAF32" t="s">
        <v>1305</v>
      </c>
      <c r="IAG32" t="s">
        <v>251</v>
      </c>
      <c r="IAH32" t="s">
        <v>1305</v>
      </c>
      <c r="IAI32" t="s">
        <v>251</v>
      </c>
      <c r="IAJ32" t="s">
        <v>1305</v>
      </c>
      <c r="IAK32" t="s">
        <v>251</v>
      </c>
      <c r="IAL32" t="s">
        <v>1305</v>
      </c>
      <c r="IAM32" t="s">
        <v>251</v>
      </c>
      <c r="IAN32" t="s">
        <v>1305</v>
      </c>
      <c r="IAO32" t="s">
        <v>251</v>
      </c>
      <c r="IAP32" t="s">
        <v>1305</v>
      </c>
      <c r="IAQ32" t="s">
        <v>251</v>
      </c>
      <c r="IAR32" t="s">
        <v>1305</v>
      </c>
      <c r="IAS32" t="s">
        <v>251</v>
      </c>
      <c r="IAT32" t="s">
        <v>1305</v>
      </c>
      <c r="IAU32" t="s">
        <v>251</v>
      </c>
      <c r="IAV32" t="s">
        <v>1305</v>
      </c>
      <c r="IAW32" t="s">
        <v>251</v>
      </c>
      <c r="IAX32" t="s">
        <v>1305</v>
      </c>
      <c r="IAY32" t="s">
        <v>251</v>
      </c>
      <c r="IAZ32" t="s">
        <v>1305</v>
      </c>
      <c r="IBA32" t="s">
        <v>251</v>
      </c>
      <c r="IBB32" t="s">
        <v>1305</v>
      </c>
      <c r="IBC32" t="s">
        <v>251</v>
      </c>
      <c r="IBD32" t="s">
        <v>1305</v>
      </c>
      <c r="IBE32" t="s">
        <v>251</v>
      </c>
      <c r="IBF32" t="s">
        <v>1305</v>
      </c>
      <c r="IBG32" t="s">
        <v>251</v>
      </c>
      <c r="IBH32" t="s">
        <v>1305</v>
      </c>
      <c r="IBI32" t="s">
        <v>251</v>
      </c>
      <c r="IBJ32" t="s">
        <v>1305</v>
      </c>
      <c r="IBK32" t="s">
        <v>251</v>
      </c>
      <c r="IBL32" t="s">
        <v>1305</v>
      </c>
      <c r="IBM32" t="s">
        <v>251</v>
      </c>
      <c r="IBN32" t="s">
        <v>1305</v>
      </c>
      <c r="IBO32" t="s">
        <v>251</v>
      </c>
      <c r="IBP32" t="s">
        <v>1305</v>
      </c>
      <c r="IBQ32" t="s">
        <v>251</v>
      </c>
      <c r="IBR32" t="s">
        <v>1305</v>
      </c>
      <c r="IBS32" t="s">
        <v>251</v>
      </c>
      <c r="IBT32" t="s">
        <v>1305</v>
      </c>
      <c r="IBU32" t="s">
        <v>251</v>
      </c>
      <c r="IBV32" t="s">
        <v>1305</v>
      </c>
      <c r="IBW32" t="s">
        <v>251</v>
      </c>
      <c r="IBX32" t="s">
        <v>1305</v>
      </c>
      <c r="IBY32" t="s">
        <v>251</v>
      </c>
      <c r="IBZ32" t="s">
        <v>1305</v>
      </c>
      <c r="ICA32" t="s">
        <v>251</v>
      </c>
      <c r="ICB32" t="s">
        <v>1305</v>
      </c>
      <c r="ICC32" t="s">
        <v>251</v>
      </c>
      <c r="ICD32" t="s">
        <v>1305</v>
      </c>
      <c r="ICE32" t="s">
        <v>251</v>
      </c>
      <c r="ICF32" t="s">
        <v>1305</v>
      </c>
      <c r="ICG32" t="s">
        <v>251</v>
      </c>
      <c r="ICH32" t="s">
        <v>1305</v>
      </c>
      <c r="ICI32" t="s">
        <v>251</v>
      </c>
      <c r="ICJ32" t="s">
        <v>1305</v>
      </c>
      <c r="ICK32" t="s">
        <v>251</v>
      </c>
      <c r="ICL32" t="s">
        <v>1305</v>
      </c>
      <c r="ICM32" t="s">
        <v>251</v>
      </c>
      <c r="ICN32" t="s">
        <v>1305</v>
      </c>
      <c r="ICO32" t="s">
        <v>251</v>
      </c>
      <c r="ICP32" t="s">
        <v>1305</v>
      </c>
      <c r="ICQ32" t="s">
        <v>251</v>
      </c>
      <c r="ICR32" t="s">
        <v>1305</v>
      </c>
      <c r="ICS32" t="s">
        <v>251</v>
      </c>
      <c r="ICT32" t="s">
        <v>1305</v>
      </c>
      <c r="ICU32" t="s">
        <v>251</v>
      </c>
      <c r="ICV32" t="s">
        <v>1305</v>
      </c>
      <c r="ICW32" t="s">
        <v>251</v>
      </c>
      <c r="ICX32" t="s">
        <v>1305</v>
      </c>
      <c r="ICY32" t="s">
        <v>251</v>
      </c>
      <c r="ICZ32" t="s">
        <v>1305</v>
      </c>
      <c r="IDA32" t="s">
        <v>251</v>
      </c>
      <c r="IDB32" t="s">
        <v>1305</v>
      </c>
      <c r="IDC32" t="s">
        <v>251</v>
      </c>
      <c r="IDD32" t="s">
        <v>1305</v>
      </c>
      <c r="IDE32" t="s">
        <v>251</v>
      </c>
      <c r="IDF32" t="s">
        <v>1305</v>
      </c>
      <c r="IDG32" t="s">
        <v>251</v>
      </c>
      <c r="IDH32" t="s">
        <v>1305</v>
      </c>
      <c r="IDI32" t="s">
        <v>251</v>
      </c>
      <c r="IDJ32" t="s">
        <v>1305</v>
      </c>
      <c r="IDK32" t="s">
        <v>251</v>
      </c>
      <c r="IDL32" t="s">
        <v>1305</v>
      </c>
      <c r="IDM32" t="s">
        <v>251</v>
      </c>
      <c r="IDN32" t="s">
        <v>1305</v>
      </c>
      <c r="IDO32" t="s">
        <v>251</v>
      </c>
      <c r="IDP32" t="s">
        <v>1305</v>
      </c>
      <c r="IDQ32" t="s">
        <v>251</v>
      </c>
      <c r="IDR32" t="s">
        <v>1305</v>
      </c>
      <c r="IDS32" t="s">
        <v>251</v>
      </c>
      <c r="IDT32" t="s">
        <v>1305</v>
      </c>
      <c r="IDU32" t="s">
        <v>251</v>
      </c>
      <c r="IDV32" t="s">
        <v>1305</v>
      </c>
      <c r="IDW32" t="s">
        <v>251</v>
      </c>
      <c r="IDX32" t="s">
        <v>1305</v>
      </c>
      <c r="IDY32" t="s">
        <v>251</v>
      </c>
      <c r="IDZ32" t="s">
        <v>1305</v>
      </c>
      <c r="IEA32" t="s">
        <v>251</v>
      </c>
      <c r="IEB32" t="s">
        <v>1305</v>
      </c>
      <c r="IEC32" t="s">
        <v>251</v>
      </c>
      <c r="IED32" t="s">
        <v>1305</v>
      </c>
      <c r="IEE32" t="s">
        <v>251</v>
      </c>
      <c r="IEF32" t="s">
        <v>1305</v>
      </c>
      <c r="IEG32" t="s">
        <v>251</v>
      </c>
      <c r="IEH32" t="s">
        <v>1305</v>
      </c>
      <c r="IEI32" t="s">
        <v>251</v>
      </c>
      <c r="IEJ32" t="s">
        <v>1305</v>
      </c>
      <c r="IEK32" t="s">
        <v>251</v>
      </c>
      <c r="IEL32" t="s">
        <v>1305</v>
      </c>
      <c r="IEM32" t="s">
        <v>251</v>
      </c>
      <c r="IEN32" t="s">
        <v>1305</v>
      </c>
      <c r="IEO32" t="s">
        <v>251</v>
      </c>
      <c r="IEP32" t="s">
        <v>1305</v>
      </c>
      <c r="IEQ32" t="s">
        <v>251</v>
      </c>
      <c r="IER32" t="s">
        <v>1305</v>
      </c>
      <c r="IES32" t="s">
        <v>251</v>
      </c>
      <c r="IET32" t="s">
        <v>1305</v>
      </c>
      <c r="IEU32" t="s">
        <v>251</v>
      </c>
      <c r="IEV32" t="s">
        <v>1305</v>
      </c>
      <c r="IEW32" t="s">
        <v>251</v>
      </c>
      <c r="IEX32" t="s">
        <v>1305</v>
      </c>
      <c r="IEY32" t="s">
        <v>251</v>
      </c>
      <c r="IEZ32" t="s">
        <v>1305</v>
      </c>
      <c r="IFA32" t="s">
        <v>251</v>
      </c>
      <c r="IFB32" t="s">
        <v>1305</v>
      </c>
      <c r="IFC32" t="s">
        <v>251</v>
      </c>
      <c r="IFD32" t="s">
        <v>1305</v>
      </c>
      <c r="IFE32" t="s">
        <v>251</v>
      </c>
      <c r="IFF32" t="s">
        <v>1305</v>
      </c>
      <c r="IFG32" t="s">
        <v>251</v>
      </c>
      <c r="IFH32" t="s">
        <v>1305</v>
      </c>
      <c r="IFI32" t="s">
        <v>251</v>
      </c>
      <c r="IFJ32" t="s">
        <v>1305</v>
      </c>
      <c r="IFK32" t="s">
        <v>251</v>
      </c>
      <c r="IFL32" t="s">
        <v>1305</v>
      </c>
      <c r="IFM32" t="s">
        <v>251</v>
      </c>
      <c r="IFN32" t="s">
        <v>1305</v>
      </c>
      <c r="IFO32" t="s">
        <v>251</v>
      </c>
      <c r="IFP32" t="s">
        <v>1305</v>
      </c>
      <c r="IFQ32" t="s">
        <v>251</v>
      </c>
      <c r="IFR32" t="s">
        <v>1305</v>
      </c>
      <c r="IFS32" t="s">
        <v>251</v>
      </c>
      <c r="IFT32" t="s">
        <v>1305</v>
      </c>
      <c r="IFU32" t="s">
        <v>251</v>
      </c>
      <c r="IFV32" t="s">
        <v>1305</v>
      </c>
      <c r="IFW32" t="s">
        <v>251</v>
      </c>
      <c r="IFX32" t="s">
        <v>1305</v>
      </c>
      <c r="IFY32" t="s">
        <v>251</v>
      </c>
      <c r="IFZ32" t="s">
        <v>1305</v>
      </c>
      <c r="IGA32" t="s">
        <v>251</v>
      </c>
      <c r="IGB32" t="s">
        <v>1305</v>
      </c>
      <c r="IGC32" t="s">
        <v>251</v>
      </c>
      <c r="IGD32" t="s">
        <v>1305</v>
      </c>
      <c r="IGE32" t="s">
        <v>251</v>
      </c>
      <c r="IGF32" t="s">
        <v>1305</v>
      </c>
      <c r="IGG32" t="s">
        <v>251</v>
      </c>
      <c r="IGH32" t="s">
        <v>1305</v>
      </c>
      <c r="IGI32" t="s">
        <v>251</v>
      </c>
      <c r="IGJ32" t="s">
        <v>1305</v>
      </c>
      <c r="IGK32" t="s">
        <v>251</v>
      </c>
      <c r="IGL32" t="s">
        <v>1305</v>
      </c>
      <c r="IGM32" t="s">
        <v>251</v>
      </c>
      <c r="IGN32" t="s">
        <v>1305</v>
      </c>
      <c r="IGO32" t="s">
        <v>251</v>
      </c>
      <c r="IGP32" t="s">
        <v>1305</v>
      </c>
      <c r="IGQ32" t="s">
        <v>251</v>
      </c>
      <c r="IGR32" t="s">
        <v>1305</v>
      </c>
      <c r="IGS32" t="s">
        <v>251</v>
      </c>
      <c r="IGT32" t="s">
        <v>1305</v>
      </c>
      <c r="IGU32" t="s">
        <v>251</v>
      </c>
      <c r="IGV32" t="s">
        <v>1305</v>
      </c>
      <c r="IGW32" t="s">
        <v>251</v>
      </c>
      <c r="IGX32" t="s">
        <v>1305</v>
      </c>
      <c r="IGY32" t="s">
        <v>251</v>
      </c>
      <c r="IGZ32" t="s">
        <v>1305</v>
      </c>
      <c r="IHA32" t="s">
        <v>251</v>
      </c>
      <c r="IHB32" t="s">
        <v>1305</v>
      </c>
      <c r="IHC32" t="s">
        <v>251</v>
      </c>
      <c r="IHD32" t="s">
        <v>1305</v>
      </c>
      <c r="IHE32" t="s">
        <v>251</v>
      </c>
      <c r="IHF32" t="s">
        <v>1305</v>
      </c>
      <c r="IHG32" t="s">
        <v>251</v>
      </c>
      <c r="IHH32" t="s">
        <v>1305</v>
      </c>
      <c r="IHI32" t="s">
        <v>251</v>
      </c>
      <c r="IHJ32" t="s">
        <v>1305</v>
      </c>
      <c r="IHK32" t="s">
        <v>251</v>
      </c>
      <c r="IHL32" t="s">
        <v>1305</v>
      </c>
      <c r="IHM32" t="s">
        <v>251</v>
      </c>
      <c r="IHN32" t="s">
        <v>1305</v>
      </c>
      <c r="IHO32" t="s">
        <v>251</v>
      </c>
      <c r="IHP32" t="s">
        <v>1305</v>
      </c>
      <c r="IHQ32" t="s">
        <v>251</v>
      </c>
      <c r="IHR32" t="s">
        <v>1305</v>
      </c>
      <c r="IHS32" t="s">
        <v>251</v>
      </c>
      <c r="IHT32" t="s">
        <v>1305</v>
      </c>
      <c r="IHU32" t="s">
        <v>251</v>
      </c>
      <c r="IHV32" t="s">
        <v>1305</v>
      </c>
      <c r="IHW32" t="s">
        <v>251</v>
      </c>
      <c r="IHX32" t="s">
        <v>1305</v>
      </c>
      <c r="IHY32" t="s">
        <v>251</v>
      </c>
      <c r="IHZ32" t="s">
        <v>1305</v>
      </c>
      <c r="IIA32" t="s">
        <v>251</v>
      </c>
      <c r="IIB32" t="s">
        <v>1305</v>
      </c>
      <c r="IIC32" t="s">
        <v>251</v>
      </c>
      <c r="IID32" t="s">
        <v>1305</v>
      </c>
      <c r="IIE32" t="s">
        <v>251</v>
      </c>
      <c r="IIF32" t="s">
        <v>1305</v>
      </c>
      <c r="IIG32" t="s">
        <v>251</v>
      </c>
      <c r="IIH32" t="s">
        <v>1305</v>
      </c>
      <c r="III32" t="s">
        <v>251</v>
      </c>
      <c r="IIJ32" t="s">
        <v>1305</v>
      </c>
      <c r="IIK32" t="s">
        <v>251</v>
      </c>
      <c r="IIL32" t="s">
        <v>1305</v>
      </c>
      <c r="IIM32" t="s">
        <v>251</v>
      </c>
      <c r="IIN32" t="s">
        <v>1305</v>
      </c>
      <c r="IIO32" t="s">
        <v>251</v>
      </c>
      <c r="IIP32" t="s">
        <v>1305</v>
      </c>
      <c r="IIQ32" t="s">
        <v>251</v>
      </c>
      <c r="IIR32" t="s">
        <v>1305</v>
      </c>
      <c r="IIS32" t="s">
        <v>251</v>
      </c>
      <c r="IIT32" t="s">
        <v>1305</v>
      </c>
      <c r="IIU32" t="s">
        <v>251</v>
      </c>
      <c r="IIV32" t="s">
        <v>1305</v>
      </c>
      <c r="IIW32" t="s">
        <v>251</v>
      </c>
      <c r="IIX32" t="s">
        <v>1305</v>
      </c>
      <c r="IIY32" t="s">
        <v>251</v>
      </c>
      <c r="IIZ32" t="s">
        <v>1305</v>
      </c>
      <c r="IJA32" t="s">
        <v>251</v>
      </c>
      <c r="IJB32" t="s">
        <v>1305</v>
      </c>
      <c r="IJC32" t="s">
        <v>251</v>
      </c>
      <c r="IJD32" t="s">
        <v>1305</v>
      </c>
      <c r="IJE32" t="s">
        <v>251</v>
      </c>
      <c r="IJF32" t="s">
        <v>1305</v>
      </c>
      <c r="IJG32" t="s">
        <v>251</v>
      </c>
      <c r="IJH32" t="s">
        <v>1305</v>
      </c>
      <c r="IJI32" t="s">
        <v>251</v>
      </c>
      <c r="IJJ32" t="s">
        <v>1305</v>
      </c>
      <c r="IJK32" t="s">
        <v>251</v>
      </c>
      <c r="IJL32" t="s">
        <v>1305</v>
      </c>
      <c r="IJM32" t="s">
        <v>251</v>
      </c>
      <c r="IJN32" t="s">
        <v>1305</v>
      </c>
      <c r="IJO32" t="s">
        <v>251</v>
      </c>
      <c r="IJP32" t="s">
        <v>1305</v>
      </c>
      <c r="IJQ32" t="s">
        <v>251</v>
      </c>
      <c r="IJR32" t="s">
        <v>1305</v>
      </c>
      <c r="IJS32" t="s">
        <v>251</v>
      </c>
      <c r="IJT32" t="s">
        <v>1305</v>
      </c>
      <c r="IJU32" t="s">
        <v>251</v>
      </c>
      <c r="IJV32" t="s">
        <v>1305</v>
      </c>
      <c r="IJW32" t="s">
        <v>251</v>
      </c>
      <c r="IJX32" t="s">
        <v>1305</v>
      </c>
      <c r="IJY32" t="s">
        <v>251</v>
      </c>
      <c r="IJZ32" t="s">
        <v>1305</v>
      </c>
      <c r="IKA32" t="s">
        <v>251</v>
      </c>
      <c r="IKB32" t="s">
        <v>1305</v>
      </c>
      <c r="IKC32" t="s">
        <v>251</v>
      </c>
      <c r="IKD32" t="s">
        <v>1305</v>
      </c>
      <c r="IKE32" t="s">
        <v>251</v>
      </c>
      <c r="IKF32" t="s">
        <v>1305</v>
      </c>
      <c r="IKG32" t="s">
        <v>251</v>
      </c>
      <c r="IKH32" t="s">
        <v>1305</v>
      </c>
      <c r="IKI32" t="s">
        <v>251</v>
      </c>
      <c r="IKJ32" t="s">
        <v>1305</v>
      </c>
      <c r="IKK32" t="s">
        <v>251</v>
      </c>
      <c r="IKL32" t="s">
        <v>1305</v>
      </c>
      <c r="IKM32" t="s">
        <v>251</v>
      </c>
      <c r="IKN32" t="s">
        <v>1305</v>
      </c>
      <c r="IKO32" t="s">
        <v>251</v>
      </c>
      <c r="IKP32" t="s">
        <v>1305</v>
      </c>
      <c r="IKQ32" t="s">
        <v>251</v>
      </c>
      <c r="IKR32" t="s">
        <v>1305</v>
      </c>
      <c r="IKS32" t="s">
        <v>251</v>
      </c>
      <c r="IKT32" t="s">
        <v>1305</v>
      </c>
      <c r="IKU32" t="s">
        <v>251</v>
      </c>
      <c r="IKV32" t="s">
        <v>1305</v>
      </c>
      <c r="IKW32" t="s">
        <v>251</v>
      </c>
      <c r="IKX32" t="s">
        <v>1305</v>
      </c>
      <c r="IKY32" t="s">
        <v>251</v>
      </c>
      <c r="IKZ32" t="s">
        <v>1305</v>
      </c>
      <c r="ILA32" t="s">
        <v>251</v>
      </c>
      <c r="ILB32" t="s">
        <v>1305</v>
      </c>
      <c r="ILC32" t="s">
        <v>251</v>
      </c>
      <c r="ILD32" t="s">
        <v>1305</v>
      </c>
      <c r="ILE32" t="s">
        <v>251</v>
      </c>
      <c r="ILF32" t="s">
        <v>1305</v>
      </c>
      <c r="ILG32" t="s">
        <v>251</v>
      </c>
      <c r="ILH32" t="s">
        <v>1305</v>
      </c>
      <c r="ILI32" t="s">
        <v>251</v>
      </c>
      <c r="ILJ32" t="s">
        <v>1305</v>
      </c>
      <c r="ILK32" t="s">
        <v>251</v>
      </c>
      <c r="ILL32" t="s">
        <v>1305</v>
      </c>
      <c r="ILM32" t="s">
        <v>251</v>
      </c>
      <c r="ILN32" t="s">
        <v>1305</v>
      </c>
      <c r="ILO32" t="s">
        <v>251</v>
      </c>
      <c r="ILP32" t="s">
        <v>1305</v>
      </c>
      <c r="ILQ32" t="s">
        <v>251</v>
      </c>
      <c r="ILR32" t="s">
        <v>1305</v>
      </c>
      <c r="ILS32" t="s">
        <v>251</v>
      </c>
      <c r="ILT32" t="s">
        <v>1305</v>
      </c>
      <c r="ILU32" t="s">
        <v>251</v>
      </c>
      <c r="ILV32" t="s">
        <v>1305</v>
      </c>
      <c r="ILW32" t="s">
        <v>251</v>
      </c>
      <c r="ILX32" t="s">
        <v>1305</v>
      </c>
      <c r="ILY32" t="s">
        <v>251</v>
      </c>
      <c r="ILZ32" t="s">
        <v>1305</v>
      </c>
      <c r="IMA32" t="s">
        <v>251</v>
      </c>
      <c r="IMB32" t="s">
        <v>1305</v>
      </c>
      <c r="IMC32" t="s">
        <v>251</v>
      </c>
      <c r="IMD32" t="s">
        <v>1305</v>
      </c>
      <c r="IME32" t="s">
        <v>251</v>
      </c>
      <c r="IMF32" t="s">
        <v>1305</v>
      </c>
      <c r="IMG32" t="s">
        <v>251</v>
      </c>
      <c r="IMH32" t="s">
        <v>1305</v>
      </c>
      <c r="IMI32" t="s">
        <v>251</v>
      </c>
      <c r="IMJ32" t="s">
        <v>1305</v>
      </c>
      <c r="IMK32" t="s">
        <v>251</v>
      </c>
      <c r="IML32" t="s">
        <v>1305</v>
      </c>
      <c r="IMM32" t="s">
        <v>251</v>
      </c>
      <c r="IMN32" t="s">
        <v>1305</v>
      </c>
      <c r="IMO32" t="s">
        <v>251</v>
      </c>
      <c r="IMP32" t="s">
        <v>1305</v>
      </c>
      <c r="IMQ32" t="s">
        <v>251</v>
      </c>
      <c r="IMR32" t="s">
        <v>1305</v>
      </c>
      <c r="IMS32" t="s">
        <v>251</v>
      </c>
      <c r="IMT32" t="s">
        <v>1305</v>
      </c>
      <c r="IMU32" t="s">
        <v>251</v>
      </c>
      <c r="IMV32" t="s">
        <v>1305</v>
      </c>
      <c r="IMW32" t="s">
        <v>251</v>
      </c>
      <c r="IMX32" t="s">
        <v>1305</v>
      </c>
      <c r="IMY32" t="s">
        <v>251</v>
      </c>
      <c r="IMZ32" t="s">
        <v>1305</v>
      </c>
      <c r="INA32" t="s">
        <v>251</v>
      </c>
      <c r="INB32" t="s">
        <v>1305</v>
      </c>
      <c r="INC32" t="s">
        <v>251</v>
      </c>
      <c r="IND32" t="s">
        <v>1305</v>
      </c>
      <c r="INE32" t="s">
        <v>251</v>
      </c>
      <c r="INF32" t="s">
        <v>1305</v>
      </c>
      <c r="ING32" t="s">
        <v>251</v>
      </c>
      <c r="INH32" t="s">
        <v>1305</v>
      </c>
      <c r="INI32" t="s">
        <v>251</v>
      </c>
      <c r="INJ32" t="s">
        <v>1305</v>
      </c>
      <c r="INK32" t="s">
        <v>251</v>
      </c>
      <c r="INL32" t="s">
        <v>1305</v>
      </c>
      <c r="INM32" t="s">
        <v>251</v>
      </c>
      <c r="INN32" t="s">
        <v>1305</v>
      </c>
      <c r="INO32" t="s">
        <v>251</v>
      </c>
      <c r="INP32" t="s">
        <v>1305</v>
      </c>
      <c r="INQ32" t="s">
        <v>251</v>
      </c>
      <c r="INR32" t="s">
        <v>1305</v>
      </c>
      <c r="INS32" t="s">
        <v>251</v>
      </c>
      <c r="INT32" t="s">
        <v>1305</v>
      </c>
      <c r="INU32" t="s">
        <v>251</v>
      </c>
      <c r="INV32" t="s">
        <v>1305</v>
      </c>
      <c r="INW32" t="s">
        <v>251</v>
      </c>
      <c r="INX32" t="s">
        <v>1305</v>
      </c>
      <c r="INY32" t="s">
        <v>251</v>
      </c>
      <c r="INZ32" t="s">
        <v>1305</v>
      </c>
      <c r="IOA32" t="s">
        <v>251</v>
      </c>
      <c r="IOB32" t="s">
        <v>1305</v>
      </c>
      <c r="IOC32" t="s">
        <v>251</v>
      </c>
      <c r="IOD32" t="s">
        <v>1305</v>
      </c>
      <c r="IOE32" t="s">
        <v>251</v>
      </c>
      <c r="IOF32" t="s">
        <v>1305</v>
      </c>
      <c r="IOG32" t="s">
        <v>251</v>
      </c>
      <c r="IOH32" t="s">
        <v>1305</v>
      </c>
      <c r="IOI32" t="s">
        <v>251</v>
      </c>
      <c r="IOJ32" t="s">
        <v>1305</v>
      </c>
      <c r="IOK32" t="s">
        <v>251</v>
      </c>
      <c r="IOL32" t="s">
        <v>1305</v>
      </c>
      <c r="IOM32" t="s">
        <v>251</v>
      </c>
      <c r="ION32" t="s">
        <v>1305</v>
      </c>
      <c r="IOO32" t="s">
        <v>251</v>
      </c>
      <c r="IOP32" t="s">
        <v>1305</v>
      </c>
      <c r="IOQ32" t="s">
        <v>251</v>
      </c>
      <c r="IOR32" t="s">
        <v>1305</v>
      </c>
      <c r="IOS32" t="s">
        <v>251</v>
      </c>
      <c r="IOT32" t="s">
        <v>1305</v>
      </c>
      <c r="IOU32" t="s">
        <v>251</v>
      </c>
      <c r="IOV32" t="s">
        <v>1305</v>
      </c>
      <c r="IOW32" t="s">
        <v>251</v>
      </c>
      <c r="IOX32" t="s">
        <v>1305</v>
      </c>
      <c r="IOY32" t="s">
        <v>251</v>
      </c>
      <c r="IOZ32" t="s">
        <v>1305</v>
      </c>
      <c r="IPA32" t="s">
        <v>251</v>
      </c>
      <c r="IPB32" t="s">
        <v>1305</v>
      </c>
      <c r="IPC32" t="s">
        <v>251</v>
      </c>
      <c r="IPD32" t="s">
        <v>1305</v>
      </c>
      <c r="IPE32" t="s">
        <v>251</v>
      </c>
      <c r="IPF32" t="s">
        <v>1305</v>
      </c>
      <c r="IPG32" t="s">
        <v>251</v>
      </c>
      <c r="IPH32" t="s">
        <v>1305</v>
      </c>
      <c r="IPI32" t="s">
        <v>251</v>
      </c>
      <c r="IPJ32" t="s">
        <v>1305</v>
      </c>
      <c r="IPK32" t="s">
        <v>251</v>
      </c>
      <c r="IPL32" t="s">
        <v>1305</v>
      </c>
      <c r="IPM32" t="s">
        <v>251</v>
      </c>
      <c r="IPN32" t="s">
        <v>1305</v>
      </c>
      <c r="IPO32" t="s">
        <v>251</v>
      </c>
      <c r="IPP32" t="s">
        <v>1305</v>
      </c>
      <c r="IPQ32" t="s">
        <v>251</v>
      </c>
      <c r="IPR32" t="s">
        <v>1305</v>
      </c>
      <c r="IPS32" t="s">
        <v>251</v>
      </c>
      <c r="IPT32" t="s">
        <v>1305</v>
      </c>
      <c r="IPU32" t="s">
        <v>251</v>
      </c>
      <c r="IPV32" t="s">
        <v>1305</v>
      </c>
      <c r="IPW32" t="s">
        <v>251</v>
      </c>
      <c r="IPX32" t="s">
        <v>1305</v>
      </c>
      <c r="IPY32" t="s">
        <v>251</v>
      </c>
      <c r="IPZ32" t="s">
        <v>1305</v>
      </c>
      <c r="IQA32" t="s">
        <v>251</v>
      </c>
      <c r="IQB32" t="s">
        <v>1305</v>
      </c>
      <c r="IQC32" t="s">
        <v>251</v>
      </c>
      <c r="IQD32" t="s">
        <v>1305</v>
      </c>
      <c r="IQE32" t="s">
        <v>251</v>
      </c>
      <c r="IQF32" t="s">
        <v>1305</v>
      </c>
      <c r="IQG32" t="s">
        <v>251</v>
      </c>
      <c r="IQH32" t="s">
        <v>1305</v>
      </c>
      <c r="IQI32" t="s">
        <v>251</v>
      </c>
      <c r="IQJ32" t="s">
        <v>1305</v>
      </c>
      <c r="IQK32" t="s">
        <v>251</v>
      </c>
      <c r="IQL32" t="s">
        <v>1305</v>
      </c>
      <c r="IQM32" t="s">
        <v>251</v>
      </c>
      <c r="IQN32" t="s">
        <v>1305</v>
      </c>
      <c r="IQO32" t="s">
        <v>251</v>
      </c>
      <c r="IQP32" t="s">
        <v>1305</v>
      </c>
      <c r="IQQ32" t="s">
        <v>251</v>
      </c>
      <c r="IQR32" t="s">
        <v>1305</v>
      </c>
      <c r="IQS32" t="s">
        <v>251</v>
      </c>
      <c r="IQT32" t="s">
        <v>1305</v>
      </c>
      <c r="IQU32" t="s">
        <v>251</v>
      </c>
      <c r="IQV32" t="s">
        <v>1305</v>
      </c>
      <c r="IQW32" t="s">
        <v>251</v>
      </c>
      <c r="IQX32" t="s">
        <v>1305</v>
      </c>
      <c r="IQY32" t="s">
        <v>251</v>
      </c>
      <c r="IQZ32" t="s">
        <v>1305</v>
      </c>
      <c r="IRA32" t="s">
        <v>251</v>
      </c>
      <c r="IRB32" t="s">
        <v>1305</v>
      </c>
      <c r="IRC32" t="s">
        <v>251</v>
      </c>
      <c r="IRD32" t="s">
        <v>1305</v>
      </c>
      <c r="IRE32" t="s">
        <v>251</v>
      </c>
      <c r="IRF32" t="s">
        <v>1305</v>
      </c>
      <c r="IRG32" t="s">
        <v>251</v>
      </c>
      <c r="IRH32" t="s">
        <v>1305</v>
      </c>
      <c r="IRI32" t="s">
        <v>251</v>
      </c>
      <c r="IRJ32" t="s">
        <v>1305</v>
      </c>
      <c r="IRK32" t="s">
        <v>251</v>
      </c>
      <c r="IRL32" t="s">
        <v>1305</v>
      </c>
      <c r="IRM32" t="s">
        <v>251</v>
      </c>
      <c r="IRN32" t="s">
        <v>1305</v>
      </c>
      <c r="IRO32" t="s">
        <v>251</v>
      </c>
      <c r="IRP32" t="s">
        <v>1305</v>
      </c>
      <c r="IRQ32" t="s">
        <v>251</v>
      </c>
      <c r="IRR32" t="s">
        <v>1305</v>
      </c>
      <c r="IRS32" t="s">
        <v>251</v>
      </c>
      <c r="IRT32" t="s">
        <v>1305</v>
      </c>
      <c r="IRU32" t="s">
        <v>251</v>
      </c>
      <c r="IRV32" t="s">
        <v>1305</v>
      </c>
      <c r="IRW32" t="s">
        <v>251</v>
      </c>
      <c r="IRX32" t="s">
        <v>1305</v>
      </c>
      <c r="IRY32" t="s">
        <v>251</v>
      </c>
      <c r="IRZ32" t="s">
        <v>1305</v>
      </c>
      <c r="ISA32" t="s">
        <v>251</v>
      </c>
      <c r="ISB32" t="s">
        <v>1305</v>
      </c>
      <c r="ISC32" t="s">
        <v>251</v>
      </c>
      <c r="ISD32" t="s">
        <v>1305</v>
      </c>
      <c r="ISE32" t="s">
        <v>251</v>
      </c>
      <c r="ISF32" t="s">
        <v>1305</v>
      </c>
      <c r="ISG32" t="s">
        <v>251</v>
      </c>
      <c r="ISH32" t="s">
        <v>1305</v>
      </c>
      <c r="ISI32" t="s">
        <v>251</v>
      </c>
      <c r="ISJ32" t="s">
        <v>1305</v>
      </c>
      <c r="ISK32" t="s">
        <v>251</v>
      </c>
      <c r="ISL32" t="s">
        <v>1305</v>
      </c>
      <c r="ISM32" t="s">
        <v>251</v>
      </c>
      <c r="ISN32" t="s">
        <v>1305</v>
      </c>
      <c r="ISO32" t="s">
        <v>251</v>
      </c>
      <c r="ISP32" t="s">
        <v>1305</v>
      </c>
      <c r="ISQ32" t="s">
        <v>251</v>
      </c>
      <c r="ISR32" t="s">
        <v>1305</v>
      </c>
      <c r="ISS32" t="s">
        <v>251</v>
      </c>
      <c r="IST32" t="s">
        <v>1305</v>
      </c>
      <c r="ISU32" t="s">
        <v>251</v>
      </c>
      <c r="ISV32" t="s">
        <v>1305</v>
      </c>
      <c r="ISW32" t="s">
        <v>251</v>
      </c>
      <c r="ISX32" t="s">
        <v>1305</v>
      </c>
      <c r="ISY32" t="s">
        <v>251</v>
      </c>
      <c r="ISZ32" t="s">
        <v>1305</v>
      </c>
      <c r="ITA32" t="s">
        <v>251</v>
      </c>
      <c r="ITB32" t="s">
        <v>1305</v>
      </c>
      <c r="ITC32" t="s">
        <v>251</v>
      </c>
      <c r="ITD32" t="s">
        <v>1305</v>
      </c>
      <c r="ITE32" t="s">
        <v>251</v>
      </c>
      <c r="ITF32" t="s">
        <v>1305</v>
      </c>
      <c r="ITG32" t="s">
        <v>251</v>
      </c>
      <c r="ITH32" t="s">
        <v>1305</v>
      </c>
      <c r="ITI32" t="s">
        <v>251</v>
      </c>
      <c r="ITJ32" t="s">
        <v>1305</v>
      </c>
      <c r="ITK32" t="s">
        <v>251</v>
      </c>
      <c r="ITL32" t="s">
        <v>1305</v>
      </c>
      <c r="ITM32" t="s">
        <v>251</v>
      </c>
      <c r="ITN32" t="s">
        <v>1305</v>
      </c>
      <c r="ITO32" t="s">
        <v>251</v>
      </c>
      <c r="ITP32" t="s">
        <v>1305</v>
      </c>
      <c r="ITQ32" t="s">
        <v>251</v>
      </c>
      <c r="ITR32" t="s">
        <v>1305</v>
      </c>
      <c r="ITS32" t="s">
        <v>251</v>
      </c>
      <c r="ITT32" t="s">
        <v>1305</v>
      </c>
      <c r="ITU32" t="s">
        <v>251</v>
      </c>
      <c r="ITV32" t="s">
        <v>1305</v>
      </c>
      <c r="ITW32" t="s">
        <v>251</v>
      </c>
      <c r="ITX32" t="s">
        <v>1305</v>
      </c>
      <c r="ITY32" t="s">
        <v>251</v>
      </c>
      <c r="ITZ32" t="s">
        <v>1305</v>
      </c>
      <c r="IUA32" t="s">
        <v>251</v>
      </c>
      <c r="IUB32" t="s">
        <v>1305</v>
      </c>
      <c r="IUC32" t="s">
        <v>251</v>
      </c>
      <c r="IUD32" t="s">
        <v>1305</v>
      </c>
      <c r="IUE32" t="s">
        <v>251</v>
      </c>
      <c r="IUF32" t="s">
        <v>1305</v>
      </c>
      <c r="IUG32" t="s">
        <v>251</v>
      </c>
      <c r="IUH32" t="s">
        <v>1305</v>
      </c>
      <c r="IUI32" t="s">
        <v>251</v>
      </c>
      <c r="IUJ32" t="s">
        <v>1305</v>
      </c>
      <c r="IUK32" t="s">
        <v>251</v>
      </c>
      <c r="IUL32" t="s">
        <v>1305</v>
      </c>
      <c r="IUM32" t="s">
        <v>251</v>
      </c>
      <c r="IUN32" t="s">
        <v>1305</v>
      </c>
      <c r="IUO32" t="s">
        <v>251</v>
      </c>
      <c r="IUP32" t="s">
        <v>1305</v>
      </c>
      <c r="IUQ32" t="s">
        <v>251</v>
      </c>
      <c r="IUR32" t="s">
        <v>1305</v>
      </c>
      <c r="IUS32" t="s">
        <v>251</v>
      </c>
      <c r="IUT32" t="s">
        <v>1305</v>
      </c>
      <c r="IUU32" t="s">
        <v>251</v>
      </c>
      <c r="IUV32" t="s">
        <v>1305</v>
      </c>
      <c r="IUW32" t="s">
        <v>251</v>
      </c>
      <c r="IUX32" t="s">
        <v>1305</v>
      </c>
      <c r="IUY32" t="s">
        <v>251</v>
      </c>
      <c r="IUZ32" t="s">
        <v>1305</v>
      </c>
      <c r="IVA32" t="s">
        <v>251</v>
      </c>
      <c r="IVB32" t="s">
        <v>1305</v>
      </c>
      <c r="IVC32" t="s">
        <v>251</v>
      </c>
      <c r="IVD32" t="s">
        <v>1305</v>
      </c>
      <c r="IVE32" t="s">
        <v>251</v>
      </c>
      <c r="IVF32" t="s">
        <v>1305</v>
      </c>
      <c r="IVG32" t="s">
        <v>251</v>
      </c>
      <c r="IVH32" t="s">
        <v>1305</v>
      </c>
      <c r="IVI32" t="s">
        <v>251</v>
      </c>
      <c r="IVJ32" t="s">
        <v>1305</v>
      </c>
      <c r="IVK32" t="s">
        <v>251</v>
      </c>
      <c r="IVL32" t="s">
        <v>1305</v>
      </c>
      <c r="IVM32" t="s">
        <v>251</v>
      </c>
      <c r="IVN32" t="s">
        <v>1305</v>
      </c>
      <c r="IVO32" t="s">
        <v>251</v>
      </c>
      <c r="IVP32" t="s">
        <v>1305</v>
      </c>
      <c r="IVQ32" t="s">
        <v>251</v>
      </c>
      <c r="IVR32" t="s">
        <v>1305</v>
      </c>
      <c r="IVS32" t="s">
        <v>251</v>
      </c>
      <c r="IVT32" t="s">
        <v>1305</v>
      </c>
      <c r="IVU32" t="s">
        <v>251</v>
      </c>
      <c r="IVV32" t="s">
        <v>1305</v>
      </c>
      <c r="IVW32" t="s">
        <v>251</v>
      </c>
      <c r="IVX32" t="s">
        <v>1305</v>
      </c>
      <c r="IVY32" t="s">
        <v>251</v>
      </c>
      <c r="IVZ32" t="s">
        <v>1305</v>
      </c>
      <c r="IWA32" t="s">
        <v>251</v>
      </c>
      <c r="IWB32" t="s">
        <v>1305</v>
      </c>
      <c r="IWC32" t="s">
        <v>251</v>
      </c>
      <c r="IWD32" t="s">
        <v>1305</v>
      </c>
      <c r="IWE32" t="s">
        <v>251</v>
      </c>
      <c r="IWF32" t="s">
        <v>1305</v>
      </c>
      <c r="IWG32" t="s">
        <v>251</v>
      </c>
      <c r="IWH32" t="s">
        <v>1305</v>
      </c>
      <c r="IWI32" t="s">
        <v>251</v>
      </c>
      <c r="IWJ32" t="s">
        <v>1305</v>
      </c>
      <c r="IWK32" t="s">
        <v>251</v>
      </c>
      <c r="IWL32" t="s">
        <v>1305</v>
      </c>
      <c r="IWM32" t="s">
        <v>251</v>
      </c>
      <c r="IWN32" t="s">
        <v>1305</v>
      </c>
      <c r="IWO32" t="s">
        <v>251</v>
      </c>
      <c r="IWP32" t="s">
        <v>1305</v>
      </c>
      <c r="IWQ32" t="s">
        <v>251</v>
      </c>
      <c r="IWR32" t="s">
        <v>1305</v>
      </c>
      <c r="IWS32" t="s">
        <v>251</v>
      </c>
      <c r="IWT32" t="s">
        <v>1305</v>
      </c>
      <c r="IWU32" t="s">
        <v>251</v>
      </c>
      <c r="IWV32" t="s">
        <v>1305</v>
      </c>
      <c r="IWW32" t="s">
        <v>251</v>
      </c>
      <c r="IWX32" t="s">
        <v>1305</v>
      </c>
      <c r="IWY32" t="s">
        <v>251</v>
      </c>
      <c r="IWZ32" t="s">
        <v>1305</v>
      </c>
      <c r="IXA32" t="s">
        <v>251</v>
      </c>
      <c r="IXB32" t="s">
        <v>1305</v>
      </c>
      <c r="IXC32" t="s">
        <v>251</v>
      </c>
      <c r="IXD32" t="s">
        <v>1305</v>
      </c>
      <c r="IXE32" t="s">
        <v>251</v>
      </c>
      <c r="IXF32" t="s">
        <v>1305</v>
      </c>
      <c r="IXG32" t="s">
        <v>251</v>
      </c>
      <c r="IXH32" t="s">
        <v>1305</v>
      </c>
      <c r="IXI32" t="s">
        <v>251</v>
      </c>
      <c r="IXJ32" t="s">
        <v>1305</v>
      </c>
      <c r="IXK32" t="s">
        <v>251</v>
      </c>
      <c r="IXL32" t="s">
        <v>1305</v>
      </c>
      <c r="IXM32" t="s">
        <v>251</v>
      </c>
      <c r="IXN32" t="s">
        <v>1305</v>
      </c>
      <c r="IXO32" t="s">
        <v>251</v>
      </c>
      <c r="IXP32" t="s">
        <v>1305</v>
      </c>
      <c r="IXQ32" t="s">
        <v>251</v>
      </c>
      <c r="IXR32" t="s">
        <v>1305</v>
      </c>
      <c r="IXS32" t="s">
        <v>251</v>
      </c>
      <c r="IXT32" t="s">
        <v>1305</v>
      </c>
      <c r="IXU32" t="s">
        <v>251</v>
      </c>
      <c r="IXV32" t="s">
        <v>1305</v>
      </c>
      <c r="IXW32" t="s">
        <v>251</v>
      </c>
      <c r="IXX32" t="s">
        <v>1305</v>
      </c>
      <c r="IXY32" t="s">
        <v>251</v>
      </c>
      <c r="IXZ32" t="s">
        <v>1305</v>
      </c>
      <c r="IYA32" t="s">
        <v>251</v>
      </c>
      <c r="IYB32" t="s">
        <v>1305</v>
      </c>
      <c r="IYC32" t="s">
        <v>251</v>
      </c>
      <c r="IYD32" t="s">
        <v>1305</v>
      </c>
      <c r="IYE32" t="s">
        <v>251</v>
      </c>
      <c r="IYF32" t="s">
        <v>1305</v>
      </c>
      <c r="IYG32" t="s">
        <v>251</v>
      </c>
      <c r="IYH32" t="s">
        <v>1305</v>
      </c>
      <c r="IYI32" t="s">
        <v>251</v>
      </c>
      <c r="IYJ32" t="s">
        <v>1305</v>
      </c>
      <c r="IYK32" t="s">
        <v>251</v>
      </c>
      <c r="IYL32" t="s">
        <v>1305</v>
      </c>
      <c r="IYM32" t="s">
        <v>251</v>
      </c>
      <c r="IYN32" t="s">
        <v>1305</v>
      </c>
      <c r="IYO32" t="s">
        <v>251</v>
      </c>
      <c r="IYP32" t="s">
        <v>1305</v>
      </c>
      <c r="IYQ32" t="s">
        <v>251</v>
      </c>
      <c r="IYR32" t="s">
        <v>1305</v>
      </c>
      <c r="IYS32" t="s">
        <v>251</v>
      </c>
      <c r="IYT32" t="s">
        <v>1305</v>
      </c>
      <c r="IYU32" t="s">
        <v>251</v>
      </c>
      <c r="IYV32" t="s">
        <v>1305</v>
      </c>
      <c r="IYW32" t="s">
        <v>251</v>
      </c>
      <c r="IYX32" t="s">
        <v>1305</v>
      </c>
      <c r="IYY32" t="s">
        <v>251</v>
      </c>
      <c r="IYZ32" t="s">
        <v>1305</v>
      </c>
      <c r="IZA32" t="s">
        <v>251</v>
      </c>
      <c r="IZB32" t="s">
        <v>1305</v>
      </c>
      <c r="IZC32" t="s">
        <v>251</v>
      </c>
      <c r="IZD32" t="s">
        <v>1305</v>
      </c>
      <c r="IZE32" t="s">
        <v>251</v>
      </c>
      <c r="IZF32" t="s">
        <v>1305</v>
      </c>
      <c r="IZG32" t="s">
        <v>251</v>
      </c>
      <c r="IZH32" t="s">
        <v>1305</v>
      </c>
      <c r="IZI32" t="s">
        <v>251</v>
      </c>
      <c r="IZJ32" t="s">
        <v>1305</v>
      </c>
      <c r="IZK32" t="s">
        <v>251</v>
      </c>
      <c r="IZL32" t="s">
        <v>1305</v>
      </c>
      <c r="IZM32" t="s">
        <v>251</v>
      </c>
      <c r="IZN32" t="s">
        <v>1305</v>
      </c>
      <c r="IZO32" t="s">
        <v>251</v>
      </c>
      <c r="IZP32" t="s">
        <v>1305</v>
      </c>
      <c r="IZQ32" t="s">
        <v>251</v>
      </c>
      <c r="IZR32" t="s">
        <v>1305</v>
      </c>
      <c r="IZS32" t="s">
        <v>251</v>
      </c>
      <c r="IZT32" t="s">
        <v>1305</v>
      </c>
      <c r="IZU32" t="s">
        <v>251</v>
      </c>
      <c r="IZV32" t="s">
        <v>1305</v>
      </c>
      <c r="IZW32" t="s">
        <v>251</v>
      </c>
      <c r="IZX32" t="s">
        <v>1305</v>
      </c>
      <c r="IZY32" t="s">
        <v>251</v>
      </c>
      <c r="IZZ32" t="s">
        <v>1305</v>
      </c>
      <c r="JAA32" t="s">
        <v>251</v>
      </c>
      <c r="JAB32" t="s">
        <v>1305</v>
      </c>
      <c r="JAC32" t="s">
        <v>251</v>
      </c>
      <c r="JAD32" t="s">
        <v>1305</v>
      </c>
      <c r="JAE32" t="s">
        <v>251</v>
      </c>
      <c r="JAF32" t="s">
        <v>1305</v>
      </c>
      <c r="JAG32" t="s">
        <v>251</v>
      </c>
      <c r="JAH32" t="s">
        <v>1305</v>
      </c>
      <c r="JAI32" t="s">
        <v>251</v>
      </c>
      <c r="JAJ32" t="s">
        <v>1305</v>
      </c>
      <c r="JAK32" t="s">
        <v>251</v>
      </c>
      <c r="JAL32" t="s">
        <v>1305</v>
      </c>
      <c r="JAM32" t="s">
        <v>251</v>
      </c>
      <c r="JAN32" t="s">
        <v>1305</v>
      </c>
      <c r="JAO32" t="s">
        <v>251</v>
      </c>
      <c r="JAP32" t="s">
        <v>1305</v>
      </c>
      <c r="JAQ32" t="s">
        <v>251</v>
      </c>
      <c r="JAR32" t="s">
        <v>1305</v>
      </c>
      <c r="JAS32" t="s">
        <v>251</v>
      </c>
      <c r="JAT32" t="s">
        <v>1305</v>
      </c>
      <c r="JAU32" t="s">
        <v>251</v>
      </c>
      <c r="JAV32" t="s">
        <v>1305</v>
      </c>
      <c r="JAW32" t="s">
        <v>251</v>
      </c>
      <c r="JAX32" t="s">
        <v>1305</v>
      </c>
      <c r="JAY32" t="s">
        <v>251</v>
      </c>
      <c r="JAZ32" t="s">
        <v>1305</v>
      </c>
      <c r="JBA32" t="s">
        <v>251</v>
      </c>
      <c r="JBB32" t="s">
        <v>1305</v>
      </c>
      <c r="JBC32" t="s">
        <v>251</v>
      </c>
      <c r="JBD32" t="s">
        <v>1305</v>
      </c>
      <c r="JBE32" t="s">
        <v>251</v>
      </c>
      <c r="JBF32" t="s">
        <v>1305</v>
      </c>
      <c r="JBG32" t="s">
        <v>251</v>
      </c>
      <c r="JBH32" t="s">
        <v>1305</v>
      </c>
      <c r="JBI32" t="s">
        <v>251</v>
      </c>
      <c r="JBJ32" t="s">
        <v>1305</v>
      </c>
      <c r="JBK32" t="s">
        <v>251</v>
      </c>
      <c r="JBL32" t="s">
        <v>1305</v>
      </c>
      <c r="JBM32" t="s">
        <v>251</v>
      </c>
      <c r="JBN32" t="s">
        <v>1305</v>
      </c>
      <c r="JBO32" t="s">
        <v>251</v>
      </c>
      <c r="JBP32" t="s">
        <v>1305</v>
      </c>
      <c r="JBQ32" t="s">
        <v>251</v>
      </c>
      <c r="JBR32" t="s">
        <v>1305</v>
      </c>
      <c r="JBS32" t="s">
        <v>251</v>
      </c>
      <c r="JBT32" t="s">
        <v>1305</v>
      </c>
      <c r="JBU32" t="s">
        <v>251</v>
      </c>
      <c r="JBV32" t="s">
        <v>1305</v>
      </c>
      <c r="JBW32" t="s">
        <v>251</v>
      </c>
      <c r="JBX32" t="s">
        <v>1305</v>
      </c>
      <c r="JBY32" t="s">
        <v>251</v>
      </c>
      <c r="JBZ32" t="s">
        <v>1305</v>
      </c>
      <c r="JCA32" t="s">
        <v>251</v>
      </c>
      <c r="JCB32" t="s">
        <v>1305</v>
      </c>
      <c r="JCC32" t="s">
        <v>251</v>
      </c>
      <c r="JCD32" t="s">
        <v>1305</v>
      </c>
      <c r="JCE32" t="s">
        <v>251</v>
      </c>
      <c r="JCF32" t="s">
        <v>1305</v>
      </c>
      <c r="JCG32" t="s">
        <v>251</v>
      </c>
      <c r="JCH32" t="s">
        <v>1305</v>
      </c>
      <c r="JCI32" t="s">
        <v>251</v>
      </c>
      <c r="JCJ32" t="s">
        <v>1305</v>
      </c>
      <c r="JCK32" t="s">
        <v>251</v>
      </c>
      <c r="JCL32" t="s">
        <v>1305</v>
      </c>
      <c r="JCM32" t="s">
        <v>251</v>
      </c>
      <c r="JCN32" t="s">
        <v>1305</v>
      </c>
      <c r="JCO32" t="s">
        <v>251</v>
      </c>
      <c r="JCP32" t="s">
        <v>1305</v>
      </c>
      <c r="JCQ32" t="s">
        <v>251</v>
      </c>
      <c r="JCR32" t="s">
        <v>1305</v>
      </c>
      <c r="JCS32" t="s">
        <v>251</v>
      </c>
      <c r="JCT32" t="s">
        <v>1305</v>
      </c>
      <c r="JCU32" t="s">
        <v>251</v>
      </c>
      <c r="JCV32" t="s">
        <v>1305</v>
      </c>
      <c r="JCW32" t="s">
        <v>251</v>
      </c>
      <c r="JCX32" t="s">
        <v>1305</v>
      </c>
      <c r="JCY32" t="s">
        <v>251</v>
      </c>
      <c r="JCZ32" t="s">
        <v>1305</v>
      </c>
      <c r="JDA32" t="s">
        <v>251</v>
      </c>
      <c r="JDB32" t="s">
        <v>1305</v>
      </c>
      <c r="JDC32" t="s">
        <v>251</v>
      </c>
      <c r="JDD32" t="s">
        <v>1305</v>
      </c>
      <c r="JDE32" t="s">
        <v>251</v>
      </c>
      <c r="JDF32" t="s">
        <v>1305</v>
      </c>
      <c r="JDG32" t="s">
        <v>251</v>
      </c>
      <c r="JDH32" t="s">
        <v>1305</v>
      </c>
      <c r="JDI32" t="s">
        <v>251</v>
      </c>
      <c r="JDJ32" t="s">
        <v>1305</v>
      </c>
      <c r="JDK32" t="s">
        <v>251</v>
      </c>
      <c r="JDL32" t="s">
        <v>1305</v>
      </c>
      <c r="JDM32" t="s">
        <v>251</v>
      </c>
      <c r="JDN32" t="s">
        <v>1305</v>
      </c>
      <c r="JDO32" t="s">
        <v>251</v>
      </c>
      <c r="JDP32" t="s">
        <v>1305</v>
      </c>
      <c r="JDQ32" t="s">
        <v>251</v>
      </c>
      <c r="JDR32" t="s">
        <v>1305</v>
      </c>
      <c r="JDS32" t="s">
        <v>251</v>
      </c>
      <c r="JDT32" t="s">
        <v>1305</v>
      </c>
      <c r="JDU32" t="s">
        <v>251</v>
      </c>
      <c r="JDV32" t="s">
        <v>1305</v>
      </c>
      <c r="JDW32" t="s">
        <v>251</v>
      </c>
      <c r="JDX32" t="s">
        <v>1305</v>
      </c>
      <c r="JDY32" t="s">
        <v>251</v>
      </c>
      <c r="JDZ32" t="s">
        <v>1305</v>
      </c>
      <c r="JEA32" t="s">
        <v>251</v>
      </c>
      <c r="JEB32" t="s">
        <v>1305</v>
      </c>
      <c r="JEC32" t="s">
        <v>251</v>
      </c>
      <c r="JED32" t="s">
        <v>1305</v>
      </c>
      <c r="JEE32" t="s">
        <v>251</v>
      </c>
      <c r="JEF32" t="s">
        <v>1305</v>
      </c>
      <c r="JEG32" t="s">
        <v>251</v>
      </c>
      <c r="JEH32" t="s">
        <v>1305</v>
      </c>
      <c r="JEI32" t="s">
        <v>251</v>
      </c>
      <c r="JEJ32" t="s">
        <v>1305</v>
      </c>
      <c r="JEK32" t="s">
        <v>251</v>
      </c>
      <c r="JEL32" t="s">
        <v>1305</v>
      </c>
      <c r="JEM32" t="s">
        <v>251</v>
      </c>
      <c r="JEN32" t="s">
        <v>1305</v>
      </c>
      <c r="JEO32" t="s">
        <v>251</v>
      </c>
      <c r="JEP32" t="s">
        <v>1305</v>
      </c>
      <c r="JEQ32" t="s">
        <v>251</v>
      </c>
      <c r="JER32" t="s">
        <v>1305</v>
      </c>
      <c r="JES32" t="s">
        <v>251</v>
      </c>
      <c r="JET32" t="s">
        <v>1305</v>
      </c>
      <c r="JEU32" t="s">
        <v>251</v>
      </c>
      <c r="JEV32" t="s">
        <v>1305</v>
      </c>
      <c r="JEW32" t="s">
        <v>251</v>
      </c>
      <c r="JEX32" t="s">
        <v>1305</v>
      </c>
      <c r="JEY32" t="s">
        <v>251</v>
      </c>
      <c r="JEZ32" t="s">
        <v>1305</v>
      </c>
      <c r="JFA32" t="s">
        <v>251</v>
      </c>
      <c r="JFB32" t="s">
        <v>1305</v>
      </c>
      <c r="JFC32" t="s">
        <v>251</v>
      </c>
      <c r="JFD32" t="s">
        <v>1305</v>
      </c>
      <c r="JFE32" t="s">
        <v>251</v>
      </c>
      <c r="JFF32" t="s">
        <v>1305</v>
      </c>
      <c r="JFG32" t="s">
        <v>251</v>
      </c>
      <c r="JFH32" t="s">
        <v>1305</v>
      </c>
      <c r="JFI32" t="s">
        <v>251</v>
      </c>
      <c r="JFJ32" t="s">
        <v>1305</v>
      </c>
      <c r="JFK32" t="s">
        <v>251</v>
      </c>
      <c r="JFL32" t="s">
        <v>1305</v>
      </c>
      <c r="JFM32" t="s">
        <v>251</v>
      </c>
      <c r="JFN32" t="s">
        <v>1305</v>
      </c>
      <c r="JFO32" t="s">
        <v>251</v>
      </c>
      <c r="JFP32" t="s">
        <v>1305</v>
      </c>
      <c r="JFQ32" t="s">
        <v>251</v>
      </c>
      <c r="JFR32" t="s">
        <v>1305</v>
      </c>
      <c r="JFS32" t="s">
        <v>251</v>
      </c>
      <c r="JFT32" t="s">
        <v>1305</v>
      </c>
      <c r="JFU32" t="s">
        <v>251</v>
      </c>
      <c r="JFV32" t="s">
        <v>1305</v>
      </c>
      <c r="JFW32" t="s">
        <v>251</v>
      </c>
      <c r="JFX32" t="s">
        <v>1305</v>
      </c>
      <c r="JFY32" t="s">
        <v>251</v>
      </c>
      <c r="JFZ32" t="s">
        <v>1305</v>
      </c>
      <c r="JGA32" t="s">
        <v>251</v>
      </c>
      <c r="JGB32" t="s">
        <v>1305</v>
      </c>
      <c r="JGC32" t="s">
        <v>251</v>
      </c>
      <c r="JGD32" t="s">
        <v>1305</v>
      </c>
      <c r="JGE32" t="s">
        <v>251</v>
      </c>
      <c r="JGF32" t="s">
        <v>1305</v>
      </c>
      <c r="JGG32" t="s">
        <v>251</v>
      </c>
      <c r="JGH32" t="s">
        <v>1305</v>
      </c>
      <c r="JGI32" t="s">
        <v>251</v>
      </c>
      <c r="JGJ32" t="s">
        <v>1305</v>
      </c>
      <c r="JGK32" t="s">
        <v>251</v>
      </c>
      <c r="JGL32" t="s">
        <v>1305</v>
      </c>
      <c r="JGM32" t="s">
        <v>251</v>
      </c>
      <c r="JGN32" t="s">
        <v>1305</v>
      </c>
      <c r="JGO32" t="s">
        <v>251</v>
      </c>
      <c r="JGP32" t="s">
        <v>1305</v>
      </c>
      <c r="JGQ32" t="s">
        <v>251</v>
      </c>
      <c r="JGR32" t="s">
        <v>1305</v>
      </c>
      <c r="JGS32" t="s">
        <v>251</v>
      </c>
      <c r="JGT32" t="s">
        <v>1305</v>
      </c>
      <c r="JGU32" t="s">
        <v>251</v>
      </c>
      <c r="JGV32" t="s">
        <v>1305</v>
      </c>
      <c r="JGW32" t="s">
        <v>251</v>
      </c>
      <c r="JGX32" t="s">
        <v>1305</v>
      </c>
      <c r="JGY32" t="s">
        <v>251</v>
      </c>
      <c r="JGZ32" t="s">
        <v>1305</v>
      </c>
      <c r="JHA32" t="s">
        <v>251</v>
      </c>
      <c r="JHB32" t="s">
        <v>1305</v>
      </c>
      <c r="JHC32" t="s">
        <v>251</v>
      </c>
      <c r="JHD32" t="s">
        <v>1305</v>
      </c>
      <c r="JHE32" t="s">
        <v>251</v>
      </c>
      <c r="JHF32" t="s">
        <v>1305</v>
      </c>
      <c r="JHG32" t="s">
        <v>251</v>
      </c>
      <c r="JHH32" t="s">
        <v>1305</v>
      </c>
      <c r="JHI32" t="s">
        <v>251</v>
      </c>
      <c r="JHJ32" t="s">
        <v>1305</v>
      </c>
      <c r="JHK32" t="s">
        <v>251</v>
      </c>
      <c r="JHL32" t="s">
        <v>1305</v>
      </c>
      <c r="JHM32" t="s">
        <v>251</v>
      </c>
      <c r="JHN32" t="s">
        <v>1305</v>
      </c>
      <c r="JHO32" t="s">
        <v>251</v>
      </c>
      <c r="JHP32" t="s">
        <v>1305</v>
      </c>
      <c r="JHQ32" t="s">
        <v>251</v>
      </c>
      <c r="JHR32" t="s">
        <v>1305</v>
      </c>
      <c r="JHS32" t="s">
        <v>251</v>
      </c>
      <c r="JHT32" t="s">
        <v>1305</v>
      </c>
      <c r="JHU32" t="s">
        <v>251</v>
      </c>
      <c r="JHV32" t="s">
        <v>1305</v>
      </c>
      <c r="JHW32" t="s">
        <v>251</v>
      </c>
      <c r="JHX32" t="s">
        <v>1305</v>
      </c>
      <c r="JHY32" t="s">
        <v>251</v>
      </c>
      <c r="JHZ32" t="s">
        <v>1305</v>
      </c>
      <c r="JIA32" t="s">
        <v>251</v>
      </c>
      <c r="JIB32" t="s">
        <v>1305</v>
      </c>
      <c r="JIC32" t="s">
        <v>251</v>
      </c>
      <c r="JID32" t="s">
        <v>1305</v>
      </c>
      <c r="JIE32" t="s">
        <v>251</v>
      </c>
      <c r="JIF32" t="s">
        <v>1305</v>
      </c>
      <c r="JIG32" t="s">
        <v>251</v>
      </c>
      <c r="JIH32" t="s">
        <v>1305</v>
      </c>
      <c r="JII32" t="s">
        <v>251</v>
      </c>
      <c r="JIJ32" t="s">
        <v>1305</v>
      </c>
      <c r="JIK32" t="s">
        <v>251</v>
      </c>
      <c r="JIL32" t="s">
        <v>1305</v>
      </c>
      <c r="JIM32" t="s">
        <v>251</v>
      </c>
      <c r="JIN32" t="s">
        <v>1305</v>
      </c>
      <c r="JIO32" t="s">
        <v>251</v>
      </c>
      <c r="JIP32" t="s">
        <v>1305</v>
      </c>
      <c r="JIQ32" t="s">
        <v>251</v>
      </c>
      <c r="JIR32" t="s">
        <v>1305</v>
      </c>
      <c r="JIS32" t="s">
        <v>251</v>
      </c>
      <c r="JIT32" t="s">
        <v>1305</v>
      </c>
      <c r="JIU32" t="s">
        <v>251</v>
      </c>
      <c r="JIV32" t="s">
        <v>1305</v>
      </c>
      <c r="JIW32" t="s">
        <v>251</v>
      </c>
      <c r="JIX32" t="s">
        <v>1305</v>
      </c>
      <c r="JIY32" t="s">
        <v>251</v>
      </c>
      <c r="JIZ32" t="s">
        <v>1305</v>
      </c>
      <c r="JJA32" t="s">
        <v>251</v>
      </c>
      <c r="JJB32" t="s">
        <v>1305</v>
      </c>
      <c r="JJC32" t="s">
        <v>251</v>
      </c>
      <c r="JJD32" t="s">
        <v>1305</v>
      </c>
      <c r="JJE32" t="s">
        <v>251</v>
      </c>
      <c r="JJF32" t="s">
        <v>1305</v>
      </c>
      <c r="JJG32" t="s">
        <v>251</v>
      </c>
      <c r="JJH32" t="s">
        <v>1305</v>
      </c>
      <c r="JJI32" t="s">
        <v>251</v>
      </c>
      <c r="JJJ32" t="s">
        <v>1305</v>
      </c>
      <c r="JJK32" t="s">
        <v>251</v>
      </c>
      <c r="JJL32" t="s">
        <v>1305</v>
      </c>
      <c r="JJM32" t="s">
        <v>251</v>
      </c>
      <c r="JJN32" t="s">
        <v>1305</v>
      </c>
      <c r="JJO32" t="s">
        <v>251</v>
      </c>
      <c r="JJP32" t="s">
        <v>1305</v>
      </c>
      <c r="JJQ32" t="s">
        <v>251</v>
      </c>
      <c r="JJR32" t="s">
        <v>1305</v>
      </c>
      <c r="JJS32" t="s">
        <v>251</v>
      </c>
      <c r="JJT32" t="s">
        <v>1305</v>
      </c>
      <c r="JJU32" t="s">
        <v>251</v>
      </c>
      <c r="JJV32" t="s">
        <v>1305</v>
      </c>
      <c r="JJW32" t="s">
        <v>251</v>
      </c>
      <c r="JJX32" t="s">
        <v>1305</v>
      </c>
      <c r="JJY32" t="s">
        <v>251</v>
      </c>
      <c r="JJZ32" t="s">
        <v>1305</v>
      </c>
      <c r="JKA32" t="s">
        <v>251</v>
      </c>
      <c r="JKB32" t="s">
        <v>1305</v>
      </c>
      <c r="JKC32" t="s">
        <v>251</v>
      </c>
      <c r="JKD32" t="s">
        <v>1305</v>
      </c>
      <c r="JKE32" t="s">
        <v>251</v>
      </c>
      <c r="JKF32" t="s">
        <v>1305</v>
      </c>
      <c r="JKG32" t="s">
        <v>251</v>
      </c>
      <c r="JKH32" t="s">
        <v>1305</v>
      </c>
      <c r="JKI32" t="s">
        <v>251</v>
      </c>
      <c r="JKJ32" t="s">
        <v>1305</v>
      </c>
      <c r="JKK32" t="s">
        <v>251</v>
      </c>
      <c r="JKL32" t="s">
        <v>1305</v>
      </c>
      <c r="JKM32" t="s">
        <v>251</v>
      </c>
      <c r="JKN32" t="s">
        <v>1305</v>
      </c>
      <c r="JKO32" t="s">
        <v>251</v>
      </c>
      <c r="JKP32" t="s">
        <v>1305</v>
      </c>
      <c r="JKQ32" t="s">
        <v>251</v>
      </c>
      <c r="JKR32" t="s">
        <v>1305</v>
      </c>
      <c r="JKS32" t="s">
        <v>251</v>
      </c>
      <c r="JKT32" t="s">
        <v>1305</v>
      </c>
      <c r="JKU32" t="s">
        <v>251</v>
      </c>
      <c r="JKV32" t="s">
        <v>1305</v>
      </c>
      <c r="JKW32" t="s">
        <v>251</v>
      </c>
      <c r="JKX32" t="s">
        <v>1305</v>
      </c>
      <c r="JKY32" t="s">
        <v>251</v>
      </c>
      <c r="JKZ32" t="s">
        <v>1305</v>
      </c>
      <c r="JLA32" t="s">
        <v>251</v>
      </c>
      <c r="JLB32" t="s">
        <v>1305</v>
      </c>
      <c r="JLC32" t="s">
        <v>251</v>
      </c>
      <c r="JLD32" t="s">
        <v>1305</v>
      </c>
      <c r="JLE32" t="s">
        <v>251</v>
      </c>
      <c r="JLF32" t="s">
        <v>1305</v>
      </c>
      <c r="JLG32" t="s">
        <v>251</v>
      </c>
      <c r="JLH32" t="s">
        <v>1305</v>
      </c>
      <c r="JLI32" t="s">
        <v>251</v>
      </c>
      <c r="JLJ32" t="s">
        <v>1305</v>
      </c>
      <c r="JLK32" t="s">
        <v>251</v>
      </c>
      <c r="JLL32" t="s">
        <v>1305</v>
      </c>
      <c r="JLM32" t="s">
        <v>251</v>
      </c>
      <c r="JLN32" t="s">
        <v>1305</v>
      </c>
      <c r="JLO32" t="s">
        <v>251</v>
      </c>
      <c r="JLP32" t="s">
        <v>1305</v>
      </c>
      <c r="JLQ32" t="s">
        <v>251</v>
      </c>
      <c r="JLR32" t="s">
        <v>1305</v>
      </c>
      <c r="JLS32" t="s">
        <v>251</v>
      </c>
      <c r="JLT32" t="s">
        <v>1305</v>
      </c>
      <c r="JLU32" t="s">
        <v>251</v>
      </c>
      <c r="JLV32" t="s">
        <v>1305</v>
      </c>
      <c r="JLW32" t="s">
        <v>251</v>
      </c>
      <c r="JLX32" t="s">
        <v>1305</v>
      </c>
      <c r="JLY32" t="s">
        <v>251</v>
      </c>
      <c r="JLZ32" t="s">
        <v>1305</v>
      </c>
      <c r="JMA32" t="s">
        <v>251</v>
      </c>
      <c r="JMB32" t="s">
        <v>1305</v>
      </c>
      <c r="JMC32" t="s">
        <v>251</v>
      </c>
      <c r="JMD32" t="s">
        <v>1305</v>
      </c>
      <c r="JME32" t="s">
        <v>251</v>
      </c>
      <c r="JMF32" t="s">
        <v>1305</v>
      </c>
      <c r="JMG32" t="s">
        <v>251</v>
      </c>
      <c r="JMH32" t="s">
        <v>1305</v>
      </c>
      <c r="JMI32" t="s">
        <v>251</v>
      </c>
      <c r="JMJ32" t="s">
        <v>1305</v>
      </c>
      <c r="JMK32" t="s">
        <v>251</v>
      </c>
      <c r="JML32" t="s">
        <v>1305</v>
      </c>
      <c r="JMM32" t="s">
        <v>251</v>
      </c>
      <c r="JMN32" t="s">
        <v>1305</v>
      </c>
      <c r="JMO32" t="s">
        <v>251</v>
      </c>
      <c r="JMP32" t="s">
        <v>1305</v>
      </c>
      <c r="JMQ32" t="s">
        <v>251</v>
      </c>
      <c r="JMR32" t="s">
        <v>1305</v>
      </c>
      <c r="JMS32" t="s">
        <v>251</v>
      </c>
      <c r="JMT32" t="s">
        <v>1305</v>
      </c>
      <c r="JMU32" t="s">
        <v>251</v>
      </c>
      <c r="JMV32" t="s">
        <v>1305</v>
      </c>
      <c r="JMW32" t="s">
        <v>251</v>
      </c>
      <c r="JMX32" t="s">
        <v>1305</v>
      </c>
      <c r="JMY32" t="s">
        <v>251</v>
      </c>
      <c r="JMZ32" t="s">
        <v>1305</v>
      </c>
      <c r="JNA32" t="s">
        <v>251</v>
      </c>
      <c r="JNB32" t="s">
        <v>1305</v>
      </c>
      <c r="JNC32" t="s">
        <v>251</v>
      </c>
      <c r="JND32" t="s">
        <v>1305</v>
      </c>
      <c r="JNE32" t="s">
        <v>251</v>
      </c>
      <c r="JNF32" t="s">
        <v>1305</v>
      </c>
      <c r="JNG32" t="s">
        <v>251</v>
      </c>
      <c r="JNH32" t="s">
        <v>1305</v>
      </c>
      <c r="JNI32" t="s">
        <v>251</v>
      </c>
      <c r="JNJ32" t="s">
        <v>1305</v>
      </c>
      <c r="JNK32" t="s">
        <v>251</v>
      </c>
      <c r="JNL32" t="s">
        <v>1305</v>
      </c>
      <c r="JNM32" t="s">
        <v>251</v>
      </c>
      <c r="JNN32" t="s">
        <v>1305</v>
      </c>
      <c r="JNO32" t="s">
        <v>251</v>
      </c>
      <c r="JNP32" t="s">
        <v>1305</v>
      </c>
      <c r="JNQ32" t="s">
        <v>251</v>
      </c>
      <c r="JNR32" t="s">
        <v>1305</v>
      </c>
      <c r="JNS32" t="s">
        <v>251</v>
      </c>
      <c r="JNT32" t="s">
        <v>1305</v>
      </c>
      <c r="JNU32" t="s">
        <v>251</v>
      </c>
      <c r="JNV32" t="s">
        <v>1305</v>
      </c>
      <c r="JNW32" t="s">
        <v>251</v>
      </c>
      <c r="JNX32" t="s">
        <v>1305</v>
      </c>
      <c r="JNY32" t="s">
        <v>251</v>
      </c>
      <c r="JNZ32" t="s">
        <v>1305</v>
      </c>
      <c r="JOA32" t="s">
        <v>251</v>
      </c>
      <c r="JOB32" t="s">
        <v>1305</v>
      </c>
      <c r="JOC32" t="s">
        <v>251</v>
      </c>
      <c r="JOD32" t="s">
        <v>1305</v>
      </c>
      <c r="JOE32" t="s">
        <v>251</v>
      </c>
      <c r="JOF32" t="s">
        <v>1305</v>
      </c>
      <c r="JOG32" t="s">
        <v>251</v>
      </c>
      <c r="JOH32" t="s">
        <v>1305</v>
      </c>
      <c r="JOI32" t="s">
        <v>251</v>
      </c>
      <c r="JOJ32" t="s">
        <v>1305</v>
      </c>
      <c r="JOK32" t="s">
        <v>251</v>
      </c>
      <c r="JOL32" t="s">
        <v>1305</v>
      </c>
      <c r="JOM32" t="s">
        <v>251</v>
      </c>
      <c r="JON32" t="s">
        <v>1305</v>
      </c>
      <c r="JOO32" t="s">
        <v>251</v>
      </c>
      <c r="JOP32" t="s">
        <v>1305</v>
      </c>
      <c r="JOQ32" t="s">
        <v>251</v>
      </c>
      <c r="JOR32" t="s">
        <v>1305</v>
      </c>
      <c r="JOS32" t="s">
        <v>251</v>
      </c>
      <c r="JOT32" t="s">
        <v>1305</v>
      </c>
      <c r="JOU32" t="s">
        <v>251</v>
      </c>
      <c r="JOV32" t="s">
        <v>1305</v>
      </c>
      <c r="JOW32" t="s">
        <v>251</v>
      </c>
      <c r="JOX32" t="s">
        <v>1305</v>
      </c>
      <c r="JOY32" t="s">
        <v>251</v>
      </c>
      <c r="JOZ32" t="s">
        <v>1305</v>
      </c>
      <c r="JPA32" t="s">
        <v>251</v>
      </c>
      <c r="JPB32" t="s">
        <v>1305</v>
      </c>
      <c r="JPC32" t="s">
        <v>251</v>
      </c>
      <c r="JPD32" t="s">
        <v>1305</v>
      </c>
      <c r="JPE32" t="s">
        <v>251</v>
      </c>
      <c r="JPF32" t="s">
        <v>1305</v>
      </c>
      <c r="JPG32" t="s">
        <v>251</v>
      </c>
      <c r="JPH32" t="s">
        <v>1305</v>
      </c>
      <c r="JPI32" t="s">
        <v>251</v>
      </c>
      <c r="JPJ32" t="s">
        <v>1305</v>
      </c>
      <c r="JPK32" t="s">
        <v>251</v>
      </c>
      <c r="JPL32" t="s">
        <v>1305</v>
      </c>
      <c r="JPM32" t="s">
        <v>251</v>
      </c>
      <c r="JPN32" t="s">
        <v>1305</v>
      </c>
      <c r="JPO32" t="s">
        <v>251</v>
      </c>
      <c r="JPP32" t="s">
        <v>1305</v>
      </c>
      <c r="JPQ32" t="s">
        <v>251</v>
      </c>
      <c r="JPR32" t="s">
        <v>1305</v>
      </c>
      <c r="JPS32" t="s">
        <v>251</v>
      </c>
      <c r="JPT32" t="s">
        <v>1305</v>
      </c>
      <c r="JPU32" t="s">
        <v>251</v>
      </c>
      <c r="JPV32" t="s">
        <v>1305</v>
      </c>
      <c r="JPW32" t="s">
        <v>251</v>
      </c>
      <c r="JPX32" t="s">
        <v>1305</v>
      </c>
      <c r="JPY32" t="s">
        <v>251</v>
      </c>
      <c r="JPZ32" t="s">
        <v>1305</v>
      </c>
      <c r="JQA32" t="s">
        <v>251</v>
      </c>
      <c r="JQB32" t="s">
        <v>1305</v>
      </c>
      <c r="JQC32" t="s">
        <v>251</v>
      </c>
      <c r="JQD32" t="s">
        <v>1305</v>
      </c>
      <c r="JQE32" t="s">
        <v>251</v>
      </c>
      <c r="JQF32" t="s">
        <v>1305</v>
      </c>
      <c r="JQG32" t="s">
        <v>251</v>
      </c>
      <c r="JQH32" t="s">
        <v>1305</v>
      </c>
      <c r="JQI32" t="s">
        <v>251</v>
      </c>
      <c r="JQJ32" t="s">
        <v>1305</v>
      </c>
      <c r="JQK32" t="s">
        <v>251</v>
      </c>
      <c r="JQL32" t="s">
        <v>1305</v>
      </c>
      <c r="JQM32" t="s">
        <v>251</v>
      </c>
      <c r="JQN32" t="s">
        <v>1305</v>
      </c>
      <c r="JQO32" t="s">
        <v>251</v>
      </c>
      <c r="JQP32" t="s">
        <v>1305</v>
      </c>
      <c r="JQQ32" t="s">
        <v>251</v>
      </c>
      <c r="JQR32" t="s">
        <v>1305</v>
      </c>
      <c r="JQS32" t="s">
        <v>251</v>
      </c>
      <c r="JQT32" t="s">
        <v>1305</v>
      </c>
      <c r="JQU32" t="s">
        <v>251</v>
      </c>
      <c r="JQV32" t="s">
        <v>1305</v>
      </c>
      <c r="JQW32" t="s">
        <v>251</v>
      </c>
      <c r="JQX32" t="s">
        <v>1305</v>
      </c>
      <c r="JQY32" t="s">
        <v>251</v>
      </c>
      <c r="JQZ32" t="s">
        <v>1305</v>
      </c>
      <c r="JRA32" t="s">
        <v>251</v>
      </c>
      <c r="JRB32" t="s">
        <v>1305</v>
      </c>
      <c r="JRC32" t="s">
        <v>251</v>
      </c>
      <c r="JRD32" t="s">
        <v>1305</v>
      </c>
      <c r="JRE32" t="s">
        <v>251</v>
      </c>
      <c r="JRF32" t="s">
        <v>1305</v>
      </c>
      <c r="JRG32" t="s">
        <v>251</v>
      </c>
      <c r="JRH32" t="s">
        <v>1305</v>
      </c>
      <c r="JRI32" t="s">
        <v>251</v>
      </c>
      <c r="JRJ32" t="s">
        <v>1305</v>
      </c>
      <c r="JRK32" t="s">
        <v>251</v>
      </c>
      <c r="JRL32" t="s">
        <v>1305</v>
      </c>
      <c r="JRM32" t="s">
        <v>251</v>
      </c>
      <c r="JRN32" t="s">
        <v>1305</v>
      </c>
      <c r="JRO32" t="s">
        <v>251</v>
      </c>
      <c r="JRP32" t="s">
        <v>1305</v>
      </c>
      <c r="JRQ32" t="s">
        <v>251</v>
      </c>
      <c r="JRR32" t="s">
        <v>1305</v>
      </c>
      <c r="JRS32" t="s">
        <v>251</v>
      </c>
      <c r="JRT32" t="s">
        <v>1305</v>
      </c>
      <c r="JRU32" t="s">
        <v>251</v>
      </c>
      <c r="JRV32" t="s">
        <v>1305</v>
      </c>
      <c r="JRW32" t="s">
        <v>251</v>
      </c>
      <c r="JRX32" t="s">
        <v>1305</v>
      </c>
      <c r="JRY32" t="s">
        <v>251</v>
      </c>
      <c r="JRZ32" t="s">
        <v>1305</v>
      </c>
      <c r="JSA32" t="s">
        <v>251</v>
      </c>
      <c r="JSB32" t="s">
        <v>1305</v>
      </c>
      <c r="JSC32" t="s">
        <v>251</v>
      </c>
      <c r="JSD32" t="s">
        <v>1305</v>
      </c>
      <c r="JSE32" t="s">
        <v>251</v>
      </c>
      <c r="JSF32" t="s">
        <v>1305</v>
      </c>
      <c r="JSG32" t="s">
        <v>251</v>
      </c>
      <c r="JSH32" t="s">
        <v>1305</v>
      </c>
      <c r="JSI32" t="s">
        <v>251</v>
      </c>
      <c r="JSJ32" t="s">
        <v>1305</v>
      </c>
      <c r="JSK32" t="s">
        <v>251</v>
      </c>
      <c r="JSL32" t="s">
        <v>1305</v>
      </c>
      <c r="JSM32" t="s">
        <v>251</v>
      </c>
      <c r="JSN32" t="s">
        <v>1305</v>
      </c>
      <c r="JSO32" t="s">
        <v>251</v>
      </c>
      <c r="JSP32" t="s">
        <v>1305</v>
      </c>
      <c r="JSQ32" t="s">
        <v>251</v>
      </c>
      <c r="JSR32" t="s">
        <v>1305</v>
      </c>
      <c r="JSS32" t="s">
        <v>251</v>
      </c>
      <c r="JST32" t="s">
        <v>1305</v>
      </c>
      <c r="JSU32" t="s">
        <v>251</v>
      </c>
      <c r="JSV32" t="s">
        <v>1305</v>
      </c>
      <c r="JSW32" t="s">
        <v>251</v>
      </c>
      <c r="JSX32" t="s">
        <v>1305</v>
      </c>
      <c r="JSY32" t="s">
        <v>251</v>
      </c>
      <c r="JSZ32" t="s">
        <v>1305</v>
      </c>
      <c r="JTA32" t="s">
        <v>251</v>
      </c>
      <c r="JTB32" t="s">
        <v>1305</v>
      </c>
      <c r="JTC32" t="s">
        <v>251</v>
      </c>
      <c r="JTD32" t="s">
        <v>1305</v>
      </c>
      <c r="JTE32" t="s">
        <v>251</v>
      </c>
      <c r="JTF32" t="s">
        <v>1305</v>
      </c>
      <c r="JTG32" t="s">
        <v>251</v>
      </c>
      <c r="JTH32" t="s">
        <v>1305</v>
      </c>
      <c r="JTI32" t="s">
        <v>251</v>
      </c>
      <c r="JTJ32" t="s">
        <v>1305</v>
      </c>
      <c r="JTK32" t="s">
        <v>251</v>
      </c>
      <c r="JTL32" t="s">
        <v>1305</v>
      </c>
      <c r="JTM32" t="s">
        <v>251</v>
      </c>
      <c r="JTN32" t="s">
        <v>1305</v>
      </c>
      <c r="JTO32" t="s">
        <v>251</v>
      </c>
      <c r="JTP32" t="s">
        <v>1305</v>
      </c>
      <c r="JTQ32" t="s">
        <v>251</v>
      </c>
      <c r="JTR32" t="s">
        <v>1305</v>
      </c>
      <c r="JTS32" t="s">
        <v>251</v>
      </c>
      <c r="JTT32" t="s">
        <v>1305</v>
      </c>
      <c r="JTU32" t="s">
        <v>251</v>
      </c>
      <c r="JTV32" t="s">
        <v>1305</v>
      </c>
      <c r="JTW32" t="s">
        <v>251</v>
      </c>
      <c r="JTX32" t="s">
        <v>1305</v>
      </c>
      <c r="JTY32" t="s">
        <v>251</v>
      </c>
      <c r="JTZ32" t="s">
        <v>1305</v>
      </c>
      <c r="JUA32" t="s">
        <v>251</v>
      </c>
      <c r="JUB32" t="s">
        <v>1305</v>
      </c>
      <c r="JUC32" t="s">
        <v>251</v>
      </c>
      <c r="JUD32" t="s">
        <v>1305</v>
      </c>
      <c r="JUE32" t="s">
        <v>251</v>
      </c>
      <c r="JUF32" t="s">
        <v>1305</v>
      </c>
      <c r="JUG32" t="s">
        <v>251</v>
      </c>
      <c r="JUH32" t="s">
        <v>1305</v>
      </c>
      <c r="JUI32" t="s">
        <v>251</v>
      </c>
      <c r="JUJ32" t="s">
        <v>1305</v>
      </c>
      <c r="JUK32" t="s">
        <v>251</v>
      </c>
      <c r="JUL32" t="s">
        <v>1305</v>
      </c>
      <c r="JUM32" t="s">
        <v>251</v>
      </c>
      <c r="JUN32" t="s">
        <v>1305</v>
      </c>
      <c r="JUO32" t="s">
        <v>251</v>
      </c>
      <c r="JUP32" t="s">
        <v>1305</v>
      </c>
      <c r="JUQ32" t="s">
        <v>251</v>
      </c>
      <c r="JUR32" t="s">
        <v>1305</v>
      </c>
      <c r="JUS32" t="s">
        <v>251</v>
      </c>
      <c r="JUT32" t="s">
        <v>1305</v>
      </c>
      <c r="JUU32" t="s">
        <v>251</v>
      </c>
      <c r="JUV32" t="s">
        <v>1305</v>
      </c>
      <c r="JUW32" t="s">
        <v>251</v>
      </c>
      <c r="JUX32" t="s">
        <v>1305</v>
      </c>
      <c r="JUY32" t="s">
        <v>251</v>
      </c>
      <c r="JUZ32" t="s">
        <v>1305</v>
      </c>
      <c r="JVA32" t="s">
        <v>251</v>
      </c>
      <c r="JVB32" t="s">
        <v>1305</v>
      </c>
      <c r="JVC32" t="s">
        <v>251</v>
      </c>
      <c r="JVD32" t="s">
        <v>1305</v>
      </c>
      <c r="JVE32" t="s">
        <v>251</v>
      </c>
      <c r="JVF32" t="s">
        <v>1305</v>
      </c>
      <c r="JVG32" t="s">
        <v>251</v>
      </c>
      <c r="JVH32" t="s">
        <v>1305</v>
      </c>
      <c r="JVI32" t="s">
        <v>251</v>
      </c>
      <c r="JVJ32" t="s">
        <v>1305</v>
      </c>
      <c r="JVK32" t="s">
        <v>251</v>
      </c>
      <c r="JVL32" t="s">
        <v>1305</v>
      </c>
      <c r="JVM32" t="s">
        <v>251</v>
      </c>
      <c r="JVN32" t="s">
        <v>1305</v>
      </c>
      <c r="JVO32" t="s">
        <v>251</v>
      </c>
      <c r="JVP32" t="s">
        <v>1305</v>
      </c>
      <c r="JVQ32" t="s">
        <v>251</v>
      </c>
      <c r="JVR32" t="s">
        <v>1305</v>
      </c>
      <c r="JVS32" t="s">
        <v>251</v>
      </c>
      <c r="JVT32" t="s">
        <v>1305</v>
      </c>
      <c r="JVU32" t="s">
        <v>251</v>
      </c>
      <c r="JVV32" t="s">
        <v>1305</v>
      </c>
      <c r="JVW32" t="s">
        <v>251</v>
      </c>
      <c r="JVX32" t="s">
        <v>1305</v>
      </c>
      <c r="JVY32" t="s">
        <v>251</v>
      </c>
      <c r="JVZ32" t="s">
        <v>1305</v>
      </c>
      <c r="JWA32" t="s">
        <v>251</v>
      </c>
      <c r="JWB32" t="s">
        <v>1305</v>
      </c>
      <c r="JWC32" t="s">
        <v>251</v>
      </c>
      <c r="JWD32" t="s">
        <v>1305</v>
      </c>
      <c r="JWE32" t="s">
        <v>251</v>
      </c>
      <c r="JWF32" t="s">
        <v>1305</v>
      </c>
      <c r="JWG32" t="s">
        <v>251</v>
      </c>
      <c r="JWH32" t="s">
        <v>1305</v>
      </c>
      <c r="JWI32" t="s">
        <v>251</v>
      </c>
      <c r="JWJ32" t="s">
        <v>1305</v>
      </c>
      <c r="JWK32" t="s">
        <v>251</v>
      </c>
      <c r="JWL32" t="s">
        <v>1305</v>
      </c>
      <c r="JWM32" t="s">
        <v>251</v>
      </c>
      <c r="JWN32" t="s">
        <v>1305</v>
      </c>
      <c r="JWO32" t="s">
        <v>251</v>
      </c>
      <c r="JWP32" t="s">
        <v>1305</v>
      </c>
      <c r="JWQ32" t="s">
        <v>251</v>
      </c>
      <c r="JWR32" t="s">
        <v>1305</v>
      </c>
      <c r="JWS32" t="s">
        <v>251</v>
      </c>
      <c r="JWT32" t="s">
        <v>1305</v>
      </c>
      <c r="JWU32" t="s">
        <v>251</v>
      </c>
      <c r="JWV32" t="s">
        <v>1305</v>
      </c>
      <c r="JWW32" t="s">
        <v>251</v>
      </c>
      <c r="JWX32" t="s">
        <v>1305</v>
      </c>
      <c r="JWY32" t="s">
        <v>251</v>
      </c>
      <c r="JWZ32" t="s">
        <v>1305</v>
      </c>
      <c r="JXA32" t="s">
        <v>251</v>
      </c>
      <c r="JXB32" t="s">
        <v>1305</v>
      </c>
      <c r="JXC32" t="s">
        <v>251</v>
      </c>
      <c r="JXD32" t="s">
        <v>1305</v>
      </c>
      <c r="JXE32" t="s">
        <v>251</v>
      </c>
      <c r="JXF32" t="s">
        <v>1305</v>
      </c>
      <c r="JXG32" t="s">
        <v>251</v>
      </c>
      <c r="JXH32" t="s">
        <v>1305</v>
      </c>
      <c r="JXI32" t="s">
        <v>251</v>
      </c>
      <c r="JXJ32" t="s">
        <v>1305</v>
      </c>
      <c r="JXK32" t="s">
        <v>251</v>
      </c>
      <c r="JXL32" t="s">
        <v>1305</v>
      </c>
      <c r="JXM32" t="s">
        <v>251</v>
      </c>
      <c r="JXN32" t="s">
        <v>1305</v>
      </c>
      <c r="JXO32" t="s">
        <v>251</v>
      </c>
      <c r="JXP32" t="s">
        <v>1305</v>
      </c>
      <c r="JXQ32" t="s">
        <v>251</v>
      </c>
      <c r="JXR32" t="s">
        <v>1305</v>
      </c>
      <c r="JXS32" t="s">
        <v>251</v>
      </c>
      <c r="JXT32" t="s">
        <v>1305</v>
      </c>
      <c r="JXU32" t="s">
        <v>251</v>
      </c>
      <c r="JXV32" t="s">
        <v>1305</v>
      </c>
      <c r="JXW32" t="s">
        <v>251</v>
      </c>
      <c r="JXX32" t="s">
        <v>1305</v>
      </c>
      <c r="JXY32" t="s">
        <v>251</v>
      </c>
      <c r="JXZ32" t="s">
        <v>1305</v>
      </c>
      <c r="JYA32" t="s">
        <v>251</v>
      </c>
      <c r="JYB32" t="s">
        <v>1305</v>
      </c>
      <c r="JYC32" t="s">
        <v>251</v>
      </c>
      <c r="JYD32" t="s">
        <v>1305</v>
      </c>
      <c r="JYE32" t="s">
        <v>251</v>
      </c>
      <c r="JYF32" t="s">
        <v>1305</v>
      </c>
      <c r="JYG32" t="s">
        <v>251</v>
      </c>
      <c r="JYH32" t="s">
        <v>1305</v>
      </c>
      <c r="JYI32" t="s">
        <v>251</v>
      </c>
      <c r="JYJ32" t="s">
        <v>1305</v>
      </c>
      <c r="JYK32" t="s">
        <v>251</v>
      </c>
      <c r="JYL32" t="s">
        <v>1305</v>
      </c>
      <c r="JYM32" t="s">
        <v>251</v>
      </c>
      <c r="JYN32" t="s">
        <v>1305</v>
      </c>
      <c r="JYO32" t="s">
        <v>251</v>
      </c>
      <c r="JYP32" t="s">
        <v>1305</v>
      </c>
      <c r="JYQ32" t="s">
        <v>251</v>
      </c>
      <c r="JYR32" t="s">
        <v>1305</v>
      </c>
      <c r="JYS32" t="s">
        <v>251</v>
      </c>
      <c r="JYT32" t="s">
        <v>1305</v>
      </c>
      <c r="JYU32" t="s">
        <v>251</v>
      </c>
      <c r="JYV32" t="s">
        <v>1305</v>
      </c>
      <c r="JYW32" t="s">
        <v>251</v>
      </c>
      <c r="JYX32" t="s">
        <v>1305</v>
      </c>
      <c r="JYY32" t="s">
        <v>251</v>
      </c>
      <c r="JYZ32" t="s">
        <v>1305</v>
      </c>
      <c r="JZA32" t="s">
        <v>251</v>
      </c>
      <c r="JZB32" t="s">
        <v>1305</v>
      </c>
      <c r="JZC32" t="s">
        <v>251</v>
      </c>
      <c r="JZD32" t="s">
        <v>1305</v>
      </c>
      <c r="JZE32" t="s">
        <v>251</v>
      </c>
      <c r="JZF32" t="s">
        <v>1305</v>
      </c>
      <c r="JZG32" t="s">
        <v>251</v>
      </c>
      <c r="JZH32" t="s">
        <v>1305</v>
      </c>
      <c r="JZI32" t="s">
        <v>251</v>
      </c>
      <c r="JZJ32" t="s">
        <v>1305</v>
      </c>
      <c r="JZK32" t="s">
        <v>251</v>
      </c>
      <c r="JZL32" t="s">
        <v>1305</v>
      </c>
      <c r="JZM32" t="s">
        <v>251</v>
      </c>
      <c r="JZN32" t="s">
        <v>1305</v>
      </c>
      <c r="JZO32" t="s">
        <v>251</v>
      </c>
      <c r="JZP32" t="s">
        <v>1305</v>
      </c>
      <c r="JZQ32" t="s">
        <v>251</v>
      </c>
      <c r="JZR32" t="s">
        <v>1305</v>
      </c>
      <c r="JZS32" t="s">
        <v>251</v>
      </c>
      <c r="JZT32" t="s">
        <v>1305</v>
      </c>
      <c r="JZU32" t="s">
        <v>251</v>
      </c>
      <c r="JZV32" t="s">
        <v>1305</v>
      </c>
      <c r="JZW32" t="s">
        <v>251</v>
      </c>
      <c r="JZX32" t="s">
        <v>1305</v>
      </c>
      <c r="JZY32" t="s">
        <v>251</v>
      </c>
      <c r="JZZ32" t="s">
        <v>1305</v>
      </c>
      <c r="KAA32" t="s">
        <v>251</v>
      </c>
      <c r="KAB32" t="s">
        <v>1305</v>
      </c>
      <c r="KAC32" t="s">
        <v>251</v>
      </c>
      <c r="KAD32" t="s">
        <v>1305</v>
      </c>
      <c r="KAE32" t="s">
        <v>251</v>
      </c>
      <c r="KAF32" t="s">
        <v>1305</v>
      </c>
      <c r="KAG32" t="s">
        <v>251</v>
      </c>
      <c r="KAH32" t="s">
        <v>1305</v>
      </c>
      <c r="KAI32" t="s">
        <v>251</v>
      </c>
      <c r="KAJ32" t="s">
        <v>1305</v>
      </c>
      <c r="KAK32" t="s">
        <v>251</v>
      </c>
      <c r="KAL32" t="s">
        <v>1305</v>
      </c>
      <c r="KAM32" t="s">
        <v>251</v>
      </c>
      <c r="KAN32" t="s">
        <v>1305</v>
      </c>
      <c r="KAO32" t="s">
        <v>251</v>
      </c>
      <c r="KAP32" t="s">
        <v>1305</v>
      </c>
      <c r="KAQ32" t="s">
        <v>251</v>
      </c>
      <c r="KAR32" t="s">
        <v>1305</v>
      </c>
      <c r="KAS32" t="s">
        <v>251</v>
      </c>
      <c r="KAT32" t="s">
        <v>1305</v>
      </c>
      <c r="KAU32" t="s">
        <v>251</v>
      </c>
      <c r="KAV32" t="s">
        <v>1305</v>
      </c>
      <c r="KAW32" t="s">
        <v>251</v>
      </c>
      <c r="KAX32" t="s">
        <v>1305</v>
      </c>
      <c r="KAY32" t="s">
        <v>251</v>
      </c>
      <c r="KAZ32" t="s">
        <v>1305</v>
      </c>
      <c r="KBA32" t="s">
        <v>251</v>
      </c>
      <c r="KBB32" t="s">
        <v>1305</v>
      </c>
      <c r="KBC32" t="s">
        <v>251</v>
      </c>
      <c r="KBD32" t="s">
        <v>1305</v>
      </c>
      <c r="KBE32" t="s">
        <v>251</v>
      </c>
      <c r="KBF32" t="s">
        <v>1305</v>
      </c>
      <c r="KBG32" t="s">
        <v>251</v>
      </c>
      <c r="KBH32" t="s">
        <v>1305</v>
      </c>
      <c r="KBI32" t="s">
        <v>251</v>
      </c>
      <c r="KBJ32" t="s">
        <v>1305</v>
      </c>
      <c r="KBK32" t="s">
        <v>251</v>
      </c>
      <c r="KBL32" t="s">
        <v>1305</v>
      </c>
      <c r="KBM32" t="s">
        <v>251</v>
      </c>
      <c r="KBN32" t="s">
        <v>1305</v>
      </c>
      <c r="KBO32" t="s">
        <v>251</v>
      </c>
      <c r="KBP32" t="s">
        <v>1305</v>
      </c>
      <c r="KBQ32" t="s">
        <v>251</v>
      </c>
      <c r="KBR32" t="s">
        <v>1305</v>
      </c>
      <c r="KBS32" t="s">
        <v>251</v>
      </c>
      <c r="KBT32" t="s">
        <v>1305</v>
      </c>
      <c r="KBU32" t="s">
        <v>251</v>
      </c>
      <c r="KBV32" t="s">
        <v>1305</v>
      </c>
      <c r="KBW32" t="s">
        <v>251</v>
      </c>
      <c r="KBX32" t="s">
        <v>1305</v>
      </c>
      <c r="KBY32" t="s">
        <v>251</v>
      </c>
      <c r="KBZ32" t="s">
        <v>1305</v>
      </c>
      <c r="KCA32" t="s">
        <v>251</v>
      </c>
      <c r="KCB32" t="s">
        <v>1305</v>
      </c>
      <c r="KCC32" t="s">
        <v>251</v>
      </c>
      <c r="KCD32" t="s">
        <v>1305</v>
      </c>
      <c r="KCE32" t="s">
        <v>251</v>
      </c>
      <c r="KCF32" t="s">
        <v>1305</v>
      </c>
      <c r="KCG32" t="s">
        <v>251</v>
      </c>
      <c r="KCH32" t="s">
        <v>1305</v>
      </c>
      <c r="KCI32" t="s">
        <v>251</v>
      </c>
      <c r="KCJ32" t="s">
        <v>1305</v>
      </c>
      <c r="KCK32" t="s">
        <v>251</v>
      </c>
      <c r="KCL32" t="s">
        <v>1305</v>
      </c>
      <c r="KCM32" t="s">
        <v>251</v>
      </c>
      <c r="KCN32" t="s">
        <v>1305</v>
      </c>
      <c r="KCO32" t="s">
        <v>251</v>
      </c>
      <c r="KCP32" t="s">
        <v>1305</v>
      </c>
      <c r="KCQ32" t="s">
        <v>251</v>
      </c>
      <c r="KCR32" t="s">
        <v>1305</v>
      </c>
      <c r="KCS32" t="s">
        <v>251</v>
      </c>
      <c r="KCT32" t="s">
        <v>1305</v>
      </c>
      <c r="KCU32" t="s">
        <v>251</v>
      </c>
      <c r="KCV32" t="s">
        <v>1305</v>
      </c>
      <c r="KCW32" t="s">
        <v>251</v>
      </c>
      <c r="KCX32" t="s">
        <v>1305</v>
      </c>
      <c r="KCY32" t="s">
        <v>251</v>
      </c>
      <c r="KCZ32" t="s">
        <v>1305</v>
      </c>
      <c r="KDA32" t="s">
        <v>251</v>
      </c>
      <c r="KDB32" t="s">
        <v>1305</v>
      </c>
      <c r="KDC32" t="s">
        <v>251</v>
      </c>
      <c r="KDD32" t="s">
        <v>1305</v>
      </c>
      <c r="KDE32" t="s">
        <v>251</v>
      </c>
      <c r="KDF32" t="s">
        <v>1305</v>
      </c>
      <c r="KDG32" t="s">
        <v>251</v>
      </c>
      <c r="KDH32" t="s">
        <v>1305</v>
      </c>
      <c r="KDI32" t="s">
        <v>251</v>
      </c>
      <c r="KDJ32" t="s">
        <v>1305</v>
      </c>
      <c r="KDK32" t="s">
        <v>251</v>
      </c>
      <c r="KDL32" t="s">
        <v>1305</v>
      </c>
      <c r="KDM32" t="s">
        <v>251</v>
      </c>
      <c r="KDN32" t="s">
        <v>1305</v>
      </c>
      <c r="KDO32" t="s">
        <v>251</v>
      </c>
      <c r="KDP32" t="s">
        <v>1305</v>
      </c>
      <c r="KDQ32" t="s">
        <v>251</v>
      </c>
      <c r="KDR32" t="s">
        <v>1305</v>
      </c>
      <c r="KDS32" t="s">
        <v>251</v>
      </c>
      <c r="KDT32" t="s">
        <v>1305</v>
      </c>
      <c r="KDU32" t="s">
        <v>251</v>
      </c>
      <c r="KDV32" t="s">
        <v>1305</v>
      </c>
      <c r="KDW32" t="s">
        <v>251</v>
      </c>
      <c r="KDX32" t="s">
        <v>1305</v>
      </c>
      <c r="KDY32" t="s">
        <v>251</v>
      </c>
      <c r="KDZ32" t="s">
        <v>1305</v>
      </c>
      <c r="KEA32" t="s">
        <v>251</v>
      </c>
      <c r="KEB32" t="s">
        <v>1305</v>
      </c>
      <c r="KEC32" t="s">
        <v>251</v>
      </c>
      <c r="KED32" t="s">
        <v>1305</v>
      </c>
      <c r="KEE32" t="s">
        <v>251</v>
      </c>
      <c r="KEF32" t="s">
        <v>1305</v>
      </c>
      <c r="KEG32" t="s">
        <v>251</v>
      </c>
      <c r="KEH32" t="s">
        <v>1305</v>
      </c>
      <c r="KEI32" t="s">
        <v>251</v>
      </c>
      <c r="KEJ32" t="s">
        <v>1305</v>
      </c>
      <c r="KEK32" t="s">
        <v>251</v>
      </c>
      <c r="KEL32" t="s">
        <v>1305</v>
      </c>
      <c r="KEM32" t="s">
        <v>251</v>
      </c>
      <c r="KEN32" t="s">
        <v>1305</v>
      </c>
      <c r="KEO32" t="s">
        <v>251</v>
      </c>
      <c r="KEP32" t="s">
        <v>1305</v>
      </c>
      <c r="KEQ32" t="s">
        <v>251</v>
      </c>
      <c r="KER32" t="s">
        <v>1305</v>
      </c>
      <c r="KES32" t="s">
        <v>251</v>
      </c>
      <c r="KET32" t="s">
        <v>1305</v>
      </c>
      <c r="KEU32" t="s">
        <v>251</v>
      </c>
      <c r="KEV32" t="s">
        <v>1305</v>
      </c>
      <c r="KEW32" t="s">
        <v>251</v>
      </c>
      <c r="KEX32" t="s">
        <v>1305</v>
      </c>
      <c r="KEY32" t="s">
        <v>251</v>
      </c>
      <c r="KEZ32" t="s">
        <v>1305</v>
      </c>
      <c r="KFA32" t="s">
        <v>251</v>
      </c>
      <c r="KFB32" t="s">
        <v>1305</v>
      </c>
      <c r="KFC32" t="s">
        <v>251</v>
      </c>
      <c r="KFD32" t="s">
        <v>1305</v>
      </c>
      <c r="KFE32" t="s">
        <v>251</v>
      </c>
      <c r="KFF32" t="s">
        <v>1305</v>
      </c>
      <c r="KFG32" t="s">
        <v>251</v>
      </c>
      <c r="KFH32" t="s">
        <v>1305</v>
      </c>
      <c r="KFI32" t="s">
        <v>251</v>
      </c>
      <c r="KFJ32" t="s">
        <v>1305</v>
      </c>
      <c r="KFK32" t="s">
        <v>251</v>
      </c>
      <c r="KFL32" t="s">
        <v>1305</v>
      </c>
      <c r="KFM32" t="s">
        <v>251</v>
      </c>
      <c r="KFN32" t="s">
        <v>1305</v>
      </c>
      <c r="KFO32" t="s">
        <v>251</v>
      </c>
      <c r="KFP32" t="s">
        <v>1305</v>
      </c>
      <c r="KFQ32" t="s">
        <v>251</v>
      </c>
      <c r="KFR32" t="s">
        <v>1305</v>
      </c>
      <c r="KFS32" t="s">
        <v>251</v>
      </c>
      <c r="KFT32" t="s">
        <v>1305</v>
      </c>
      <c r="KFU32" t="s">
        <v>251</v>
      </c>
      <c r="KFV32" t="s">
        <v>1305</v>
      </c>
      <c r="KFW32" t="s">
        <v>251</v>
      </c>
      <c r="KFX32" t="s">
        <v>1305</v>
      </c>
      <c r="KFY32" t="s">
        <v>251</v>
      </c>
      <c r="KFZ32" t="s">
        <v>1305</v>
      </c>
      <c r="KGA32" t="s">
        <v>251</v>
      </c>
      <c r="KGB32" t="s">
        <v>1305</v>
      </c>
      <c r="KGC32" t="s">
        <v>251</v>
      </c>
      <c r="KGD32" t="s">
        <v>1305</v>
      </c>
      <c r="KGE32" t="s">
        <v>251</v>
      </c>
      <c r="KGF32" t="s">
        <v>1305</v>
      </c>
      <c r="KGG32" t="s">
        <v>251</v>
      </c>
      <c r="KGH32" t="s">
        <v>1305</v>
      </c>
      <c r="KGI32" t="s">
        <v>251</v>
      </c>
      <c r="KGJ32" t="s">
        <v>1305</v>
      </c>
      <c r="KGK32" t="s">
        <v>251</v>
      </c>
      <c r="KGL32" t="s">
        <v>1305</v>
      </c>
      <c r="KGM32" t="s">
        <v>251</v>
      </c>
      <c r="KGN32" t="s">
        <v>1305</v>
      </c>
      <c r="KGO32" t="s">
        <v>251</v>
      </c>
      <c r="KGP32" t="s">
        <v>1305</v>
      </c>
      <c r="KGQ32" t="s">
        <v>251</v>
      </c>
      <c r="KGR32" t="s">
        <v>1305</v>
      </c>
      <c r="KGS32" t="s">
        <v>251</v>
      </c>
      <c r="KGT32" t="s">
        <v>1305</v>
      </c>
      <c r="KGU32" t="s">
        <v>251</v>
      </c>
      <c r="KGV32" t="s">
        <v>1305</v>
      </c>
      <c r="KGW32" t="s">
        <v>251</v>
      </c>
      <c r="KGX32" t="s">
        <v>1305</v>
      </c>
      <c r="KGY32" t="s">
        <v>251</v>
      </c>
      <c r="KGZ32" t="s">
        <v>1305</v>
      </c>
      <c r="KHA32" t="s">
        <v>251</v>
      </c>
      <c r="KHB32" t="s">
        <v>1305</v>
      </c>
      <c r="KHC32" t="s">
        <v>251</v>
      </c>
      <c r="KHD32" t="s">
        <v>1305</v>
      </c>
      <c r="KHE32" t="s">
        <v>251</v>
      </c>
      <c r="KHF32" t="s">
        <v>1305</v>
      </c>
      <c r="KHG32" t="s">
        <v>251</v>
      </c>
      <c r="KHH32" t="s">
        <v>1305</v>
      </c>
      <c r="KHI32" t="s">
        <v>251</v>
      </c>
      <c r="KHJ32" t="s">
        <v>1305</v>
      </c>
      <c r="KHK32" t="s">
        <v>251</v>
      </c>
      <c r="KHL32" t="s">
        <v>1305</v>
      </c>
      <c r="KHM32" t="s">
        <v>251</v>
      </c>
      <c r="KHN32" t="s">
        <v>1305</v>
      </c>
      <c r="KHO32" t="s">
        <v>251</v>
      </c>
      <c r="KHP32" t="s">
        <v>1305</v>
      </c>
      <c r="KHQ32" t="s">
        <v>251</v>
      </c>
      <c r="KHR32" t="s">
        <v>1305</v>
      </c>
      <c r="KHS32" t="s">
        <v>251</v>
      </c>
      <c r="KHT32" t="s">
        <v>1305</v>
      </c>
      <c r="KHU32" t="s">
        <v>251</v>
      </c>
      <c r="KHV32" t="s">
        <v>1305</v>
      </c>
      <c r="KHW32" t="s">
        <v>251</v>
      </c>
      <c r="KHX32" t="s">
        <v>1305</v>
      </c>
      <c r="KHY32" t="s">
        <v>251</v>
      </c>
      <c r="KHZ32" t="s">
        <v>1305</v>
      </c>
      <c r="KIA32" t="s">
        <v>251</v>
      </c>
      <c r="KIB32" t="s">
        <v>1305</v>
      </c>
      <c r="KIC32" t="s">
        <v>251</v>
      </c>
      <c r="KID32" t="s">
        <v>1305</v>
      </c>
      <c r="KIE32" t="s">
        <v>251</v>
      </c>
      <c r="KIF32" t="s">
        <v>1305</v>
      </c>
      <c r="KIG32" t="s">
        <v>251</v>
      </c>
      <c r="KIH32" t="s">
        <v>1305</v>
      </c>
      <c r="KII32" t="s">
        <v>251</v>
      </c>
      <c r="KIJ32" t="s">
        <v>1305</v>
      </c>
      <c r="KIK32" t="s">
        <v>251</v>
      </c>
      <c r="KIL32" t="s">
        <v>1305</v>
      </c>
      <c r="KIM32" t="s">
        <v>251</v>
      </c>
      <c r="KIN32" t="s">
        <v>1305</v>
      </c>
      <c r="KIO32" t="s">
        <v>251</v>
      </c>
      <c r="KIP32" t="s">
        <v>1305</v>
      </c>
      <c r="KIQ32" t="s">
        <v>251</v>
      </c>
      <c r="KIR32" t="s">
        <v>1305</v>
      </c>
      <c r="KIS32" t="s">
        <v>251</v>
      </c>
      <c r="KIT32" t="s">
        <v>1305</v>
      </c>
      <c r="KIU32" t="s">
        <v>251</v>
      </c>
      <c r="KIV32" t="s">
        <v>1305</v>
      </c>
      <c r="KIW32" t="s">
        <v>251</v>
      </c>
      <c r="KIX32" t="s">
        <v>1305</v>
      </c>
      <c r="KIY32" t="s">
        <v>251</v>
      </c>
      <c r="KIZ32" t="s">
        <v>1305</v>
      </c>
      <c r="KJA32" t="s">
        <v>251</v>
      </c>
      <c r="KJB32" t="s">
        <v>1305</v>
      </c>
      <c r="KJC32" t="s">
        <v>251</v>
      </c>
      <c r="KJD32" t="s">
        <v>1305</v>
      </c>
      <c r="KJE32" t="s">
        <v>251</v>
      </c>
      <c r="KJF32" t="s">
        <v>1305</v>
      </c>
      <c r="KJG32" t="s">
        <v>251</v>
      </c>
      <c r="KJH32" t="s">
        <v>1305</v>
      </c>
      <c r="KJI32" t="s">
        <v>251</v>
      </c>
      <c r="KJJ32" t="s">
        <v>1305</v>
      </c>
      <c r="KJK32" t="s">
        <v>251</v>
      </c>
      <c r="KJL32" t="s">
        <v>1305</v>
      </c>
      <c r="KJM32" t="s">
        <v>251</v>
      </c>
      <c r="KJN32" t="s">
        <v>1305</v>
      </c>
      <c r="KJO32" t="s">
        <v>251</v>
      </c>
      <c r="KJP32" t="s">
        <v>1305</v>
      </c>
      <c r="KJQ32" t="s">
        <v>251</v>
      </c>
      <c r="KJR32" t="s">
        <v>1305</v>
      </c>
      <c r="KJS32" t="s">
        <v>251</v>
      </c>
      <c r="KJT32" t="s">
        <v>1305</v>
      </c>
      <c r="KJU32" t="s">
        <v>251</v>
      </c>
      <c r="KJV32" t="s">
        <v>1305</v>
      </c>
      <c r="KJW32" t="s">
        <v>251</v>
      </c>
      <c r="KJX32" t="s">
        <v>1305</v>
      </c>
      <c r="KJY32" t="s">
        <v>251</v>
      </c>
      <c r="KJZ32" t="s">
        <v>1305</v>
      </c>
      <c r="KKA32" t="s">
        <v>251</v>
      </c>
      <c r="KKB32" t="s">
        <v>1305</v>
      </c>
      <c r="KKC32" t="s">
        <v>251</v>
      </c>
      <c r="KKD32" t="s">
        <v>1305</v>
      </c>
      <c r="KKE32" t="s">
        <v>251</v>
      </c>
      <c r="KKF32" t="s">
        <v>1305</v>
      </c>
      <c r="KKG32" t="s">
        <v>251</v>
      </c>
      <c r="KKH32" t="s">
        <v>1305</v>
      </c>
      <c r="KKI32" t="s">
        <v>251</v>
      </c>
      <c r="KKJ32" t="s">
        <v>1305</v>
      </c>
      <c r="KKK32" t="s">
        <v>251</v>
      </c>
      <c r="KKL32" t="s">
        <v>1305</v>
      </c>
      <c r="KKM32" t="s">
        <v>251</v>
      </c>
      <c r="KKN32" t="s">
        <v>1305</v>
      </c>
      <c r="KKO32" t="s">
        <v>251</v>
      </c>
      <c r="KKP32" t="s">
        <v>1305</v>
      </c>
      <c r="KKQ32" t="s">
        <v>251</v>
      </c>
      <c r="KKR32" t="s">
        <v>1305</v>
      </c>
      <c r="KKS32" t="s">
        <v>251</v>
      </c>
      <c r="KKT32" t="s">
        <v>1305</v>
      </c>
      <c r="KKU32" t="s">
        <v>251</v>
      </c>
      <c r="KKV32" t="s">
        <v>1305</v>
      </c>
      <c r="KKW32" t="s">
        <v>251</v>
      </c>
      <c r="KKX32" t="s">
        <v>1305</v>
      </c>
      <c r="KKY32" t="s">
        <v>251</v>
      </c>
      <c r="KKZ32" t="s">
        <v>1305</v>
      </c>
      <c r="KLA32" t="s">
        <v>251</v>
      </c>
      <c r="KLB32" t="s">
        <v>1305</v>
      </c>
      <c r="KLC32" t="s">
        <v>251</v>
      </c>
      <c r="KLD32" t="s">
        <v>1305</v>
      </c>
      <c r="KLE32" t="s">
        <v>251</v>
      </c>
      <c r="KLF32" t="s">
        <v>1305</v>
      </c>
      <c r="KLG32" t="s">
        <v>251</v>
      </c>
      <c r="KLH32" t="s">
        <v>1305</v>
      </c>
      <c r="KLI32" t="s">
        <v>251</v>
      </c>
      <c r="KLJ32" t="s">
        <v>1305</v>
      </c>
      <c r="KLK32" t="s">
        <v>251</v>
      </c>
      <c r="KLL32" t="s">
        <v>1305</v>
      </c>
      <c r="KLM32" t="s">
        <v>251</v>
      </c>
      <c r="KLN32" t="s">
        <v>1305</v>
      </c>
      <c r="KLO32" t="s">
        <v>251</v>
      </c>
      <c r="KLP32" t="s">
        <v>1305</v>
      </c>
      <c r="KLQ32" t="s">
        <v>251</v>
      </c>
      <c r="KLR32" t="s">
        <v>1305</v>
      </c>
      <c r="KLS32" t="s">
        <v>251</v>
      </c>
      <c r="KLT32" t="s">
        <v>1305</v>
      </c>
      <c r="KLU32" t="s">
        <v>251</v>
      </c>
      <c r="KLV32" t="s">
        <v>1305</v>
      </c>
      <c r="KLW32" t="s">
        <v>251</v>
      </c>
      <c r="KLX32" t="s">
        <v>1305</v>
      </c>
      <c r="KLY32" t="s">
        <v>251</v>
      </c>
      <c r="KLZ32" t="s">
        <v>1305</v>
      </c>
      <c r="KMA32" t="s">
        <v>251</v>
      </c>
      <c r="KMB32" t="s">
        <v>1305</v>
      </c>
      <c r="KMC32" t="s">
        <v>251</v>
      </c>
      <c r="KMD32" t="s">
        <v>1305</v>
      </c>
      <c r="KME32" t="s">
        <v>251</v>
      </c>
      <c r="KMF32" t="s">
        <v>1305</v>
      </c>
      <c r="KMG32" t="s">
        <v>251</v>
      </c>
      <c r="KMH32" t="s">
        <v>1305</v>
      </c>
      <c r="KMI32" t="s">
        <v>251</v>
      </c>
      <c r="KMJ32" t="s">
        <v>1305</v>
      </c>
      <c r="KMK32" t="s">
        <v>251</v>
      </c>
      <c r="KML32" t="s">
        <v>1305</v>
      </c>
      <c r="KMM32" t="s">
        <v>251</v>
      </c>
      <c r="KMN32" t="s">
        <v>1305</v>
      </c>
      <c r="KMO32" t="s">
        <v>251</v>
      </c>
      <c r="KMP32" t="s">
        <v>1305</v>
      </c>
      <c r="KMQ32" t="s">
        <v>251</v>
      </c>
      <c r="KMR32" t="s">
        <v>1305</v>
      </c>
      <c r="KMS32" t="s">
        <v>251</v>
      </c>
      <c r="KMT32" t="s">
        <v>1305</v>
      </c>
      <c r="KMU32" t="s">
        <v>251</v>
      </c>
      <c r="KMV32" t="s">
        <v>1305</v>
      </c>
      <c r="KMW32" t="s">
        <v>251</v>
      </c>
      <c r="KMX32" t="s">
        <v>1305</v>
      </c>
      <c r="KMY32" t="s">
        <v>251</v>
      </c>
      <c r="KMZ32" t="s">
        <v>1305</v>
      </c>
      <c r="KNA32" t="s">
        <v>251</v>
      </c>
      <c r="KNB32" t="s">
        <v>1305</v>
      </c>
      <c r="KNC32" t="s">
        <v>251</v>
      </c>
      <c r="KND32" t="s">
        <v>1305</v>
      </c>
      <c r="KNE32" t="s">
        <v>251</v>
      </c>
      <c r="KNF32" t="s">
        <v>1305</v>
      </c>
      <c r="KNG32" t="s">
        <v>251</v>
      </c>
      <c r="KNH32" t="s">
        <v>1305</v>
      </c>
      <c r="KNI32" t="s">
        <v>251</v>
      </c>
      <c r="KNJ32" t="s">
        <v>1305</v>
      </c>
      <c r="KNK32" t="s">
        <v>251</v>
      </c>
      <c r="KNL32" t="s">
        <v>1305</v>
      </c>
      <c r="KNM32" t="s">
        <v>251</v>
      </c>
      <c r="KNN32" t="s">
        <v>1305</v>
      </c>
      <c r="KNO32" t="s">
        <v>251</v>
      </c>
      <c r="KNP32" t="s">
        <v>1305</v>
      </c>
      <c r="KNQ32" t="s">
        <v>251</v>
      </c>
      <c r="KNR32" t="s">
        <v>1305</v>
      </c>
      <c r="KNS32" t="s">
        <v>251</v>
      </c>
      <c r="KNT32" t="s">
        <v>1305</v>
      </c>
      <c r="KNU32" t="s">
        <v>251</v>
      </c>
      <c r="KNV32" t="s">
        <v>1305</v>
      </c>
      <c r="KNW32" t="s">
        <v>251</v>
      </c>
      <c r="KNX32" t="s">
        <v>1305</v>
      </c>
      <c r="KNY32" t="s">
        <v>251</v>
      </c>
      <c r="KNZ32" t="s">
        <v>1305</v>
      </c>
      <c r="KOA32" t="s">
        <v>251</v>
      </c>
      <c r="KOB32" t="s">
        <v>1305</v>
      </c>
      <c r="KOC32" t="s">
        <v>251</v>
      </c>
      <c r="KOD32" t="s">
        <v>1305</v>
      </c>
      <c r="KOE32" t="s">
        <v>251</v>
      </c>
      <c r="KOF32" t="s">
        <v>1305</v>
      </c>
      <c r="KOG32" t="s">
        <v>251</v>
      </c>
      <c r="KOH32" t="s">
        <v>1305</v>
      </c>
      <c r="KOI32" t="s">
        <v>251</v>
      </c>
      <c r="KOJ32" t="s">
        <v>1305</v>
      </c>
      <c r="KOK32" t="s">
        <v>251</v>
      </c>
      <c r="KOL32" t="s">
        <v>1305</v>
      </c>
      <c r="KOM32" t="s">
        <v>251</v>
      </c>
      <c r="KON32" t="s">
        <v>1305</v>
      </c>
      <c r="KOO32" t="s">
        <v>251</v>
      </c>
      <c r="KOP32" t="s">
        <v>1305</v>
      </c>
      <c r="KOQ32" t="s">
        <v>251</v>
      </c>
      <c r="KOR32" t="s">
        <v>1305</v>
      </c>
      <c r="KOS32" t="s">
        <v>251</v>
      </c>
      <c r="KOT32" t="s">
        <v>1305</v>
      </c>
      <c r="KOU32" t="s">
        <v>251</v>
      </c>
      <c r="KOV32" t="s">
        <v>1305</v>
      </c>
      <c r="KOW32" t="s">
        <v>251</v>
      </c>
      <c r="KOX32" t="s">
        <v>1305</v>
      </c>
      <c r="KOY32" t="s">
        <v>251</v>
      </c>
      <c r="KOZ32" t="s">
        <v>1305</v>
      </c>
      <c r="KPA32" t="s">
        <v>251</v>
      </c>
      <c r="KPB32" t="s">
        <v>1305</v>
      </c>
      <c r="KPC32" t="s">
        <v>251</v>
      </c>
      <c r="KPD32" t="s">
        <v>1305</v>
      </c>
      <c r="KPE32" t="s">
        <v>251</v>
      </c>
      <c r="KPF32" t="s">
        <v>1305</v>
      </c>
      <c r="KPG32" t="s">
        <v>251</v>
      </c>
      <c r="KPH32" t="s">
        <v>1305</v>
      </c>
      <c r="KPI32" t="s">
        <v>251</v>
      </c>
      <c r="KPJ32" t="s">
        <v>1305</v>
      </c>
      <c r="KPK32" t="s">
        <v>251</v>
      </c>
      <c r="KPL32" t="s">
        <v>1305</v>
      </c>
      <c r="KPM32" t="s">
        <v>251</v>
      </c>
      <c r="KPN32" t="s">
        <v>1305</v>
      </c>
      <c r="KPO32" t="s">
        <v>251</v>
      </c>
      <c r="KPP32" t="s">
        <v>1305</v>
      </c>
      <c r="KPQ32" t="s">
        <v>251</v>
      </c>
      <c r="KPR32" t="s">
        <v>1305</v>
      </c>
      <c r="KPS32" t="s">
        <v>251</v>
      </c>
      <c r="KPT32" t="s">
        <v>1305</v>
      </c>
      <c r="KPU32" t="s">
        <v>251</v>
      </c>
      <c r="KPV32" t="s">
        <v>1305</v>
      </c>
      <c r="KPW32" t="s">
        <v>251</v>
      </c>
      <c r="KPX32" t="s">
        <v>1305</v>
      </c>
      <c r="KPY32" t="s">
        <v>251</v>
      </c>
      <c r="KPZ32" t="s">
        <v>1305</v>
      </c>
      <c r="KQA32" t="s">
        <v>251</v>
      </c>
      <c r="KQB32" t="s">
        <v>1305</v>
      </c>
      <c r="KQC32" t="s">
        <v>251</v>
      </c>
      <c r="KQD32" t="s">
        <v>1305</v>
      </c>
      <c r="KQE32" t="s">
        <v>251</v>
      </c>
      <c r="KQF32" t="s">
        <v>1305</v>
      </c>
      <c r="KQG32" t="s">
        <v>251</v>
      </c>
      <c r="KQH32" t="s">
        <v>1305</v>
      </c>
      <c r="KQI32" t="s">
        <v>251</v>
      </c>
      <c r="KQJ32" t="s">
        <v>1305</v>
      </c>
      <c r="KQK32" t="s">
        <v>251</v>
      </c>
      <c r="KQL32" t="s">
        <v>1305</v>
      </c>
      <c r="KQM32" t="s">
        <v>251</v>
      </c>
      <c r="KQN32" t="s">
        <v>1305</v>
      </c>
      <c r="KQO32" t="s">
        <v>251</v>
      </c>
      <c r="KQP32" t="s">
        <v>1305</v>
      </c>
      <c r="KQQ32" t="s">
        <v>251</v>
      </c>
      <c r="KQR32" t="s">
        <v>1305</v>
      </c>
      <c r="KQS32" t="s">
        <v>251</v>
      </c>
      <c r="KQT32" t="s">
        <v>1305</v>
      </c>
      <c r="KQU32" t="s">
        <v>251</v>
      </c>
      <c r="KQV32" t="s">
        <v>1305</v>
      </c>
      <c r="KQW32" t="s">
        <v>251</v>
      </c>
      <c r="KQX32" t="s">
        <v>1305</v>
      </c>
      <c r="KQY32" t="s">
        <v>251</v>
      </c>
      <c r="KQZ32" t="s">
        <v>1305</v>
      </c>
      <c r="KRA32" t="s">
        <v>251</v>
      </c>
      <c r="KRB32" t="s">
        <v>1305</v>
      </c>
      <c r="KRC32" t="s">
        <v>251</v>
      </c>
      <c r="KRD32" t="s">
        <v>1305</v>
      </c>
      <c r="KRE32" t="s">
        <v>251</v>
      </c>
      <c r="KRF32" t="s">
        <v>1305</v>
      </c>
      <c r="KRG32" t="s">
        <v>251</v>
      </c>
      <c r="KRH32" t="s">
        <v>1305</v>
      </c>
      <c r="KRI32" t="s">
        <v>251</v>
      </c>
      <c r="KRJ32" t="s">
        <v>1305</v>
      </c>
      <c r="KRK32" t="s">
        <v>251</v>
      </c>
      <c r="KRL32" t="s">
        <v>1305</v>
      </c>
      <c r="KRM32" t="s">
        <v>251</v>
      </c>
      <c r="KRN32" t="s">
        <v>1305</v>
      </c>
      <c r="KRO32" t="s">
        <v>251</v>
      </c>
      <c r="KRP32" t="s">
        <v>1305</v>
      </c>
      <c r="KRQ32" t="s">
        <v>251</v>
      </c>
      <c r="KRR32" t="s">
        <v>1305</v>
      </c>
      <c r="KRS32" t="s">
        <v>251</v>
      </c>
      <c r="KRT32" t="s">
        <v>1305</v>
      </c>
      <c r="KRU32" t="s">
        <v>251</v>
      </c>
      <c r="KRV32" t="s">
        <v>1305</v>
      </c>
      <c r="KRW32" t="s">
        <v>251</v>
      </c>
      <c r="KRX32" t="s">
        <v>1305</v>
      </c>
      <c r="KRY32" t="s">
        <v>251</v>
      </c>
      <c r="KRZ32" t="s">
        <v>1305</v>
      </c>
      <c r="KSA32" t="s">
        <v>251</v>
      </c>
      <c r="KSB32" t="s">
        <v>1305</v>
      </c>
      <c r="KSC32" t="s">
        <v>251</v>
      </c>
      <c r="KSD32" t="s">
        <v>1305</v>
      </c>
      <c r="KSE32" t="s">
        <v>251</v>
      </c>
      <c r="KSF32" t="s">
        <v>1305</v>
      </c>
      <c r="KSG32" t="s">
        <v>251</v>
      </c>
      <c r="KSH32" t="s">
        <v>1305</v>
      </c>
      <c r="KSI32" t="s">
        <v>251</v>
      </c>
      <c r="KSJ32" t="s">
        <v>1305</v>
      </c>
      <c r="KSK32" t="s">
        <v>251</v>
      </c>
      <c r="KSL32" t="s">
        <v>1305</v>
      </c>
      <c r="KSM32" t="s">
        <v>251</v>
      </c>
      <c r="KSN32" t="s">
        <v>1305</v>
      </c>
      <c r="KSO32" t="s">
        <v>251</v>
      </c>
      <c r="KSP32" t="s">
        <v>1305</v>
      </c>
      <c r="KSQ32" t="s">
        <v>251</v>
      </c>
      <c r="KSR32" t="s">
        <v>1305</v>
      </c>
      <c r="KSS32" t="s">
        <v>251</v>
      </c>
      <c r="KST32" t="s">
        <v>1305</v>
      </c>
      <c r="KSU32" t="s">
        <v>251</v>
      </c>
      <c r="KSV32" t="s">
        <v>1305</v>
      </c>
      <c r="KSW32" t="s">
        <v>251</v>
      </c>
      <c r="KSX32" t="s">
        <v>1305</v>
      </c>
      <c r="KSY32" t="s">
        <v>251</v>
      </c>
      <c r="KSZ32" t="s">
        <v>1305</v>
      </c>
      <c r="KTA32" t="s">
        <v>251</v>
      </c>
      <c r="KTB32" t="s">
        <v>1305</v>
      </c>
      <c r="KTC32" t="s">
        <v>251</v>
      </c>
      <c r="KTD32" t="s">
        <v>1305</v>
      </c>
      <c r="KTE32" t="s">
        <v>251</v>
      </c>
      <c r="KTF32" t="s">
        <v>1305</v>
      </c>
      <c r="KTG32" t="s">
        <v>251</v>
      </c>
      <c r="KTH32" t="s">
        <v>1305</v>
      </c>
      <c r="KTI32" t="s">
        <v>251</v>
      </c>
      <c r="KTJ32" t="s">
        <v>1305</v>
      </c>
      <c r="KTK32" t="s">
        <v>251</v>
      </c>
      <c r="KTL32" t="s">
        <v>1305</v>
      </c>
      <c r="KTM32" t="s">
        <v>251</v>
      </c>
      <c r="KTN32" t="s">
        <v>1305</v>
      </c>
      <c r="KTO32" t="s">
        <v>251</v>
      </c>
      <c r="KTP32" t="s">
        <v>1305</v>
      </c>
      <c r="KTQ32" t="s">
        <v>251</v>
      </c>
      <c r="KTR32" t="s">
        <v>1305</v>
      </c>
      <c r="KTS32" t="s">
        <v>251</v>
      </c>
      <c r="KTT32" t="s">
        <v>1305</v>
      </c>
      <c r="KTU32" t="s">
        <v>251</v>
      </c>
      <c r="KTV32" t="s">
        <v>1305</v>
      </c>
      <c r="KTW32" t="s">
        <v>251</v>
      </c>
      <c r="KTX32" t="s">
        <v>1305</v>
      </c>
      <c r="KTY32" t="s">
        <v>251</v>
      </c>
      <c r="KTZ32" t="s">
        <v>1305</v>
      </c>
      <c r="KUA32" t="s">
        <v>251</v>
      </c>
      <c r="KUB32" t="s">
        <v>1305</v>
      </c>
      <c r="KUC32" t="s">
        <v>251</v>
      </c>
      <c r="KUD32" t="s">
        <v>1305</v>
      </c>
      <c r="KUE32" t="s">
        <v>251</v>
      </c>
      <c r="KUF32" t="s">
        <v>1305</v>
      </c>
      <c r="KUG32" t="s">
        <v>251</v>
      </c>
      <c r="KUH32" t="s">
        <v>1305</v>
      </c>
      <c r="KUI32" t="s">
        <v>251</v>
      </c>
      <c r="KUJ32" t="s">
        <v>1305</v>
      </c>
      <c r="KUK32" t="s">
        <v>251</v>
      </c>
      <c r="KUL32" t="s">
        <v>1305</v>
      </c>
      <c r="KUM32" t="s">
        <v>251</v>
      </c>
      <c r="KUN32" t="s">
        <v>1305</v>
      </c>
      <c r="KUO32" t="s">
        <v>251</v>
      </c>
      <c r="KUP32" t="s">
        <v>1305</v>
      </c>
      <c r="KUQ32" t="s">
        <v>251</v>
      </c>
      <c r="KUR32" t="s">
        <v>1305</v>
      </c>
      <c r="KUS32" t="s">
        <v>251</v>
      </c>
      <c r="KUT32" t="s">
        <v>1305</v>
      </c>
      <c r="KUU32" t="s">
        <v>251</v>
      </c>
      <c r="KUV32" t="s">
        <v>1305</v>
      </c>
      <c r="KUW32" t="s">
        <v>251</v>
      </c>
      <c r="KUX32" t="s">
        <v>1305</v>
      </c>
      <c r="KUY32" t="s">
        <v>251</v>
      </c>
      <c r="KUZ32" t="s">
        <v>1305</v>
      </c>
      <c r="KVA32" t="s">
        <v>251</v>
      </c>
      <c r="KVB32" t="s">
        <v>1305</v>
      </c>
      <c r="KVC32" t="s">
        <v>251</v>
      </c>
      <c r="KVD32" t="s">
        <v>1305</v>
      </c>
      <c r="KVE32" t="s">
        <v>251</v>
      </c>
      <c r="KVF32" t="s">
        <v>1305</v>
      </c>
      <c r="KVG32" t="s">
        <v>251</v>
      </c>
      <c r="KVH32" t="s">
        <v>1305</v>
      </c>
      <c r="KVI32" t="s">
        <v>251</v>
      </c>
      <c r="KVJ32" t="s">
        <v>1305</v>
      </c>
      <c r="KVK32" t="s">
        <v>251</v>
      </c>
      <c r="KVL32" t="s">
        <v>1305</v>
      </c>
      <c r="KVM32" t="s">
        <v>251</v>
      </c>
      <c r="KVN32" t="s">
        <v>1305</v>
      </c>
      <c r="KVO32" t="s">
        <v>251</v>
      </c>
      <c r="KVP32" t="s">
        <v>1305</v>
      </c>
      <c r="KVQ32" t="s">
        <v>251</v>
      </c>
      <c r="KVR32" t="s">
        <v>1305</v>
      </c>
      <c r="KVS32" t="s">
        <v>251</v>
      </c>
      <c r="KVT32" t="s">
        <v>1305</v>
      </c>
      <c r="KVU32" t="s">
        <v>251</v>
      </c>
      <c r="KVV32" t="s">
        <v>1305</v>
      </c>
      <c r="KVW32" t="s">
        <v>251</v>
      </c>
      <c r="KVX32" t="s">
        <v>1305</v>
      </c>
      <c r="KVY32" t="s">
        <v>251</v>
      </c>
      <c r="KVZ32" t="s">
        <v>1305</v>
      </c>
      <c r="KWA32" t="s">
        <v>251</v>
      </c>
      <c r="KWB32" t="s">
        <v>1305</v>
      </c>
      <c r="KWC32" t="s">
        <v>251</v>
      </c>
      <c r="KWD32" t="s">
        <v>1305</v>
      </c>
      <c r="KWE32" t="s">
        <v>251</v>
      </c>
      <c r="KWF32" t="s">
        <v>1305</v>
      </c>
      <c r="KWG32" t="s">
        <v>251</v>
      </c>
      <c r="KWH32" t="s">
        <v>1305</v>
      </c>
      <c r="KWI32" t="s">
        <v>251</v>
      </c>
      <c r="KWJ32" t="s">
        <v>1305</v>
      </c>
      <c r="KWK32" t="s">
        <v>251</v>
      </c>
      <c r="KWL32" t="s">
        <v>1305</v>
      </c>
      <c r="KWM32" t="s">
        <v>251</v>
      </c>
      <c r="KWN32" t="s">
        <v>1305</v>
      </c>
      <c r="KWO32" t="s">
        <v>251</v>
      </c>
      <c r="KWP32" t="s">
        <v>1305</v>
      </c>
      <c r="KWQ32" t="s">
        <v>251</v>
      </c>
      <c r="KWR32" t="s">
        <v>1305</v>
      </c>
      <c r="KWS32" t="s">
        <v>251</v>
      </c>
      <c r="KWT32" t="s">
        <v>1305</v>
      </c>
      <c r="KWU32" t="s">
        <v>251</v>
      </c>
      <c r="KWV32" t="s">
        <v>1305</v>
      </c>
      <c r="KWW32" t="s">
        <v>251</v>
      </c>
      <c r="KWX32" t="s">
        <v>1305</v>
      </c>
      <c r="KWY32" t="s">
        <v>251</v>
      </c>
      <c r="KWZ32" t="s">
        <v>1305</v>
      </c>
      <c r="KXA32" t="s">
        <v>251</v>
      </c>
      <c r="KXB32" t="s">
        <v>1305</v>
      </c>
      <c r="KXC32" t="s">
        <v>251</v>
      </c>
      <c r="KXD32" t="s">
        <v>1305</v>
      </c>
      <c r="KXE32" t="s">
        <v>251</v>
      </c>
      <c r="KXF32" t="s">
        <v>1305</v>
      </c>
      <c r="KXG32" t="s">
        <v>251</v>
      </c>
      <c r="KXH32" t="s">
        <v>1305</v>
      </c>
      <c r="KXI32" t="s">
        <v>251</v>
      </c>
      <c r="KXJ32" t="s">
        <v>1305</v>
      </c>
      <c r="KXK32" t="s">
        <v>251</v>
      </c>
      <c r="KXL32" t="s">
        <v>1305</v>
      </c>
      <c r="KXM32" t="s">
        <v>251</v>
      </c>
      <c r="KXN32" t="s">
        <v>1305</v>
      </c>
      <c r="KXO32" t="s">
        <v>251</v>
      </c>
      <c r="KXP32" t="s">
        <v>1305</v>
      </c>
      <c r="KXQ32" t="s">
        <v>251</v>
      </c>
      <c r="KXR32" t="s">
        <v>1305</v>
      </c>
      <c r="KXS32" t="s">
        <v>251</v>
      </c>
      <c r="KXT32" t="s">
        <v>1305</v>
      </c>
      <c r="KXU32" t="s">
        <v>251</v>
      </c>
      <c r="KXV32" t="s">
        <v>1305</v>
      </c>
      <c r="KXW32" t="s">
        <v>251</v>
      </c>
      <c r="KXX32" t="s">
        <v>1305</v>
      </c>
      <c r="KXY32" t="s">
        <v>251</v>
      </c>
      <c r="KXZ32" t="s">
        <v>1305</v>
      </c>
      <c r="KYA32" t="s">
        <v>251</v>
      </c>
      <c r="KYB32" t="s">
        <v>1305</v>
      </c>
      <c r="KYC32" t="s">
        <v>251</v>
      </c>
      <c r="KYD32" t="s">
        <v>1305</v>
      </c>
      <c r="KYE32" t="s">
        <v>251</v>
      </c>
      <c r="KYF32" t="s">
        <v>1305</v>
      </c>
      <c r="KYG32" t="s">
        <v>251</v>
      </c>
      <c r="KYH32" t="s">
        <v>1305</v>
      </c>
      <c r="KYI32" t="s">
        <v>251</v>
      </c>
      <c r="KYJ32" t="s">
        <v>1305</v>
      </c>
      <c r="KYK32" t="s">
        <v>251</v>
      </c>
      <c r="KYL32" t="s">
        <v>1305</v>
      </c>
      <c r="KYM32" t="s">
        <v>251</v>
      </c>
      <c r="KYN32" t="s">
        <v>1305</v>
      </c>
      <c r="KYO32" t="s">
        <v>251</v>
      </c>
      <c r="KYP32" t="s">
        <v>1305</v>
      </c>
      <c r="KYQ32" t="s">
        <v>251</v>
      </c>
      <c r="KYR32" t="s">
        <v>1305</v>
      </c>
      <c r="KYS32" t="s">
        <v>251</v>
      </c>
      <c r="KYT32" t="s">
        <v>1305</v>
      </c>
      <c r="KYU32" t="s">
        <v>251</v>
      </c>
      <c r="KYV32" t="s">
        <v>1305</v>
      </c>
      <c r="KYW32" t="s">
        <v>251</v>
      </c>
      <c r="KYX32" t="s">
        <v>1305</v>
      </c>
      <c r="KYY32" t="s">
        <v>251</v>
      </c>
      <c r="KYZ32" t="s">
        <v>1305</v>
      </c>
      <c r="KZA32" t="s">
        <v>251</v>
      </c>
      <c r="KZB32" t="s">
        <v>1305</v>
      </c>
      <c r="KZC32" t="s">
        <v>251</v>
      </c>
      <c r="KZD32" t="s">
        <v>1305</v>
      </c>
      <c r="KZE32" t="s">
        <v>251</v>
      </c>
      <c r="KZF32" t="s">
        <v>1305</v>
      </c>
      <c r="KZG32" t="s">
        <v>251</v>
      </c>
      <c r="KZH32" t="s">
        <v>1305</v>
      </c>
      <c r="KZI32" t="s">
        <v>251</v>
      </c>
      <c r="KZJ32" t="s">
        <v>1305</v>
      </c>
      <c r="KZK32" t="s">
        <v>251</v>
      </c>
      <c r="KZL32" t="s">
        <v>1305</v>
      </c>
      <c r="KZM32" t="s">
        <v>251</v>
      </c>
      <c r="KZN32" t="s">
        <v>1305</v>
      </c>
      <c r="KZO32" t="s">
        <v>251</v>
      </c>
      <c r="KZP32" t="s">
        <v>1305</v>
      </c>
      <c r="KZQ32" t="s">
        <v>251</v>
      </c>
      <c r="KZR32" t="s">
        <v>1305</v>
      </c>
      <c r="KZS32" t="s">
        <v>251</v>
      </c>
      <c r="KZT32" t="s">
        <v>1305</v>
      </c>
      <c r="KZU32" t="s">
        <v>251</v>
      </c>
      <c r="KZV32" t="s">
        <v>1305</v>
      </c>
      <c r="KZW32" t="s">
        <v>251</v>
      </c>
      <c r="KZX32" t="s">
        <v>1305</v>
      </c>
      <c r="KZY32" t="s">
        <v>251</v>
      </c>
      <c r="KZZ32" t="s">
        <v>1305</v>
      </c>
      <c r="LAA32" t="s">
        <v>251</v>
      </c>
      <c r="LAB32" t="s">
        <v>1305</v>
      </c>
      <c r="LAC32" t="s">
        <v>251</v>
      </c>
      <c r="LAD32" t="s">
        <v>1305</v>
      </c>
      <c r="LAE32" t="s">
        <v>251</v>
      </c>
      <c r="LAF32" t="s">
        <v>1305</v>
      </c>
      <c r="LAG32" t="s">
        <v>251</v>
      </c>
      <c r="LAH32" t="s">
        <v>1305</v>
      </c>
      <c r="LAI32" t="s">
        <v>251</v>
      </c>
      <c r="LAJ32" t="s">
        <v>1305</v>
      </c>
      <c r="LAK32" t="s">
        <v>251</v>
      </c>
      <c r="LAL32" t="s">
        <v>1305</v>
      </c>
      <c r="LAM32" t="s">
        <v>251</v>
      </c>
      <c r="LAN32" t="s">
        <v>1305</v>
      </c>
      <c r="LAO32" t="s">
        <v>251</v>
      </c>
      <c r="LAP32" t="s">
        <v>1305</v>
      </c>
      <c r="LAQ32" t="s">
        <v>251</v>
      </c>
      <c r="LAR32" t="s">
        <v>1305</v>
      </c>
      <c r="LAS32" t="s">
        <v>251</v>
      </c>
      <c r="LAT32" t="s">
        <v>1305</v>
      </c>
      <c r="LAU32" t="s">
        <v>251</v>
      </c>
      <c r="LAV32" t="s">
        <v>1305</v>
      </c>
      <c r="LAW32" t="s">
        <v>251</v>
      </c>
      <c r="LAX32" t="s">
        <v>1305</v>
      </c>
      <c r="LAY32" t="s">
        <v>251</v>
      </c>
      <c r="LAZ32" t="s">
        <v>1305</v>
      </c>
      <c r="LBA32" t="s">
        <v>251</v>
      </c>
      <c r="LBB32" t="s">
        <v>1305</v>
      </c>
      <c r="LBC32" t="s">
        <v>251</v>
      </c>
      <c r="LBD32" t="s">
        <v>1305</v>
      </c>
      <c r="LBE32" t="s">
        <v>251</v>
      </c>
      <c r="LBF32" t="s">
        <v>1305</v>
      </c>
      <c r="LBG32" t="s">
        <v>251</v>
      </c>
      <c r="LBH32" t="s">
        <v>1305</v>
      </c>
      <c r="LBI32" t="s">
        <v>251</v>
      </c>
      <c r="LBJ32" t="s">
        <v>1305</v>
      </c>
      <c r="LBK32" t="s">
        <v>251</v>
      </c>
      <c r="LBL32" t="s">
        <v>1305</v>
      </c>
      <c r="LBM32" t="s">
        <v>251</v>
      </c>
      <c r="LBN32" t="s">
        <v>1305</v>
      </c>
      <c r="LBO32" t="s">
        <v>251</v>
      </c>
      <c r="LBP32" t="s">
        <v>1305</v>
      </c>
      <c r="LBQ32" t="s">
        <v>251</v>
      </c>
      <c r="LBR32" t="s">
        <v>1305</v>
      </c>
      <c r="LBS32" t="s">
        <v>251</v>
      </c>
      <c r="LBT32" t="s">
        <v>1305</v>
      </c>
      <c r="LBU32" t="s">
        <v>251</v>
      </c>
      <c r="LBV32" t="s">
        <v>1305</v>
      </c>
      <c r="LBW32" t="s">
        <v>251</v>
      </c>
      <c r="LBX32" t="s">
        <v>1305</v>
      </c>
      <c r="LBY32" t="s">
        <v>251</v>
      </c>
      <c r="LBZ32" t="s">
        <v>1305</v>
      </c>
      <c r="LCA32" t="s">
        <v>251</v>
      </c>
      <c r="LCB32" t="s">
        <v>1305</v>
      </c>
      <c r="LCC32" t="s">
        <v>251</v>
      </c>
      <c r="LCD32" t="s">
        <v>1305</v>
      </c>
      <c r="LCE32" t="s">
        <v>251</v>
      </c>
      <c r="LCF32" t="s">
        <v>1305</v>
      </c>
      <c r="LCG32" t="s">
        <v>251</v>
      </c>
      <c r="LCH32" t="s">
        <v>1305</v>
      </c>
      <c r="LCI32" t="s">
        <v>251</v>
      </c>
      <c r="LCJ32" t="s">
        <v>1305</v>
      </c>
      <c r="LCK32" t="s">
        <v>251</v>
      </c>
      <c r="LCL32" t="s">
        <v>1305</v>
      </c>
      <c r="LCM32" t="s">
        <v>251</v>
      </c>
      <c r="LCN32" t="s">
        <v>1305</v>
      </c>
      <c r="LCO32" t="s">
        <v>251</v>
      </c>
      <c r="LCP32" t="s">
        <v>1305</v>
      </c>
      <c r="LCQ32" t="s">
        <v>251</v>
      </c>
      <c r="LCR32" t="s">
        <v>1305</v>
      </c>
      <c r="LCS32" t="s">
        <v>251</v>
      </c>
      <c r="LCT32" t="s">
        <v>1305</v>
      </c>
      <c r="LCU32" t="s">
        <v>251</v>
      </c>
      <c r="LCV32" t="s">
        <v>1305</v>
      </c>
      <c r="LCW32" t="s">
        <v>251</v>
      </c>
      <c r="LCX32" t="s">
        <v>1305</v>
      </c>
      <c r="LCY32" t="s">
        <v>251</v>
      </c>
      <c r="LCZ32" t="s">
        <v>1305</v>
      </c>
      <c r="LDA32" t="s">
        <v>251</v>
      </c>
      <c r="LDB32" t="s">
        <v>1305</v>
      </c>
      <c r="LDC32" t="s">
        <v>251</v>
      </c>
      <c r="LDD32" t="s">
        <v>1305</v>
      </c>
      <c r="LDE32" t="s">
        <v>251</v>
      </c>
      <c r="LDF32" t="s">
        <v>1305</v>
      </c>
      <c r="LDG32" t="s">
        <v>251</v>
      </c>
      <c r="LDH32" t="s">
        <v>1305</v>
      </c>
      <c r="LDI32" t="s">
        <v>251</v>
      </c>
      <c r="LDJ32" t="s">
        <v>1305</v>
      </c>
      <c r="LDK32" t="s">
        <v>251</v>
      </c>
      <c r="LDL32" t="s">
        <v>1305</v>
      </c>
      <c r="LDM32" t="s">
        <v>251</v>
      </c>
      <c r="LDN32" t="s">
        <v>1305</v>
      </c>
      <c r="LDO32" t="s">
        <v>251</v>
      </c>
      <c r="LDP32" t="s">
        <v>1305</v>
      </c>
      <c r="LDQ32" t="s">
        <v>251</v>
      </c>
      <c r="LDR32" t="s">
        <v>1305</v>
      </c>
      <c r="LDS32" t="s">
        <v>251</v>
      </c>
      <c r="LDT32" t="s">
        <v>1305</v>
      </c>
      <c r="LDU32" t="s">
        <v>251</v>
      </c>
      <c r="LDV32" t="s">
        <v>1305</v>
      </c>
      <c r="LDW32" t="s">
        <v>251</v>
      </c>
      <c r="LDX32" t="s">
        <v>1305</v>
      </c>
      <c r="LDY32" t="s">
        <v>251</v>
      </c>
      <c r="LDZ32" t="s">
        <v>1305</v>
      </c>
      <c r="LEA32" t="s">
        <v>251</v>
      </c>
      <c r="LEB32" t="s">
        <v>1305</v>
      </c>
      <c r="LEC32" t="s">
        <v>251</v>
      </c>
      <c r="LED32" t="s">
        <v>1305</v>
      </c>
      <c r="LEE32" t="s">
        <v>251</v>
      </c>
      <c r="LEF32" t="s">
        <v>1305</v>
      </c>
      <c r="LEG32" t="s">
        <v>251</v>
      </c>
      <c r="LEH32" t="s">
        <v>1305</v>
      </c>
      <c r="LEI32" t="s">
        <v>251</v>
      </c>
      <c r="LEJ32" t="s">
        <v>1305</v>
      </c>
      <c r="LEK32" t="s">
        <v>251</v>
      </c>
      <c r="LEL32" t="s">
        <v>1305</v>
      </c>
      <c r="LEM32" t="s">
        <v>251</v>
      </c>
      <c r="LEN32" t="s">
        <v>1305</v>
      </c>
      <c r="LEO32" t="s">
        <v>251</v>
      </c>
      <c r="LEP32" t="s">
        <v>1305</v>
      </c>
      <c r="LEQ32" t="s">
        <v>251</v>
      </c>
      <c r="LER32" t="s">
        <v>1305</v>
      </c>
      <c r="LES32" t="s">
        <v>251</v>
      </c>
      <c r="LET32" t="s">
        <v>1305</v>
      </c>
      <c r="LEU32" t="s">
        <v>251</v>
      </c>
      <c r="LEV32" t="s">
        <v>1305</v>
      </c>
      <c r="LEW32" t="s">
        <v>251</v>
      </c>
      <c r="LEX32" t="s">
        <v>1305</v>
      </c>
      <c r="LEY32" t="s">
        <v>251</v>
      </c>
      <c r="LEZ32" t="s">
        <v>1305</v>
      </c>
      <c r="LFA32" t="s">
        <v>251</v>
      </c>
      <c r="LFB32" t="s">
        <v>1305</v>
      </c>
      <c r="LFC32" t="s">
        <v>251</v>
      </c>
      <c r="LFD32" t="s">
        <v>1305</v>
      </c>
      <c r="LFE32" t="s">
        <v>251</v>
      </c>
      <c r="LFF32" t="s">
        <v>1305</v>
      </c>
      <c r="LFG32" t="s">
        <v>251</v>
      </c>
      <c r="LFH32" t="s">
        <v>1305</v>
      </c>
      <c r="LFI32" t="s">
        <v>251</v>
      </c>
      <c r="LFJ32" t="s">
        <v>1305</v>
      </c>
      <c r="LFK32" t="s">
        <v>251</v>
      </c>
      <c r="LFL32" t="s">
        <v>1305</v>
      </c>
      <c r="LFM32" t="s">
        <v>251</v>
      </c>
      <c r="LFN32" t="s">
        <v>1305</v>
      </c>
      <c r="LFO32" t="s">
        <v>251</v>
      </c>
      <c r="LFP32" t="s">
        <v>1305</v>
      </c>
      <c r="LFQ32" t="s">
        <v>251</v>
      </c>
      <c r="LFR32" t="s">
        <v>1305</v>
      </c>
      <c r="LFS32" t="s">
        <v>251</v>
      </c>
      <c r="LFT32" t="s">
        <v>1305</v>
      </c>
      <c r="LFU32" t="s">
        <v>251</v>
      </c>
      <c r="LFV32" t="s">
        <v>1305</v>
      </c>
      <c r="LFW32" t="s">
        <v>251</v>
      </c>
      <c r="LFX32" t="s">
        <v>1305</v>
      </c>
      <c r="LFY32" t="s">
        <v>251</v>
      </c>
      <c r="LFZ32" t="s">
        <v>1305</v>
      </c>
      <c r="LGA32" t="s">
        <v>251</v>
      </c>
      <c r="LGB32" t="s">
        <v>1305</v>
      </c>
      <c r="LGC32" t="s">
        <v>251</v>
      </c>
      <c r="LGD32" t="s">
        <v>1305</v>
      </c>
      <c r="LGE32" t="s">
        <v>251</v>
      </c>
      <c r="LGF32" t="s">
        <v>1305</v>
      </c>
      <c r="LGG32" t="s">
        <v>251</v>
      </c>
      <c r="LGH32" t="s">
        <v>1305</v>
      </c>
      <c r="LGI32" t="s">
        <v>251</v>
      </c>
      <c r="LGJ32" t="s">
        <v>1305</v>
      </c>
      <c r="LGK32" t="s">
        <v>251</v>
      </c>
      <c r="LGL32" t="s">
        <v>1305</v>
      </c>
      <c r="LGM32" t="s">
        <v>251</v>
      </c>
      <c r="LGN32" t="s">
        <v>1305</v>
      </c>
      <c r="LGO32" t="s">
        <v>251</v>
      </c>
      <c r="LGP32" t="s">
        <v>1305</v>
      </c>
      <c r="LGQ32" t="s">
        <v>251</v>
      </c>
      <c r="LGR32" t="s">
        <v>1305</v>
      </c>
      <c r="LGS32" t="s">
        <v>251</v>
      </c>
      <c r="LGT32" t="s">
        <v>1305</v>
      </c>
      <c r="LGU32" t="s">
        <v>251</v>
      </c>
      <c r="LGV32" t="s">
        <v>1305</v>
      </c>
      <c r="LGW32" t="s">
        <v>251</v>
      </c>
      <c r="LGX32" t="s">
        <v>1305</v>
      </c>
      <c r="LGY32" t="s">
        <v>251</v>
      </c>
      <c r="LGZ32" t="s">
        <v>1305</v>
      </c>
      <c r="LHA32" t="s">
        <v>251</v>
      </c>
      <c r="LHB32" t="s">
        <v>1305</v>
      </c>
      <c r="LHC32" t="s">
        <v>251</v>
      </c>
      <c r="LHD32" t="s">
        <v>1305</v>
      </c>
      <c r="LHE32" t="s">
        <v>251</v>
      </c>
      <c r="LHF32" t="s">
        <v>1305</v>
      </c>
      <c r="LHG32" t="s">
        <v>251</v>
      </c>
      <c r="LHH32" t="s">
        <v>1305</v>
      </c>
      <c r="LHI32" t="s">
        <v>251</v>
      </c>
      <c r="LHJ32" t="s">
        <v>1305</v>
      </c>
      <c r="LHK32" t="s">
        <v>251</v>
      </c>
      <c r="LHL32" t="s">
        <v>1305</v>
      </c>
      <c r="LHM32" t="s">
        <v>251</v>
      </c>
      <c r="LHN32" t="s">
        <v>1305</v>
      </c>
      <c r="LHO32" t="s">
        <v>251</v>
      </c>
      <c r="LHP32" t="s">
        <v>1305</v>
      </c>
      <c r="LHQ32" t="s">
        <v>251</v>
      </c>
      <c r="LHR32" t="s">
        <v>1305</v>
      </c>
      <c r="LHS32" t="s">
        <v>251</v>
      </c>
      <c r="LHT32" t="s">
        <v>1305</v>
      </c>
      <c r="LHU32" t="s">
        <v>251</v>
      </c>
      <c r="LHV32" t="s">
        <v>1305</v>
      </c>
      <c r="LHW32" t="s">
        <v>251</v>
      </c>
      <c r="LHX32" t="s">
        <v>1305</v>
      </c>
      <c r="LHY32" t="s">
        <v>251</v>
      </c>
      <c r="LHZ32" t="s">
        <v>1305</v>
      </c>
      <c r="LIA32" t="s">
        <v>251</v>
      </c>
      <c r="LIB32" t="s">
        <v>1305</v>
      </c>
      <c r="LIC32" t="s">
        <v>251</v>
      </c>
      <c r="LID32" t="s">
        <v>1305</v>
      </c>
      <c r="LIE32" t="s">
        <v>251</v>
      </c>
      <c r="LIF32" t="s">
        <v>1305</v>
      </c>
      <c r="LIG32" t="s">
        <v>251</v>
      </c>
      <c r="LIH32" t="s">
        <v>1305</v>
      </c>
      <c r="LII32" t="s">
        <v>251</v>
      </c>
      <c r="LIJ32" t="s">
        <v>1305</v>
      </c>
      <c r="LIK32" t="s">
        <v>251</v>
      </c>
      <c r="LIL32" t="s">
        <v>1305</v>
      </c>
      <c r="LIM32" t="s">
        <v>251</v>
      </c>
      <c r="LIN32" t="s">
        <v>1305</v>
      </c>
      <c r="LIO32" t="s">
        <v>251</v>
      </c>
      <c r="LIP32" t="s">
        <v>1305</v>
      </c>
      <c r="LIQ32" t="s">
        <v>251</v>
      </c>
      <c r="LIR32" t="s">
        <v>1305</v>
      </c>
      <c r="LIS32" t="s">
        <v>251</v>
      </c>
      <c r="LIT32" t="s">
        <v>1305</v>
      </c>
      <c r="LIU32" t="s">
        <v>251</v>
      </c>
      <c r="LIV32" t="s">
        <v>1305</v>
      </c>
      <c r="LIW32" t="s">
        <v>251</v>
      </c>
      <c r="LIX32" t="s">
        <v>1305</v>
      </c>
      <c r="LIY32" t="s">
        <v>251</v>
      </c>
      <c r="LIZ32" t="s">
        <v>1305</v>
      </c>
      <c r="LJA32" t="s">
        <v>251</v>
      </c>
      <c r="LJB32" t="s">
        <v>1305</v>
      </c>
      <c r="LJC32" t="s">
        <v>251</v>
      </c>
      <c r="LJD32" t="s">
        <v>1305</v>
      </c>
      <c r="LJE32" t="s">
        <v>251</v>
      </c>
      <c r="LJF32" t="s">
        <v>1305</v>
      </c>
      <c r="LJG32" t="s">
        <v>251</v>
      </c>
      <c r="LJH32" t="s">
        <v>1305</v>
      </c>
      <c r="LJI32" t="s">
        <v>251</v>
      </c>
      <c r="LJJ32" t="s">
        <v>1305</v>
      </c>
      <c r="LJK32" t="s">
        <v>251</v>
      </c>
      <c r="LJL32" t="s">
        <v>1305</v>
      </c>
      <c r="LJM32" t="s">
        <v>251</v>
      </c>
      <c r="LJN32" t="s">
        <v>1305</v>
      </c>
      <c r="LJO32" t="s">
        <v>251</v>
      </c>
      <c r="LJP32" t="s">
        <v>1305</v>
      </c>
      <c r="LJQ32" t="s">
        <v>251</v>
      </c>
      <c r="LJR32" t="s">
        <v>1305</v>
      </c>
      <c r="LJS32" t="s">
        <v>251</v>
      </c>
      <c r="LJT32" t="s">
        <v>1305</v>
      </c>
      <c r="LJU32" t="s">
        <v>251</v>
      </c>
      <c r="LJV32" t="s">
        <v>1305</v>
      </c>
      <c r="LJW32" t="s">
        <v>251</v>
      </c>
      <c r="LJX32" t="s">
        <v>1305</v>
      </c>
      <c r="LJY32" t="s">
        <v>251</v>
      </c>
      <c r="LJZ32" t="s">
        <v>1305</v>
      </c>
      <c r="LKA32" t="s">
        <v>251</v>
      </c>
      <c r="LKB32" t="s">
        <v>1305</v>
      </c>
      <c r="LKC32" t="s">
        <v>251</v>
      </c>
      <c r="LKD32" t="s">
        <v>1305</v>
      </c>
      <c r="LKE32" t="s">
        <v>251</v>
      </c>
      <c r="LKF32" t="s">
        <v>1305</v>
      </c>
      <c r="LKG32" t="s">
        <v>251</v>
      </c>
      <c r="LKH32" t="s">
        <v>1305</v>
      </c>
      <c r="LKI32" t="s">
        <v>251</v>
      </c>
      <c r="LKJ32" t="s">
        <v>1305</v>
      </c>
      <c r="LKK32" t="s">
        <v>251</v>
      </c>
      <c r="LKL32" t="s">
        <v>1305</v>
      </c>
      <c r="LKM32" t="s">
        <v>251</v>
      </c>
      <c r="LKN32" t="s">
        <v>1305</v>
      </c>
      <c r="LKO32" t="s">
        <v>251</v>
      </c>
      <c r="LKP32" t="s">
        <v>1305</v>
      </c>
      <c r="LKQ32" t="s">
        <v>251</v>
      </c>
      <c r="LKR32" t="s">
        <v>1305</v>
      </c>
      <c r="LKS32" t="s">
        <v>251</v>
      </c>
      <c r="LKT32" t="s">
        <v>1305</v>
      </c>
      <c r="LKU32" t="s">
        <v>251</v>
      </c>
      <c r="LKV32" t="s">
        <v>1305</v>
      </c>
      <c r="LKW32" t="s">
        <v>251</v>
      </c>
      <c r="LKX32" t="s">
        <v>1305</v>
      </c>
      <c r="LKY32" t="s">
        <v>251</v>
      </c>
      <c r="LKZ32" t="s">
        <v>1305</v>
      </c>
      <c r="LLA32" t="s">
        <v>251</v>
      </c>
      <c r="LLB32" t="s">
        <v>1305</v>
      </c>
      <c r="LLC32" t="s">
        <v>251</v>
      </c>
      <c r="LLD32" t="s">
        <v>1305</v>
      </c>
      <c r="LLE32" t="s">
        <v>251</v>
      </c>
      <c r="LLF32" t="s">
        <v>1305</v>
      </c>
      <c r="LLG32" t="s">
        <v>251</v>
      </c>
      <c r="LLH32" t="s">
        <v>1305</v>
      </c>
      <c r="LLI32" t="s">
        <v>251</v>
      </c>
      <c r="LLJ32" t="s">
        <v>1305</v>
      </c>
      <c r="LLK32" t="s">
        <v>251</v>
      </c>
      <c r="LLL32" t="s">
        <v>1305</v>
      </c>
      <c r="LLM32" t="s">
        <v>251</v>
      </c>
      <c r="LLN32" t="s">
        <v>1305</v>
      </c>
      <c r="LLO32" t="s">
        <v>251</v>
      </c>
      <c r="LLP32" t="s">
        <v>1305</v>
      </c>
      <c r="LLQ32" t="s">
        <v>251</v>
      </c>
      <c r="LLR32" t="s">
        <v>1305</v>
      </c>
      <c r="LLS32" t="s">
        <v>251</v>
      </c>
      <c r="LLT32" t="s">
        <v>1305</v>
      </c>
      <c r="LLU32" t="s">
        <v>251</v>
      </c>
      <c r="LLV32" t="s">
        <v>1305</v>
      </c>
      <c r="LLW32" t="s">
        <v>251</v>
      </c>
      <c r="LLX32" t="s">
        <v>1305</v>
      </c>
      <c r="LLY32" t="s">
        <v>251</v>
      </c>
      <c r="LLZ32" t="s">
        <v>1305</v>
      </c>
      <c r="LMA32" t="s">
        <v>251</v>
      </c>
      <c r="LMB32" t="s">
        <v>1305</v>
      </c>
      <c r="LMC32" t="s">
        <v>251</v>
      </c>
      <c r="LMD32" t="s">
        <v>1305</v>
      </c>
      <c r="LME32" t="s">
        <v>251</v>
      </c>
      <c r="LMF32" t="s">
        <v>1305</v>
      </c>
      <c r="LMG32" t="s">
        <v>251</v>
      </c>
      <c r="LMH32" t="s">
        <v>1305</v>
      </c>
      <c r="LMI32" t="s">
        <v>251</v>
      </c>
      <c r="LMJ32" t="s">
        <v>1305</v>
      </c>
      <c r="LMK32" t="s">
        <v>251</v>
      </c>
      <c r="LML32" t="s">
        <v>1305</v>
      </c>
      <c r="LMM32" t="s">
        <v>251</v>
      </c>
      <c r="LMN32" t="s">
        <v>1305</v>
      </c>
      <c r="LMO32" t="s">
        <v>251</v>
      </c>
      <c r="LMP32" t="s">
        <v>1305</v>
      </c>
      <c r="LMQ32" t="s">
        <v>251</v>
      </c>
      <c r="LMR32" t="s">
        <v>1305</v>
      </c>
      <c r="LMS32" t="s">
        <v>251</v>
      </c>
      <c r="LMT32" t="s">
        <v>1305</v>
      </c>
      <c r="LMU32" t="s">
        <v>251</v>
      </c>
      <c r="LMV32" t="s">
        <v>1305</v>
      </c>
      <c r="LMW32" t="s">
        <v>251</v>
      </c>
      <c r="LMX32" t="s">
        <v>1305</v>
      </c>
      <c r="LMY32" t="s">
        <v>251</v>
      </c>
      <c r="LMZ32" t="s">
        <v>1305</v>
      </c>
      <c r="LNA32" t="s">
        <v>251</v>
      </c>
      <c r="LNB32" t="s">
        <v>1305</v>
      </c>
      <c r="LNC32" t="s">
        <v>251</v>
      </c>
      <c r="LND32" t="s">
        <v>1305</v>
      </c>
      <c r="LNE32" t="s">
        <v>251</v>
      </c>
      <c r="LNF32" t="s">
        <v>1305</v>
      </c>
      <c r="LNG32" t="s">
        <v>251</v>
      </c>
      <c r="LNH32" t="s">
        <v>1305</v>
      </c>
      <c r="LNI32" t="s">
        <v>251</v>
      </c>
      <c r="LNJ32" t="s">
        <v>1305</v>
      </c>
      <c r="LNK32" t="s">
        <v>251</v>
      </c>
      <c r="LNL32" t="s">
        <v>1305</v>
      </c>
      <c r="LNM32" t="s">
        <v>251</v>
      </c>
      <c r="LNN32" t="s">
        <v>1305</v>
      </c>
      <c r="LNO32" t="s">
        <v>251</v>
      </c>
      <c r="LNP32" t="s">
        <v>1305</v>
      </c>
      <c r="LNQ32" t="s">
        <v>251</v>
      </c>
      <c r="LNR32" t="s">
        <v>1305</v>
      </c>
      <c r="LNS32" t="s">
        <v>251</v>
      </c>
      <c r="LNT32" t="s">
        <v>1305</v>
      </c>
      <c r="LNU32" t="s">
        <v>251</v>
      </c>
      <c r="LNV32" t="s">
        <v>1305</v>
      </c>
      <c r="LNW32" t="s">
        <v>251</v>
      </c>
      <c r="LNX32" t="s">
        <v>1305</v>
      </c>
      <c r="LNY32" t="s">
        <v>251</v>
      </c>
      <c r="LNZ32" t="s">
        <v>1305</v>
      </c>
      <c r="LOA32" t="s">
        <v>251</v>
      </c>
      <c r="LOB32" t="s">
        <v>1305</v>
      </c>
      <c r="LOC32" t="s">
        <v>251</v>
      </c>
      <c r="LOD32" t="s">
        <v>1305</v>
      </c>
      <c r="LOE32" t="s">
        <v>251</v>
      </c>
      <c r="LOF32" t="s">
        <v>1305</v>
      </c>
      <c r="LOG32" t="s">
        <v>251</v>
      </c>
      <c r="LOH32" t="s">
        <v>1305</v>
      </c>
      <c r="LOI32" t="s">
        <v>251</v>
      </c>
      <c r="LOJ32" t="s">
        <v>1305</v>
      </c>
      <c r="LOK32" t="s">
        <v>251</v>
      </c>
      <c r="LOL32" t="s">
        <v>1305</v>
      </c>
      <c r="LOM32" t="s">
        <v>251</v>
      </c>
      <c r="LON32" t="s">
        <v>1305</v>
      </c>
      <c r="LOO32" t="s">
        <v>251</v>
      </c>
      <c r="LOP32" t="s">
        <v>1305</v>
      </c>
      <c r="LOQ32" t="s">
        <v>251</v>
      </c>
      <c r="LOR32" t="s">
        <v>1305</v>
      </c>
      <c r="LOS32" t="s">
        <v>251</v>
      </c>
      <c r="LOT32" t="s">
        <v>1305</v>
      </c>
      <c r="LOU32" t="s">
        <v>251</v>
      </c>
      <c r="LOV32" t="s">
        <v>1305</v>
      </c>
      <c r="LOW32" t="s">
        <v>251</v>
      </c>
      <c r="LOX32" t="s">
        <v>1305</v>
      </c>
      <c r="LOY32" t="s">
        <v>251</v>
      </c>
      <c r="LOZ32" t="s">
        <v>1305</v>
      </c>
      <c r="LPA32" t="s">
        <v>251</v>
      </c>
      <c r="LPB32" t="s">
        <v>1305</v>
      </c>
      <c r="LPC32" t="s">
        <v>251</v>
      </c>
      <c r="LPD32" t="s">
        <v>1305</v>
      </c>
      <c r="LPE32" t="s">
        <v>251</v>
      </c>
      <c r="LPF32" t="s">
        <v>1305</v>
      </c>
      <c r="LPG32" t="s">
        <v>251</v>
      </c>
      <c r="LPH32" t="s">
        <v>1305</v>
      </c>
      <c r="LPI32" t="s">
        <v>251</v>
      </c>
      <c r="LPJ32" t="s">
        <v>1305</v>
      </c>
      <c r="LPK32" t="s">
        <v>251</v>
      </c>
      <c r="LPL32" t="s">
        <v>1305</v>
      </c>
      <c r="LPM32" t="s">
        <v>251</v>
      </c>
      <c r="LPN32" t="s">
        <v>1305</v>
      </c>
      <c r="LPO32" t="s">
        <v>251</v>
      </c>
      <c r="LPP32" t="s">
        <v>1305</v>
      </c>
      <c r="LPQ32" t="s">
        <v>251</v>
      </c>
      <c r="LPR32" t="s">
        <v>1305</v>
      </c>
      <c r="LPS32" t="s">
        <v>251</v>
      </c>
      <c r="LPT32" t="s">
        <v>1305</v>
      </c>
      <c r="LPU32" t="s">
        <v>251</v>
      </c>
      <c r="LPV32" t="s">
        <v>1305</v>
      </c>
      <c r="LPW32" t="s">
        <v>251</v>
      </c>
      <c r="LPX32" t="s">
        <v>1305</v>
      </c>
      <c r="LPY32" t="s">
        <v>251</v>
      </c>
      <c r="LPZ32" t="s">
        <v>1305</v>
      </c>
      <c r="LQA32" t="s">
        <v>251</v>
      </c>
      <c r="LQB32" t="s">
        <v>1305</v>
      </c>
      <c r="LQC32" t="s">
        <v>251</v>
      </c>
      <c r="LQD32" t="s">
        <v>1305</v>
      </c>
      <c r="LQE32" t="s">
        <v>251</v>
      </c>
      <c r="LQF32" t="s">
        <v>1305</v>
      </c>
      <c r="LQG32" t="s">
        <v>251</v>
      </c>
      <c r="LQH32" t="s">
        <v>1305</v>
      </c>
      <c r="LQI32" t="s">
        <v>251</v>
      </c>
      <c r="LQJ32" t="s">
        <v>1305</v>
      </c>
      <c r="LQK32" t="s">
        <v>251</v>
      </c>
      <c r="LQL32" t="s">
        <v>1305</v>
      </c>
      <c r="LQM32" t="s">
        <v>251</v>
      </c>
      <c r="LQN32" t="s">
        <v>1305</v>
      </c>
      <c r="LQO32" t="s">
        <v>251</v>
      </c>
      <c r="LQP32" t="s">
        <v>1305</v>
      </c>
      <c r="LQQ32" t="s">
        <v>251</v>
      </c>
      <c r="LQR32" t="s">
        <v>1305</v>
      </c>
      <c r="LQS32" t="s">
        <v>251</v>
      </c>
      <c r="LQT32" t="s">
        <v>1305</v>
      </c>
      <c r="LQU32" t="s">
        <v>251</v>
      </c>
      <c r="LQV32" t="s">
        <v>1305</v>
      </c>
      <c r="LQW32" t="s">
        <v>251</v>
      </c>
      <c r="LQX32" t="s">
        <v>1305</v>
      </c>
      <c r="LQY32" t="s">
        <v>251</v>
      </c>
      <c r="LQZ32" t="s">
        <v>1305</v>
      </c>
      <c r="LRA32" t="s">
        <v>251</v>
      </c>
      <c r="LRB32" t="s">
        <v>1305</v>
      </c>
      <c r="LRC32" t="s">
        <v>251</v>
      </c>
      <c r="LRD32" t="s">
        <v>1305</v>
      </c>
      <c r="LRE32" t="s">
        <v>251</v>
      </c>
      <c r="LRF32" t="s">
        <v>1305</v>
      </c>
      <c r="LRG32" t="s">
        <v>251</v>
      </c>
      <c r="LRH32" t="s">
        <v>1305</v>
      </c>
      <c r="LRI32" t="s">
        <v>251</v>
      </c>
      <c r="LRJ32" t="s">
        <v>1305</v>
      </c>
      <c r="LRK32" t="s">
        <v>251</v>
      </c>
      <c r="LRL32" t="s">
        <v>1305</v>
      </c>
      <c r="LRM32" t="s">
        <v>251</v>
      </c>
      <c r="LRN32" t="s">
        <v>1305</v>
      </c>
      <c r="LRO32" t="s">
        <v>251</v>
      </c>
      <c r="LRP32" t="s">
        <v>1305</v>
      </c>
      <c r="LRQ32" t="s">
        <v>251</v>
      </c>
      <c r="LRR32" t="s">
        <v>1305</v>
      </c>
      <c r="LRS32" t="s">
        <v>251</v>
      </c>
      <c r="LRT32" t="s">
        <v>1305</v>
      </c>
      <c r="LRU32" t="s">
        <v>251</v>
      </c>
      <c r="LRV32" t="s">
        <v>1305</v>
      </c>
      <c r="LRW32" t="s">
        <v>251</v>
      </c>
      <c r="LRX32" t="s">
        <v>1305</v>
      </c>
      <c r="LRY32" t="s">
        <v>251</v>
      </c>
      <c r="LRZ32" t="s">
        <v>1305</v>
      </c>
      <c r="LSA32" t="s">
        <v>251</v>
      </c>
      <c r="LSB32" t="s">
        <v>1305</v>
      </c>
      <c r="LSC32" t="s">
        <v>251</v>
      </c>
      <c r="LSD32" t="s">
        <v>1305</v>
      </c>
      <c r="LSE32" t="s">
        <v>251</v>
      </c>
      <c r="LSF32" t="s">
        <v>1305</v>
      </c>
      <c r="LSG32" t="s">
        <v>251</v>
      </c>
      <c r="LSH32" t="s">
        <v>1305</v>
      </c>
      <c r="LSI32" t="s">
        <v>251</v>
      </c>
      <c r="LSJ32" t="s">
        <v>1305</v>
      </c>
      <c r="LSK32" t="s">
        <v>251</v>
      </c>
      <c r="LSL32" t="s">
        <v>1305</v>
      </c>
      <c r="LSM32" t="s">
        <v>251</v>
      </c>
      <c r="LSN32" t="s">
        <v>1305</v>
      </c>
      <c r="LSO32" t="s">
        <v>251</v>
      </c>
      <c r="LSP32" t="s">
        <v>1305</v>
      </c>
      <c r="LSQ32" t="s">
        <v>251</v>
      </c>
      <c r="LSR32" t="s">
        <v>1305</v>
      </c>
      <c r="LSS32" t="s">
        <v>251</v>
      </c>
      <c r="LST32" t="s">
        <v>1305</v>
      </c>
      <c r="LSU32" t="s">
        <v>251</v>
      </c>
      <c r="LSV32" t="s">
        <v>1305</v>
      </c>
      <c r="LSW32" t="s">
        <v>251</v>
      </c>
      <c r="LSX32" t="s">
        <v>1305</v>
      </c>
      <c r="LSY32" t="s">
        <v>251</v>
      </c>
      <c r="LSZ32" t="s">
        <v>1305</v>
      </c>
      <c r="LTA32" t="s">
        <v>251</v>
      </c>
      <c r="LTB32" t="s">
        <v>1305</v>
      </c>
      <c r="LTC32" t="s">
        <v>251</v>
      </c>
      <c r="LTD32" t="s">
        <v>1305</v>
      </c>
      <c r="LTE32" t="s">
        <v>251</v>
      </c>
      <c r="LTF32" t="s">
        <v>1305</v>
      </c>
      <c r="LTG32" t="s">
        <v>251</v>
      </c>
      <c r="LTH32" t="s">
        <v>1305</v>
      </c>
      <c r="LTI32" t="s">
        <v>251</v>
      </c>
      <c r="LTJ32" t="s">
        <v>1305</v>
      </c>
      <c r="LTK32" t="s">
        <v>251</v>
      </c>
      <c r="LTL32" t="s">
        <v>1305</v>
      </c>
      <c r="LTM32" t="s">
        <v>251</v>
      </c>
      <c r="LTN32" t="s">
        <v>1305</v>
      </c>
      <c r="LTO32" t="s">
        <v>251</v>
      </c>
      <c r="LTP32" t="s">
        <v>1305</v>
      </c>
      <c r="LTQ32" t="s">
        <v>251</v>
      </c>
      <c r="LTR32" t="s">
        <v>1305</v>
      </c>
      <c r="LTS32" t="s">
        <v>251</v>
      </c>
      <c r="LTT32" t="s">
        <v>1305</v>
      </c>
      <c r="LTU32" t="s">
        <v>251</v>
      </c>
      <c r="LTV32" t="s">
        <v>1305</v>
      </c>
      <c r="LTW32" t="s">
        <v>251</v>
      </c>
      <c r="LTX32" t="s">
        <v>1305</v>
      </c>
      <c r="LTY32" t="s">
        <v>251</v>
      </c>
      <c r="LTZ32" t="s">
        <v>1305</v>
      </c>
      <c r="LUA32" t="s">
        <v>251</v>
      </c>
      <c r="LUB32" t="s">
        <v>1305</v>
      </c>
      <c r="LUC32" t="s">
        <v>251</v>
      </c>
      <c r="LUD32" t="s">
        <v>1305</v>
      </c>
      <c r="LUE32" t="s">
        <v>251</v>
      </c>
      <c r="LUF32" t="s">
        <v>1305</v>
      </c>
      <c r="LUG32" t="s">
        <v>251</v>
      </c>
      <c r="LUH32" t="s">
        <v>1305</v>
      </c>
      <c r="LUI32" t="s">
        <v>251</v>
      </c>
      <c r="LUJ32" t="s">
        <v>1305</v>
      </c>
      <c r="LUK32" t="s">
        <v>251</v>
      </c>
      <c r="LUL32" t="s">
        <v>1305</v>
      </c>
      <c r="LUM32" t="s">
        <v>251</v>
      </c>
      <c r="LUN32" t="s">
        <v>1305</v>
      </c>
      <c r="LUO32" t="s">
        <v>251</v>
      </c>
      <c r="LUP32" t="s">
        <v>1305</v>
      </c>
      <c r="LUQ32" t="s">
        <v>251</v>
      </c>
      <c r="LUR32" t="s">
        <v>1305</v>
      </c>
      <c r="LUS32" t="s">
        <v>251</v>
      </c>
      <c r="LUT32" t="s">
        <v>1305</v>
      </c>
      <c r="LUU32" t="s">
        <v>251</v>
      </c>
      <c r="LUV32" t="s">
        <v>1305</v>
      </c>
      <c r="LUW32" t="s">
        <v>251</v>
      </c>
      <c r="LUX32" t="s">
        <v>1305</v>
      </c>
      <c r="LUY32" t="s">
        <v>251</v>
      </c>
      <c r="LUZ32" t="s">
        <v>1305</v>
      </c>
      <c r="LVA32" t="s">
        <v>251</v>
      </c>
      <c r="LVB32" t="s">
        <v>1305</v>
      </c>
      <c r="LVC32" t="s">
        <v>251</v>
      </c>
      <c r="LVD32" t="s">
        <v>1305</v>
      </c>
      <c r="LVE32" t="s">
        <v>251</v>
      </c>
      <c r="LVF32" t="s">
        <v>1305</v>
      </c>
      <c r="LVG32" t="s">
        <v>251</v>
      </c>
      <c r="LVH32" t="s">
        <v>1305</v>
      </c>
      <c r="LVI32" t="s">
        <v>251</v>
      </c>
      <c r="LVJ32" t="s">
        <v>1305</v>
      </c>
      <c r="LVK32" t="s">
        <v>251</v>
      </c>
      <c r="LVL32" t="s">
        <v>1305</v>
      </c>
      <c r="LVM32" t="s">
        <v>251</v>
      </c>
      <c r="LVN32" t="s">
        <v>1305</v>
      </c>
      <c r="LVO32" t="s">
        <v>251</v>
      </c>
      <c r="LVP32" t="s">
        <v>1305</v>
      </c>
      <c r="LVQ32" t="s">
        <v>251</v>
      </c>
      <c r="LVR32" t="s">
        <v>1305</v>
      </c>
      <c r="LVS32" t="s">
        <v>251</v>
      </c>
      <c r="LVT32" t="s">
        <v>1305</v>
      </c>
      <c r="LVU32" t="s">
        <v>251</v>
      </c>
      <c r="LVV32" t="s">
        <v>1305</v>
      </c>
      <c r="LVW32" t="s">
        <v>251</v>
      </c>
      <c r="LVX32" t="s">
        <v>1305</v>
      </c>
      <c r="LVY32" t="s">
        <v>251</v>
      </c>
      <c r="LVZ32" t="s">
        <v>1305</v>
      </c>
      <c r="LWA32" t="s">
        <v>251</v>
      </c>
      <c r="LWB32" t="s">
        <v>1305</v>
      </c>
      <c r="LWC32" t="s">
        <v>251</v>
      </c>
      <c r="LWD32" t="s">
        <v>1305</v>
      </c>
      <c r="LWE32" t="s">
        <v>251</v>
      </c>
      <c r="LWF32" t="s">
        <v>1305</v>
      </c>
      <c r="LWG32" t="s">
        <v>251</v>
      </c>
      <c r="LWH32" t="s">
        <v>1305</v>
      </c>
      <c r="LWI32" t="s">
        <v>251</v>
      </c>
      <c r="LWJ32" t="s">
        <v>1305</v>
      </c>
      <c r="LWK32" t="s">
        <v>251</v>
      </c>
      <c r="LWL32" t="s">
        <v>1305</v>
      </c>
      <c r="LWM32" t="s">
        <v>251</v>
      </c>
      <c r="LWN32" t="s">
        <v>1305</v>
      </c>
      <c r="LWO32" t="s">
        <v>251</v>
      </c>
      <c r="LWP32" t="s">
        <v>1305</v>
      </c>
      <c r="LWQ32" t="s">
        <v>251</v>
      </c>
      <c r="LWR32" t="s">
        <v>1305</v>
      </c>
      <c r="LWS32" t="s">
        <v>251</v>
      </c>
      <c r="LWT32" t="s">
        <v>1305</v>
      </c>
      <c r="LWU32" t="s">
        <v>251</v>
      </c>
      <c r="LWV32" t="s">
        <v>1305</v>
      </c>
      <c r="LWW32" t="s">
        <v>251</v>
      </c>
      <c r="LWX32" t="s">
        <v>1305</v>
      </c>
      <c r="LWY32" t="s">
        <v>251</v>
      </c>
      <c r="LWZ32" t="s">
        <v>1305</v>
      </c>
      <c r="LXA32" t="s">
        <v>251</v>
      </c>
      <c r="LXB32" t="s">
        <v>1305</v>
      </c>
      <c r="LXC32" t="s">
        <v>251</v>
      </c>
      <c r="LXD32" t="s">
        <v>1305</v>
      </c>
      <c r="LXE32" t="s">
        <v>251</v>
      </c>
      <c r="LXF32" t="s">
        <v>1305</v>
      </c>
      <c r="LXG32" t="s">
        <v>251</v>
      </c>
      <c r="LXH32" t="s">
        <v>1305</v>
      </c>
      <c r="LXI32" t="s">
        <v>251</v>
      </c>
      <c r="LXJ32" t="s">
        <v>1305</v>
      </c>
      <c r="LXK32" t="s">
        <v>251</v>
      </c>
      <c r="LXL32" t="s">
        <v>1305</v>
      </c>
      <c r="LXM32" t="s">
        <v>251</v>
      </c>
      <c r="LXN32" t="s">
        <v>1305</v>
      </c>
      <c r="LXO32" t="s">
        <v>251</v>
      </c>
      <c r="LXP32" t="s">
        <v>1305</v>
      </c>
      <c r="LXQ32" t="s">
        <v>251</v>
      </c>
      <c r="LXR32" t="s">
        <v>1305</v>
      </c>
      <c r="LXS32" t="s">
        <v>251</v>
      </c>
      <c r="LXT32" t="s">
        <v>1305</v>
      </c>
      <c r="LXU32" t="s">
        <v>251</v>
      </c>
      <c r="LXV32" t="s">
        <v>1305</v>
      </c>
      <c r="LXW32" t="s">
        <v>251</v>
      </c>
      <c r="LXX32" t="s">
        <v>1305</v>
      </c>
      <c r="LXY32" t="s">
        <v>251</v>
      </c>
      <c r="LXZ32" t="s">
        <v>1305</v>
      </c>
      <c r="LYA32" t="s">
        <v>251</v>
      </c>
      <c r="LYB32" t="s">
        <v>1305</v>
      </c>
      <c r="LYC32" t="s">
        <v>251</v>
      </c>
      <c r="LYD32" t="s">
        <v>1305</v>
      </c>
      <c r="LYE32" t="s">
        <v>251</v>
      </c>
      <c r="LYF32" t="s">
        <v>1305</v>
      </c>
      <c r="LYG32" t="s">
        <v>251</v>
      </c>
      <c r="LYH32" t="s">
        <v>1305</v>
      </c>
      <c r="LYI32" t="s">
        <v>251</v>
      </c>
      <c r="LYJ32" t="s">
        <v>1305</v>
      </c>
      <c r="LYK32" t="s">
        <v>251</v>
      </c>
      <c r="LYL32" t="s">
        <v>1305</v>
      </c>
      <c r="LYM32" t="s">
        <v>251</v>
      </c>
      <c r="LYN32" t="s">
        <v>1305</v>
      </c>
      <c r="LYO32" t="s">
        <v>251</v>
      </c>
      <c r="LYP32" t="s">
        <v>1305</v>
      </c>
      <c r="LYQ32" t="s">
        <v>251</v>
      </c>
      <c r="LYR32" t="s">
        <v>1305</v>
      </c>
      <c r="LYS32" t="s">
        <v>251</v>
      </c>
      <c r="LYT32" t="s">
        <v>1305</v>
      </c>
      <c r="LYU32" t="s">
        <v>251</v>
      </c>
      <c r="LYV32" t="s">
        <v>1305</v>
      </c>
      <c r="LYW32" t="s">
        <v>251</v>
      </c>
      <c r="LYX32" t="s">
        <v>1305</v>
      </c>
      <c r="LYY32" t="s">
        <v>251</v>
      </c>
      <c r="LYZ32" t="s">
        <v>1305</v>
      </c>
      <c r="LZA32" t="s">
        <v>251</v>
      </c>
      <c r="LZB32" t="s">
        <v>1305</v>
      </c>
      <c r="LZC32" t="s">
        <v>251</v>
      </c>
      <c r="LZD32" t="s">
        <v>1305</v>
      </c>
      <c r="LZE32" t="s">
        <v>251</v>
      </c>
      <c r="LZF32" t="s">
        <v>1305</v>
      </c>
      <c r="LZG32" t="s">
        <v>251</v>
      </c>
      <c r="LZH32" t="s">
        <v>1305</v>
      </c>
      <c r="LZI32" t="s">
        <v>251</v>
      </c>
      <c r="LZJ32" t="s">
        <v>1305</v>
      </c>
      <c r="LZK32" t="s">
        <v>251</v>
      </c>
      <c r="LZL32" t="s">
        <v>1305</v>
      </c>
      <c r="LZM32" t="s">
        <v>251</v>
      </c>
      <c r="LZN32" t="s">
        <v>1305</v>
      </c>
      <c r="LZO32" t="s">
        <v>251</v>
      </c>
      <c r="LZP32" t="s">
        <v>1305</v>
      </c>
      <c r="LZQ32" t="s">
        <v>251</v>
      </c>
      <c r="LZR32" t="s">
        <v>1305</v>
      </c>
      <c r="LZS32" t="s">
        <v>251</v>
      </c>
      <c r="LZT32" t="s">
        <v>1305</v>
      </c>
      <c r="LZU32" t="s">
        <v>251</v>
      </c>
      <c r="LZV32" t="s">
        <v>1305</v>
      </c>
      <c r="LZW32" t="s">
        <v>251</v>
      </c>
      <c r="LZX32" t="s">
        <v>1305</v>
      </c>
      <c r="LZY32" t="s">
        <v>251</v>
      </c>
      <c r="LZZ32" t="s">
        <v>1305</v>
      </c>
      <c r="MAA32" t="s">
        <v>251</v>
      </c>
      <c r="MAB32" t="s">
        <v>1305</v>
      </c>
      <c r="MAC32" t="s">
        <v>251</v>
      </c>
      <c r="MAD32" t="s">
        <v>1305</v>
      </c>
      <c r="MAE32" t="s">
        <v>251</v>
      </c>
      <c r="MAF32" t="s">
        <v>1305</v>
      </c>
      <c r="MAG32" t="s">
        <v>251</v>
      </c>
      <c r="MAH32" t="s">
        <v>1305</v>
      </c>
      <c r="MAI32" t="s">
        <v>251</v>
      </c>
      <c r="MAJ32" t="s">
        <v>1305</v>
      </c>
      <c r="MAK32" t="s">
        <v>251</v>
      </c>
      <c r="MAL32" t="s">
        <v>1305</v>
      </c>
      <c r="MAM32" t="s">
        <v>251</v>
      </c>
      <c r="MAN32" t="s">
        <v>1305</v>
      </c>
      <c r="MAO32" t="s">
        <v>251</v>
      </c>
      <c r="MAP32" t="s">
        <v>1305</v>
      </c>
      <c r="MAQ32" t="s">
        <v>251</v>
      </c>
      <c r="MAR32" t="s">
        <v>1305</v>
      </c>
      <c r="MAS32" t="s">
        <v>251</v>
      </c>
      <c r="MAT32" t="s">
        <v>1305</v>
      </c>
      <c r="MAU32" t="s">
        <v>251</v>
      </c>
      <c r="MAV32" t="s">
        <v>1305</v>
      </c>
      <c r="MAW32" t="s">
        <v>251</v>
      </c>
      <c r="MAX32" t="s">
        <v>1305</v>
      </c>
      <c r="MAY32" t="s">
        <v>251</v>
      </c>
      <c r="MAZ32" t="s">
        <v>1305</v>
      </c>
      <c r="MBA32" t="s">
        <v>251</v>
      </c>
      <c r="MBB32" t="s">
        <v>1305</v>
      </c>
      <c r="MBC32" t="s">
        <v>251</v>
      </c>
      <c r="MBD32" t="s">
        <v>1305</v>
      </c>
      <c r="MBE32" t="s">
        <v>251</v>
      </c>
      <c r="MBF32" t="s">
        <v>1305</v>
      </c>
      <c r="MBG32" t="s">
        <v>251</v>
      </c>
      <c r="MBH32" t="s">
        <v>1305</v>
      </c>
      <c r="MBI32" t="s">
        <v>251</v>
      </c>
      <c r="MBJ32" t="s">
        <v>1305</v>
      </c>
      <c r="MBK32" t="s">
        <v>251</v>
      </c>
      <c r="MBL32" t="s">
        <v>1305</v>
      </c>
      <c r="MBM32" t="s">
        <v>251</v>
      </c>
      <c r="MBN32" t="s">
        <v>1305</v>
      </c>
      <c r="MBO32" t="s">
        <v>251</v>
      </c>
      <c r="MBP32" t="s">
        <v>1305</v>
      </c>
      <c r="MBQ32" t="s">
        <v>251</v>
      </c>
      <c r="MBR32" t="s">
        <v>1305</v>
      </c>
      <c r="MBS32" t="s">
        <v>251</v>
      </c>
      <c r="MBT32" t="s">
        <v>1305</v>
      </c>
      <c r="MBU32" t="s">
        <v>251</v>
      </c>
      <c r="MBV32" t="s">
        <v>1305</v>
      </c>
      <c r="MBW32" t="s">
        <v>251</v>
      </c>
      <c r="MBX32" t="s">
        <v>1305</v>
      </c>
      <c r="MBY32" t="s">
        <v>251</v>
      </c>
      <c r="MBZ32" t="s">
        <v>1305</v>
      </c>
      <c r="MCA32" t="s">
        <v>251</v>
      </c>
      <c r="MCB32" t="s">
        <v>1305</v>
      </c>
      <c r="MCC32" t="s">
        <v>251</v>
      </c>
      <c r="MCD32" t="s">
        <v>1305</v>
      </c>
      <c r="MCE32" t="s">
        <v>251</v>
      </c>
      <c r="MCF32" t="s">
        <v>1305</v>
      </c>
      <c r="MCG32" t="s">
        <v>251</v>
      </c>
      <c r="MCH32" t="s">
        <v>1305</v>
      </c>
      <c r="MCI32" t="s">
        <v>251</v>
      </c>
      <c r="MCJ32" t="s">
        <v>1305</v>
      </c>
      <c r="MCK32" t="s">
        <v>251</v>
      </c>
      <c r="MCL32" t="s">
        <v>1305</v>
      </c>
      <c r="MCM32" t="s">
        <v>251</v>
      </c>
      <c r="MCN32" t="s">
        <v>1305</v>
      </c>
      <c r="MCO32" t="s">
        <v>251</v>
      </c>
      <c r="MCP32" t="s">
        <v>1305</v>
      </c>
      <c r="MCQ32" t="s">
        <v>251</v>
      </c>
      <c r="MCR32" t="s">
        <v>1305</v>
      </c>
      <c r="MCS32" t="s">
        <v>251</v>
      </c>
      <c r="MCT32" t="s">
        <v>1305</v>
      </c>
      <c r="MCU32" t="s">
        <v>251</v>
      </c>
      <c r="MCV32" t="s">
        <v>1305</v>
      </c>
      <c r="MCW32" t="s">
        <v>251</v>
      </c>
      <c r="MCX32" t="s">
        <v>1305</v>
      </c>
      <c r="MCY32" t="s">
        <v>251</v>
      </c>
      <c r="MCZ32" t="s">
        <v>1305</v>
      </c>
      <c r="MDA32" t="s">
        <v>251</v>
      </c>
      <c r="MDB32" t="s">
        <v>1305</v>
      </c>
      <c r="MDC32" t="s">
        <v>251</v>
      </c>
      <c r="MDD32" t="s">
        <v>1305</v>
      </c>
      <c r="MDE32" t="s">
        <v>251</v>
      </c>
      <c r="MDF32" t="s">
        <v>1305</v>
      </c>
      <c r="MDG32" t="s">
        <v>251</v>
      </c>
      <c r="MDH32" t="s">
        <v>1305</v>
      </c>
      <c r="MDI32" t="s">
        <v>251</v>
      </c>
      <c r="MDJ32" t="s">
        <v>1305</v>
      </c>
      <c r="MDK32" t="s">
        <v>251</v>
      </c>
      <c r="MDL32" t="s">
        <v>1305</v>
      </c>
      <c r="MDM32" t="s">
        <v>251</v>
      </c>
      <c r="MDN32" t="s">
        <v>1305</v>
      </c>
      <c r="MDO32" t="s">
        <v>251</v>
      </c>
      <c r="MDP32" t="s">
        <v>1305</v>
      </c>
      <c r="MDQ32" t="s">
        <v>251</v>
      </c>
      <c r="MDR32" t="s">
        <v>1305</v>
      </c>
      <c r="MDS32" t="s">
        <v>251</v>
      </c>
      <c r="MDT32" t="s">
        <v>1305</v>
      </c>
      <c r="MDU32" t="s">
        <v>251</v>
      </c>
      <c r="MDV32" t="s">
        <v>1305</v>
      </c>
      <c r="MDW32" t="s">
        <v>251</v>
      </c>
      <c r="MDX32" t="s">
        <v>1305</v>
      </c>
      <c r="MDY32" t="s">
        <v>251</v>
      </c>
      <c r="MDZ32" t="s">
        <v>1305</v>
      </c>
      <c r="MEA32" t="s">
        <v>251</v>
      </c>
      <c r="MEB32" t="s">
        <v>1305</v>
      </c>
      <c r="MEC32" t="s">
        <v>251</v>
      </c>
      <c r="MED32" t="s">
        <v>1305</v>
      </c>
      <c r="MEE32" t="s">
        <v>251</v>
      </c>
      <c r="MEF32" t="s">
        <v>1305</v>
      </c>
      <c r="MEG32" t="s">
        <v>251</v>
      </c>
      <c r="MEH32" t="s">
        <v>1305</v>
      </c>
      <c r="MEI32" t="s">
        <v>251</v>
      </c>
      <c r="MEJ32" t="s">
        <v>1305</v>
      </c>
      <c r="MEK32" t="s">
        <v>251</v>
      </c>
      <c r="MEL32" t="s">
        <v>1305</v>
      </c>
      <c r="MEM32" t="s">
        <v>251</v>
      </c>
      <c r="MEN32" t="s">
        <v>1305</v>
      </c>
      <c r="MEO32" t="s">
        <v>251</v>
      </c>
      <c r="MEP32" t="s">
        <v>1305</v>
      </c>
      <c r="MEQ32" t="s">
        <v>251</v>
      </c>
      <c r="MER32" t="s">
        <v>1305</v>
      </c>
      <c r="MES32" t="s">
        <v>251</v>
      </c>
      <c r="MET32" t="s">
        <v>1305</v>
      </c>
      <c r="MEU32" t="s">
        <v>251</v>
      </c>
      <c r="MEV32" t="s">
        <v>1305</v>
      </c>
      <c r="MEW32" t="s">
        <v>251</v>
      </c>
      <c r="MEX32" t="s">
        <v>1305</v>
      </c>
      <c r="MEY32" t="s">
        <v>251</v>
      </c>
      <c r="MEZ32" t="s">
        <v>1305</v>
      </c>
      <c r="MFA32" t="s">
        <v>251</v>
      </c>
      <c r="MFB32" t="s">
        <v>1305</v>
      </c>
      <c r="MFC32" t="s">
        <v>251</v>
      </c>
      <c r="MFD32" t="s">
        <v>1305</v>
      </c>
      <c r="MFE32" t="s">
        <v>251</v>
      </c>
      <c r="MFF32" t="s">
        <v>1305</v>
      </c>
      <c r="MFG32" t="s">
        <v>251</v>
      </c>
      <c r="MFH32" t="s">
        <v>1305</v>
      </c>
      <c r="MFI32" t="s">
        <v>251</v>
      </c>
      <c r="MFJ32" t="s">
        <v>1305</v>
      </c>
      <c r="MFK32" t="s">
        <v>251</v>
      </c>
      <c r="MFL32" t="s">
        <v>1305</v>
      </c>
      <c r="MFM32" t="s">
        <v>251</v>
      </c>
      <c r="MFN32" t="s">
        <v>1305</v>
      </c>
      <c r="MFO32" t="s">
        <v>251</v>
      </c>
      <c r="MFP32" t="s">
        <v>1305</v>
      </c>
      <c r="MFQ32" t="s">
        <v>251</v>
      </c>
      <c r="MFR32" t="s">
        <v>1305</v>
      </c>
      <c r="MFS32" t="s">
        <v>251</v>
      </c>
      <c r="MFT32" t="s">
        <v>1305</v>
      </c>
      <c r="MFU32" t="s">
        <v>251</v>
      </c>
      <c r="MFV32" t="s">
        <v>1305</v>
      </c>
      <c r="MFW32" t="s">
        <v>251</v>
      </c>
      <c r="MFX32" t="s">
        <v>1305</v>
      </c>
      <c r="MFY32" t="s">
        <v>251</v>
      </c>
      <c r="MFZ32" t="s">
        <v>1305</v>
      </c>
      <c r="MGA32" t="s">
        <v>251</v>
      </c>
      <c r="MGB32" t="s">
        <v>1305</v>
      </c>
      <c r="MGC32" t="s">
        <v>251</v>
      </c>
      <c r="MGD32" t="s">
        <v>1305</v>
      </c>
      <c r="MGE32" t="s">
        <v>251</v>
      </c>
      <c r="MGF32" t="s">
        <v>1305</v>
      </c>
      <c r="MGG32" t="s">
        <v>251</v>
      </c>
      <c r="MGH32" t="s">
        <v>1305</v>
      </c>
      <c r="MGI32" t="s">
        <v>251</v>
      </c>
      <c r="MGJ32" t="s">
        <v>1305</v>
      </c>
      <c r="MGK32" t="s">
        <v>251</v>
      </c>
      <c r="MGL32" t="s">
        <v>1305</v>
      </c>
      <c r="MGM32" t="s">
        <v>251</v>
      </c>
      <c r="MGN32" t="s">
        <v>1305</v>
      </c>
      <c r="MGO32" t="s">
        <v>251</v>
      </c>
      <c r="MGP32" t="s">
        <v>1305</v>
      </c>
      <c r="MGQ32" t="s">
        <v>251</v>
      </c>
      <c r="MGR32" t="s">
        <v>1305</v>
      </c>
      <c r="MGS32" t="s">
        <v>251</v>
      </c>
      <c r="MGT32" t="s">
        <v>1305</v>
      </c>
      <c r="MGU32" t="s">
        <v>251</v>
      </c>
      <c r="MGV32" t="s">
        <v>1305</v>
      </c>
      <c r="MGW32" t="s">
        <v>251</v>
      </c>
      <c r="MGX32" t="s">
        <v>1305</v>
      </c>
      <c r="MGY32" t="s">
        <v>251</v>
      </c>
      <c r="MGZ32" t="s">
        <v>1305</v>
      </c>
      <c r="MHA32" t="s">
        <v>251</v>
      </c>
      <c r="MHB32" t="s">
        <v>1305</v>
      </c>
      <c r="MHC32" t="s">
        <v>251</v>
      </c>
      <c r="MHD32" t="s">
        <v>1305</v>
      </c>
      <c r="MHE32" t="s">
        <v>251</v>
      </c>
      <c r="MHF32" t="s">
        <v>1305</v>
      </c>
      <c r="MHG32" t="s">
        <v>251</v>
      </c>
      <c r="MHH32" t="s">
        <v>1305</v>
      </c>
      <c r="MHI32" t="s">
        <v>251</v>
      </c>
      <c r="MHJ32" t="s">
        <v>1305</v>
      </c>
      <c r="MHK32" t="s">
        <v>251</v>
      </c>
      <c r="MHL32" t="s">
        <v>1305</v>
      </c>
      <c r="MHM32" t="s">
        <v>251</v>
      </c>
      <c r="MHN32" t="s">
        <v>1305</v>
      </c>
      <c r="MHO32" t="s">
        <v>251</v>
      </c>
      <c r="MHP32" t="s">
        <v>1305</v>
      </c>
      <c r="MHQ32" t="s">
        <v>251</v>
      </c>
      <c r="MHR32" t="s">
        <v>1305</v>
      </c>
      <c r="MHS32" t="s">
        <v>251</v>
      </c>
      <c r="MHT32" t="s">
        <v>1305</v>
      </c>
      <c r="MHU32" t="s">
        <v>251</v>
      </c>
      <c r="MHV32" t="s">
        <v>1305</v>
      </c>
      <c r="MHW32" t="s">
        <v>251</v>
      </c>
      <c r="MHX32" t="s">
        <v>1305</v>
      </c>
      <c r="MHY32" t="s">
        <v>251</v>
      </c>
      <c r="MHZ32" t="s">
        <v>1305</v>
      </c>
      <c r="MIA32" t="s">
        <v>251</v>
      </c>
      <c r="MIB32" t="s">
        <v>1305</v>
      </c>
      <c r="MIC32" t="s">
        <v>251</v>
      </c>
      <c r="MID32" t="s">
        <v>1305</v>
      </c>
      <c r="MIE32" t="s">
        <v>251</v>
      </c>
      <c r="MIF32" t="s">
        <v>1305</v>
      </c>
      <c r="MIG32" t="s">
        <v>251</v>
      </c>
      <c r="MIH32" t="s">
        <v>1305</v>
      </c>
      <c r="MII32" t="s">
        <v>251</v>
      </c>
      <c r="MIJ32" t="s">
        <v>1305</v>
      </c>
      <c r="MIK32" t="s">
        <v>251</v>
      </c>
      <c r="MIL32" t="s">
        <v>1305</v>
      </c>
      <c r="MIM32" t="s">
        <v>251</v>
      </c>
      <c r="MIN32" t="s">
        <v>1305</v>
      </c>
      <c r="MIO32" t="s">
        <v>251</v>
      </c>
      <c r="MIP32" t="s">
        <v>1305</v>
      </c>
      <c r="MIQ32" t="s">
        <v>251</v>
      </c>
      <c r="MIR32" t="s">
        <v>1305</v>
      </c>
      <c r="MIS32" t="s">
        <v>251</v>
      </c>
      <c r="MIT32" t="s">
        <v>1305</v>
      </c>
      <c r="MIU32" t="s">
        <v>251</v>
      </c>
      <c r="MIV32" t="s">
        <v>1305</v>
      </c>
      <c r="MIW32" t="s">
        <v>251</v>
      </c>
      <c r="MIX32" t="s">
        <v>1305</v>
      </c>
      <c r="MIY32" t="s">
        <v>251</v>
      </c>
      <c r="MIZ32" t="s">
        <v>1305</v>
      </c>
      <c r="MJA32" t="s">
        <v>251</v>
      </c>
      <c r="MJB32" t="s">
        <v>1305</v>
      </c>
      <c r="MJC32" t="s">
        <v>251</v>
      </c>
      <c r="MJD32" t="s">
        <v>1305</v>
      </c>
      <c r="MJE32" t="s">
        <v>251</v>
      </c>
      <c r="MJF32" t="s">
        <v>1305</v>
      </c>
      <c r="MJG32" t="s">
        <v>251</v>
      </c>
      <c r="MJH32" t="s">
        <v>1305</v>
      </c>
      <c r="MJI32" t="s">
        <v>251</v>
      </c>
      <c r="MJJ32" t="s">
        <v>1305</v>
      </c>
      <c r="MJK32" t="s">
        <v>251</v>
      </c>
      <c r="MJL32" t="s">
        <v>1305</v>
      </c>
      <c r="MJM32" t="s">
        <v>251</v>
      </c>
      <c r="MJN32" t="s">
        <v>1305</v>
      </c>
      <c r="MJO32" t="s">
        <v>251</v>
      </c>
      <c r="MJP32" t="s">
        <v>1305</v>
      </c>
      <c r="MJQ32" t="s">
        <v>251</v>
      </c>
      <c r="MJR32" t="s">
        <v>1305</v>
      </c>
      <c r="MJS32" t="s">
        <v>251</v>
      </c>
      <c r="MJT32" t="s">
        <v>1305</v>
      </c>
      <c r="MJU32" t="s">
        <v>251</v>
      </c>
      <c r="MJV32" t="s">
        <v>1305</v>
      </c>
      <c r="MJW32" t="s">
        <v>251</v>
      </c>
      <c r="MJX32" t="s">
        <v>1305</v>
      </c>
      <c r="MJY32" t="s">
        <v>251</v>
      </c>
      <c r="MJZ32" t="s">
        <v>1305</v>
      </c>
      <c r="MKA32" t="s">
        <v>251</v>
      </c>
      <c r="MKB32" t="s">
        <v>1305</v>
      </c>
      <c r="MKC32" t="s">
        <v>251</v>
      </c>
      <c r="MKD32" t="s">
        <v>1305</v>
      </c>
      <c r="MKE32" t="s">
        <v>251</v>
      </c>
      <c r="MKF32" t="s">
        <v>1305</v>
      </c>
      <c r="MKG32" t="s">
        <v>251</v>
      </c>
      <c r="MKH32" t="s">
        <v>1305</v>
      </c>
      <c r="MKI32" t="s">
        <v>251</v>
      </c>
      <c r="MKJ32" t="s">
        <v>1305</v>
      </c>
      <c r="MKK32" t="s">
        <v>251</v>
      </c>
      <c r="MKL32" t="s">
        <v>1305</v>
      </c>
      <c r="MKM32" t="s">
        <v>251</v>
      </c>
      <c r="MKN32" t="s">
        <v>1305</v>
      </c>
      <c r="MKO32" t="s">
        <v>251</v>
      </c>
      <c r="MKP32" t="s">
        <v>1305</v>
      </c>
      <c r="MKQ32" t="s">
        <v>251</v>
      </c>
      <c r="MKR32" t="s">
        <v>1305</v>
      </c>
      <c r="MKS32" t="s">
        <v>251</v>
      </c>
      <c r="MKT32" t="s">
        <v>1305</v>
      </c>
      <c r="MKU32" t="s">
        <v>251</v>
      </c>
      <c r="MKV32" t="s">
        <v>1305</v>
      </c>
      <c r="MKW32" t="s">
        <v>251</v>
      </c>
      <c r="MKX32" t="s">
        <v>1305</v>
      </c>
      <c r="MKY32" t="s">
        <v>251</v>
      </c>
      <c r="MKZ32" t="s">
        <v>1305</v>
      </c>
      <c r="MLA32" t="s">
        <v>251</v>
      </c>
      <c r="MLB32" t="s">
        <v>1305</v>
      </c>
      <c r="MLC32" t="s">
        <v>251</v>
      </c>
      <c r="MLD32" t="s">
        <v>1305</v>
      </c>
      <c r="MLE32" t="s">
        <v>251</v>
      </c>
      <c r="MLF32" t="s">
        <v>1305</v>
      </c>
      <c r="MLG32" t="s">
        <v>251</v>
      </c>
      <c r="MLH32" t="s">
        <v>1305</v>
      </c>
      <c r="MLI32" t="s">
        <v>251</v>
      </c>
      <c r="MLJ32" t="s">
        <v>1305</v>
      </c>
      <c r="MLK32" t="s">
        <v>251</v>
      </c>
      <c r="MLL32" t="s">
        <v>1305</v>
      </c>
      <c r="MLM32" t="s">
        <v>251</v>
      </c>
      <c r="MLN32" t="s">
        <v>1305</v>
      </c>
      <c r="MLO32" t="s">
        <v>251</v>
      </c>
      <c r="MLP32" t="s">
        <v>1305</v>
      </c>
      <c r="MLQ32" t="s">
        <v>251</v>
      </c>
      <c r="MLR32" t="s">
        <v>1305</v>
      </c>
      <c r="MLS32" t="s">
        <v>251</v>
      </c>
      <c r="MLT32" t="s">
        <v>1305</v>
      </c>
      <c r="MLU32" t="s">
        <v>251</v>
      </c>
      <c r="MLV32" t="s">
        <v>1305</v>
      </c>
      <c r="MLW32" t="s">
        <v>251</v>
      </c>
      <c r="MLX32" t="s">
        <v>1305</v>
      </c>
      <c r="MLY32" t="s">
        <v>251</v>
      </c>
      <c r="MLZ32" t="s">
        <v>1305</v>
      </c>
      <c r="MMA32" t="s">
        <v>251</v>
      </c>
      <c r="MMB32" t="s">
        <v>1305</v>
      </c>
      <c r="MMC32" t="s">
        <v>251</v>
      </c>
      <c r="MMD32" t="s">
        <v>1305</v>
      </c>
      <c r="MME32" t="s">
        <v>251</v>
      </c>
      <c r="MMF32" t="s">
        <v>1305</v>
      </c>
      <c r="MMG32" t="s">
        <v>251</v>
      </c>
      <c r="MMH32" t="s">
        <v>1305</v>
      </c>
      <c r="MMI32" t="s">
        <v>251</v>
      </c>
      <c r="MMJ32" t="s">
        <v>1305</v>
      </c>
      <c r="MMK32" t="s">
        <v>251</v>
      </c>
      <c r="MML32" t="s">
        <v>1305</v>
      </c>
      <c r="MMM32" t="s">
        <v>251</v>
      </c>
      <c r="MMN32" t="s">
        <v>1305</v>
      </c>
      <c r="MMO32" t="s">
        <v>251</v>
      </c>
      <c r="MMP32" t="s">
        <v>1305</v>
      </c>
      <c r="MMQ32" t="s">
        <v>251</v>
      </c>
      <c r="MMR32" t="s">
        <v>1305</v>
      </c>
      <c r="MMS32" t="s">
        <v>251</v>
      </c>
      <c r="MMT32" t="s">
        <v>1305</v>
      </c>
      <c r="MMU32" t="s">
        <v>251</v>
      </c>
      <c r="MMV32" t="s">
        <v>1305</v>
      </c>
      <c r="MMW32" t="s">
        <v>251</v>
      </c>
      <c r="MMX32" t="s">
        <v>1305</v>
      </c>
      <c r="MMY32" t="s">
        <v>251</v>
      </c>
      <c r="MMZ32" t="s">
        <v>1305</v>
      </c>
      <c r="MNA32" t="s">
        <v>251</v>
      </c>
      <c r="MNB32" t="s">
        <v>1305</v>
      </c>
      <c r="MNC32" t="s">
        <v>251</v>
      </c>
      <c r="MND32" t="s">
        <v>1305</v>
      </c>
      <c r="MNE32" t="s">
        <v>251</v>
      </c>
      <c r="MNF32" t="s">
        <v>1305</v>
      </c>
      <c r="MNG32" t="s">
        <v>251</v>
      </c>
      <c r="MNH32" t="s">
        <v>1305</v>
      </c>
      <c r="MNI32" t="s">
        <v>251</v>
      </c>
      <c r="MNJ32" t="s">
        <v>1305</v>
      </c>
      <c r="MNK32" t="s">
        <v>251</v>
      </c>
      <c r="MNL32" t="s">
        <v>1305</v>
      </c>
      <c r="MNM32" t="s">
        <v>251</v>
      </c>
      <c r="MNN32" t="s">
        <v>1305</v>
      </c>
      <c r="MNO32" t="s">
        <v>251</v>
      </c>
      <c r="MNP32" t="s">
        <v>1305</v>
      </c>
      <c r="MNQ32" t="s">
        <v>251</v>
      </c>
      <c r="MNR32" t="s">
        <v>1305</v>
      </c>
      <c r="MNS32" t="s">
        <v>251</v>
      </c>
      <c r="MNT32" t="s">
        <v>1305</v>
      </c>
      <c r="MNU32" t="s">
        <v>251</v>
      </c>
      <c r="MNV32" t="s">
        <v>1305</v>
      </c>
      <c r="MNW32" t="s">
        <v>251</v>
      </c>
      <c r="MNX32" t="s">
        <v>1305</v>
      </c>
      <c r="MNY32" t="s">
        <v>251</v>
      </c>
      <c r="MNZ32" t="s">
        <v>1305</v>
      </c>
      <c r="MOA32" t="s">
        <v>251</v>
      </c>
      <c r="MOB32" t="s">
        <v>1305</v>
      </c>
      <c r="MOC32" t="s">
        <v>251</v>
      </c>
      <c r="MOD32" t="s">
        <v>1305</v>
      </c>
      <c r="MOE32" t="s">
        <v>251</v>
      </c>
      <c r="MOF32" t="s">
        <v>1305</v>
      </c>
      <c r="MOG32" t="s">
        <v>251</v>
      </c>
      <c r="MOH32" t="s">
        <v>1305</v>
      </c>
      <c r="MOI32" t="s">
        <v>251</v>
      </c>
      <c r="MOJ32" t="s">
        <v>1305</v>
      </c>
      <c r="MOK32" t="s">
        <v>251</v>
      </c>
      <c r="MOL32" t="s">
        <v>1305</v>
      </c>
      <c r="MOM32" t="s">
        <v>251</v>
      </c>
      <c r="MON32" t="s">
        <v>1305</v>
      </c>
      <c r="MOO32" t="s">
        <v>251</v>
      </c>
      <c r="MOP32" t="s">
        <v>1305</v>
      </c>
      <c r="MOQ32" t="s">
        <v>251</v>
      </c>
      <c r="MOR32" t="s">
        <v>1305</v>
      </c>
      <c r="MOS32" t="s">
        <v>251</v>
      </c>
      <c r="MOT32" t="s">
        <v>1305</v>
      </c>
      <c r="MOU32" t="s">
        <v>251</v>
      </c>
      <c r="MOV32" t="s">
        <v>1305</v>
      </c>
      <c r="MOW32" t="s">
        <v>251</v>
      </c>
      <c r="MOX32" t="s">
        <v>1305</v>
      </c>
      <c r="MOY32" t="s">
        <v>251</v>
      </c>
      <c r="MOZ32" t="s">
        <v>1305</v>
      </c>
      <c r="MPA32" t="s">
        <v>251</v>
      </c>
      <c r="MPB32" t="s">
        <v>1305</v>
      </c>
      <c r="MPC32" t="s">
        <v>251</v>
      </c>
      <c r="MPD32" t="s">
        <v>1305</v>
      </c>
      <c r="MPE32" t="s">
        <v>251</v>
      </c>
      <c r="MPF32" t="s">
        <v>1305</v>
      </c>
      <c r="MPG32" t="s">
        <v>251</v>
      </c>
      <c r="MPH32" t="s">
        <v>1305</v>
      </c>
      <c r="MPI32" t="s">
        <v>251</v>
      </c>
      <c r="MPJ32" t="s">
        <v>1305</v>
      </c>
      <c r="MPK32" t="s">
        <v>251</v>
      </c>
      <c r="MPL32" t="s">
        <v>1305</v>
      </c>
      <c r="MPM32" t="s">
        <v>251</v>
      </c>
      <c r="MPN32" t="s">
        <v>1305</v>
      </c>
      <c r="MPO32" t="s">
        <v>251</v>
      </c>
      <c r="MPP32" t="s">
        <v>1305</v>
      </c>
      <c r="MPQ32" t="s">
        <v>251</v>
      </c>
      <c r="MPR32" t="s">
        <v>1305</v>
      </c>
      <c r="MPS32" t="s">
        <v>251</v>
      </c>
      <c r="MPT32" t="s">
        <v>1305</v>
      </c>
      <c r="MPU32" t="s">
        <v>251</v>
      </c>
      <c r="MPV32" t="s">
        <v>1305</v>
      </c>
      <c r="MPW32" t="s">
        <v>251</v>
      </c>
      <c r="MPX32" t="s">
        <v>1305</v>
      </c>
      <c r="MPY32" t="s">
        <v>251</v>
      </c>
      <c r="MPZ32" t="s">
        <v>1305</v>
      </c>
      <c r="MQA32" t="s">
        <v>251</v>
      </c>
      <c r="MQB32" t="s">
        <v>1305</v>
      </c>
      <c r="MQC32" t="s">
        <v>251</v>
      </c>
      <c r="MQD32" t="s">
        <v>1305</v>
      </c>
      <c r="MQE32" t="s">
        <v>251</v>
      </c>
      <c r="MQF32" t="s">
        <v>1305</v>
      </c>
      <c r="MQG32" t="s">
        <v>251</v>
      </c>
      <c r="MQH32" t="s">
        <v>1305</v>
      </c>
      <c r="MQI32" t="s">
        <v>251</v>
      </c>
      <c r="MQJ32" t="s">
        <v>1305</v>
      </c>
      <c r="MQK32" t="s">
        <v>251</v>
      </c>
      <c r="MQL32" t="s">
        <v>1305</v>
      </c>
      <c r="MQM32" t="s">
        <v>251</v>
      </c>
      <c r="MQN32" t="s">
        <v>1305</v>
      </c>
      <c r="MQO32" t="s">
        <v>251</v>
      </c>
      <c r="MQP32" t="s">
        <v>1305</v>
      </c>
      <c r="MQQ32" t="s">
        <v>251</v>
      </c>
      <c r="MQR32" t="s">
        <v>1305</v>
      </c>
      <c r="MQS32" t="s">
        <v>251</v>
      </c>
      <c r="MQT32" t="s">
        <v>1305</v>
      </c>
      <c r="MQU32" t="s">
        <v>251</v>
      </c>
      <c r="MQV32" t="s">
        <v>1305</v>
      </c>
      <c r="MQW32" t="s">
        <v>251</v>
      </c>
      <c r="MQX32" t="s">
        <v>1305</v>
      </c>
      <c r="MQY32" t="s">
        <v>251</v>
      </c>
      <c r="MQZ32" t="s">
        <v>1305</v>
      </c>
      <c r="MRA32" t="s">
        <v>251</v>
      </c>
      <c r="MRB32" t="s">
        <v>1305</v>
      </c>
      <c r="MRC32" t="s">
        <v>251</v>
      </c>
      <c r="MRD32" t="s">
        <v>1305</v>
      </c>
      <c r="MRE32" t="s">
        <v>251</v>
      </c>
      <c r="MRF32" t="s">
        <v>1305</v>
      </c>
      <c r="MRG32" t="s">
        <v>251</v>
      </c>
      <c r="MRH32" t="s">
        <v>1305</v>
      </c>
      <c r="MRI32" t="s">
        <v>251</v>
      </c>
      <c r="MRJ32" t="s">
        <v>1305</v>
      </c>
      <c r="MRK32" t="s">
        <v>251</v>
      </c>
      <c r="MRL32" t="s">
        <v>1305</v>
      </c>
      <c r="MRM32" t="s">
        <v>251</v>
      </c>
      <c r="MRN32" t="s">
        <v>1305</v>
      </c>
      <c r="MRO32" t="s">
        <v>251</v>
      </c>
      <c r="MRP32" t="s">
        <v>1305</v>
      </c>
      <c r="MRQ32" t="s">
        <v>251</v>
      </c>
      <c r="MRR32" t="s">
        <v>1305</v>
      </c>
      <c r="MRS32" t="s">
        <v>251</v>
      </c>
      <c r="MRT32" t="s">
        <v>1305</v>
      </c>
      <c r="MRU32" t="s">
        <v>251</v>
      </c>
      <c r="MRV32" t="s">
        <v>1305</v>
      </c>
      <c r="MRW32" t="s">
        <v>251</v>
      </c>
      <c r="MRX32" t="s">
        <v>1305</v>
      </c>
      <c r="MRY32" t="s">
        <v>251</v>
      </c>
      <c r="MRZ32" t="s">
        <v>1305</v>
      </c>
      <c r="MSA32" t="s">
        <v>251</v>
      </c>
      <c r="MSB32" t="s">
        <v>1305</v>
      </c>
      <c r="MSC32" t="s">
        <v>251</v>
      </c>
      <c r="MSD32" t="s">
        <v>1305</v>
      </c>
      <c r="MSE32" t="s">
        <v>251</v>
      </c>
      <c r="MSF32" t="s">
        <v>1305</v>
      </c>
      <c r="MSG32" t="s">
        <v>251</v>
      </c>
      <c r="MSH32" t="s">
        <v>1305</v>
      </c>
      <c r="MSI32" t="s">
        <v>251</v>
      </c>
      <c r="MSJ32" t="s">
        <v>1305</v>
      </c>
      <c r="MSK32" t="s">
        <v>251</v>
      </c>
      <c r="MSL32" t="s">
        <v>1305</v>
      </c>
      <c r="MSM32" t="s">
        <v>251</v>
      </c>
      <c r="MSN32" t="s">
        <v>1305</v>
      </c>
      <c r="MSO32" t="s">
        <v>251</v>
      </c>
      <c r="MSP32" t="s">
        <v>1305</v>
      </c>
      <c r="MSQ32" t="s">
        <v>251</v>
      </c>
      <c r="MSR32" t="s">
        <v>1305</v>
      </c>
      <c r="MSS32" t="s">
        <v>251</v>
      </c>
      <c r="MST32" t="s">
        <v>1305</v>
      </c>
      <c r="MSU32" t="s">
        <v>251</v>
      </c>
      <c r="MSV32" t="s">
        <v>1305</v>
      </c>
      <c r="MSW32" t="s">
        <v>251</v>
      </c>
      <c r="MSX32" t="s">
        <v>1305</v>
      </c>
      <c r="MSY32" t="s">
        <v>251</v>
      </c>
      <c r="MSZ32" t="s">
        <v>1305</v>
      </c>
      <c r="MTA32" t="s">
        <v>251</v>
      </c>
      <c r="MTB32" t="s">
        <v>1305</v>
      </c>
      <c r="MTC32" t="s">
        <v>251</v>
      </c>
      <c r="MTD32" t="s">
        <v>1305</v>
      </c>
      <c r="MTE32" t="s">
        <v>251</v>
      </c>
      <c r="MTF32" t="s">
        <v>1305</v>
      </c>
      <c r="MTG32" t="s">
        <v>251</v>
      </c>
      <c r="MTH32" t="s">
        <v>1305</v>
      </c>
      <c r="MTI32" t="s">
        <v>251</v>
      </c>
      <c r="MTJ32" t="s">
        <v>1305</v>
      </c>
      <c r="MTK32" t="s">
        <v>251</v>
      </c>
      <c r="MTL32" t="s">
        <v>1305</v>
      </c>
      <c r="MTM32" t="s">
        <v>251</v>
      </c>
      <c r="MTN32" t="s">
        <v>1305</v>
      </c>
      <c r="MTO32" t="s">
        <v>251</v>
      </c>
      <c r="MTP32" t="s">
        <v>1305</v>
      </c>
      <c r="MTQ32" t="s">
        <v>251</v>
      </c>
      <c r="MTR32" t="s">
        <v>1305</v>
      </c>
      <c r="MTS32" t="s">
        <v>251</v>
      </c>
      <c r="MTT32" t="s">
        <v>1305</v>
      </c>
      <c r="MTU32" t="s">
        <v>251</v>
      </c>
      <c r="MTV32" t="s">
        <v>1305</v>
      </c>
      <c r="MTW32" t="s">
        <v>251</v>
      </c>
      <c r="MTX32" t="s">
        <v>1305</v>
      </c>
      <c r="MTY32" t="s">
        <v>251</v>
      </c>
      <c r="MTZ32" t="s">
        <v>1305</v>
      </c>
      <c r="MUA32" t="s">
        <v>251</v>
      </c>
      <c r="MUB32" t="s">
        <v>1305</v>
      </c>
      <c r="MUC32" t="s">
        <v>251</v>
      </c>
      <c r="MUD32" t="s">
        <v>1305</v>
      </c>
      <c r="MUE32" t="s">
        <v>251</v>
      </c>
      <c r="MUF32" t="s">
        <v>1305</v>
      </c>
      <c r="MUG32" t="s">
        <v>251</v>
      </c>
      <c r="MUH32" t="s">
        <v>1305</v>
      </c>
      <c r="MUI32" t="s">
        <v>251</v>
      </c>
      <c r="MUJ32" t="s">
        <v>1305</v>
      </c>
      <c r="MUK32" t="s">
        <v>251</v>
      </c>
      <c r="MUL32" t="s">
        <v>1305</v>
      </c>
      <c r="MUM32" t="s">
        <v>251</v>
      </c>
      <c r="MUN32" t="s">
        <v>1305</v>
      </c>
      <c r="MUO32" t="s">
        <v>251</v>
      </c>
      <c r="MUP32" t="s">
        <v>1305</v>
      </c>
      <c r="MUQ32" t="s">
        <v>251</v>
      </c>
      <c r="MUR32" t="s">
        <v>1305</v>
      </c>
      <c r="MUS32" t="s">
        <v>251</v>
      </c>
      <c r="MUT32" t="s">
        <v>1305</v>
      </c>
      <c r="MUU32" t="s">
        <v>251</v>
      </c>
      <c r="MUV32" t="s">
        <v>1305</v>
      </c>
      <c r="MUW32" t="s">
        <v>251</v>
      </c>
      <c r="MUX32" t="s">
        <v>1305</v>
      </c>
      <c r="MUY32" t="s">
        <v>251</v>
      </c>
      <c r="MUZ32" t="s">
        <v>1305</v>
      </c>
      <c r="MVA32" t="s">
        <v>251</v>
      </c>
      <c r="MVB32" t="s">
        <v>1305</v>
      </c>
      <c r="MVC32" t="s">
        <v>251</v>
      </c>
      <c r="MVD32" t="s">
        <v>1305</v>
      </c>
      <c r="MVE32" t="s">
        <v>251</v>
      </c>
      <c r="MVF32" t="s">
        <v>1305</v>
      </c>
      <c r="MVG32" t="s">
        <v>251</v>
      </c>
      <c r="MVH32" t="s">
        <v>1305</v>
      </c>
      <c r="MVI32" t="s">
        <v>251</v>
      </c>
      <c r="MVJ32" t="s">
        <v>1305</v>
      </c>
      <c r="MVK32" t="s">
        <v>251</v>
      </c>
      <c r="MVL32" t="s">
        <v>1305</v>
      </c>
      <c r="MVM32" t="s">
        <v>251</v>
      </c>
      <c r="MVN32" t="s">
        <v>1305</v>
      </c>
      <c r="MVO32" t="s">
        <v>251</v>
      </c>
      <c r="MVP32" t="s">
        <v>1305</v>
      </c>
      <c r="MVQ32" t="s">
        <v>251</v>
      </c>
      <c r="MVR32" t="s">
        <v>1305</v>
      </c>
      <c r="MVS32" t="s">
        <v>251</v>
      </c>
      <c r="MVT32" t="s">
        <v>1305</v>
      </c>
      <c r="MVU32" t="s">
        <v>251</v>
      </c>
      <c r="MVV32" t="s">
        <v>1305</v>
      </c>
      <c r="MVW32" t="s">
        <v>251</v>
      </c>
      <c r="MVX32" t="s">
        <v>1305</v>
      </c>
      <c r="MVY32" t="s">
        <v>251</v>
      </c>
      <c r="MVZ32" t="s">
        <v>1305</v>
      </c>
      <c r="MWA32" t="s">
        <v>251</v>
      </c>
      <c r="MWB32" t="s">
        <v>1305</v>
      </c>
      <c r="MWC32" t="s">
        <v>251</v>
      </c>
      <c r="MWD32" t="s">
        <v>1305</v>
      </c>
      <c r="MWE32" t="s">
        <v>251</v>
      </c>
      <c r="MWF32" t="s">
        <v>1305</v>
      </c>
      <c r="MWG32" t="s">
        <v>251</v>
      </c>
      <c r="MWH32" t="s">
        <v>1305</v>
      </c>
      <c r="MWI32" t="s">
        <v>251</v>
      </c>
      <c r="MWJ32" t="s">
        <v>1305</v>
      </c>
      <c r="MWK32" t="s">
        <v>251</v>
      </c>
      <c r="MWL32" t="s">
        <v>1305</v>
      </c>
      <c r="MWM32" t="s">
        <v>251</v>
      </c>
      <c r="MWN32" t="s">
        <v>1305</v>
      </c>
      <c r="MWO32" t="s">
        <v>251</v>
      </c>
      <c r="MWP32" t="s">
        <v>1305</v>
      </c>
      <c r="MWQ32" t="s">
        <v>251</v>
      </c>
      <c r="MWR32" t="s">
        <v>1305</v>
      </c>
      <c r="MWS32" t="s">
        <v>251</v>
      </c>
      <c r="MWT32" t="s">
        <v>1305</v>
      </c>
      <c r="MWU32" t="s">
        <v>251</v>
      </c>
      <c r="MWV32" t="s">
        <v>1305</v>
      </c>
      <c r="MWW32" t="s">
        <v>251</v>
      </c>
      <c r="MWX32" t="s">
        <v>1305</v>
      </c>
      <c r="MWY32" t="s">
        <v>251</v>
      </c>
      <c r="MWZ32" t="s">
        <v>1305</v>
      </c>
      <c r="MXA32" t="s">
        <v>251</v>
      </c>
      <c r="MXB32" t="s">
        <v>1305</v>
      </c>
      <c r="MXC32" t="s">
        <v>251</v>
      </c>
      <c r="MXD32" t="s">
        <v>1305</v>
      </c>
      <c r="MXE32" t="s">
        <v>251</v>
      </c>
      <c r="MXF32" t="s">
        <v>1305</v>
      </c>
      <c r="MXG32" t="s">
        <v>251</v>
      </c>
      <c r="MXH32" t="s">
        <v>1305</v>
      </c>
      <c r="MXI32" t="s">
        <v>251</v>
      </c>
      <c r="MXJ32" t="s">
        <v>1305</v>
      </c>
      <c r="MXK32" t="s">
        <v>251</v>
      </c>
      <c r="MXL32" t="s">
        <v>1305</v>
      </c>
      <c r="MXM32" t="s">
        <v>251</v>
      </c>
      <c r="MXN32" t="s">
        <v>1305</v>
      </c>
      <c r="MXO32" t="s">
        <v>251</v>
      </c>
      <c r="MXP32" t="s">
        <v>1305</v>
      </c>
      <c r="MXQ32" t="s">
        <v>251</v>
      </c>
      <c r="MXR32" t="s">
        <v>1305</v>
      </c>
      <c r="MXS32" t="s">
        <v>251</v>
      </c>
      <c r="MXT32" t="s">
        <v>1305</v>
      </c>
      <c r="MXU32" t="s">
        <v>251</v>
      </c>
      <c r="MXV32" t="s">
        <v>1305</v>
      </c>
      <c r="MXW32" t="s">
        <v>251</v>
      </c>
      <c r="MXX32" t="s">
        <v>1305</v>
      </c>
      <c r="MXY32" t="s">
        <v>251</v>
      </c>
      <c r="MXZ32" t="s">
        <v>1305</v>
      </c>
      <c r="MYA32" t="s">
        <v>251</v>
      </c>
      <c r="MYB32" t="s">
        <v>1305</v>
      </c>
      <c r="MYC32" t="s">
        <v>251</v>
      </c>
      <c r="MYD32" t="s">
        <v>1305</v>
      </c>
      <c r="MYE32" t="s">
        <v>251</v>
      </c>
      <c r="MYF32" t="s">
        <v>1305</v>
      </c>
      <c r="MYG32" t="s">
        <v>251</v>
      </c>
      <c r="MYH32" t="s">
        <v>1305</v>
      </c>
      <c r="MYI32" t="s">
        <v>251</v>
      </c>
      <c r="MYJ32" t="s">
        <v>1305</v>
      </c>
      <c r="MYK32" t="s">
        <v>251</v>
      </c>
      <c r="MYL32" t="s">
        <v>1305</v>
      </c>
      <c r="MYM32" t="s">
        <v>251</v>
      </c>
      <c r="MYN32" t="s">
        <v>1305</v>
      </c>
      <c r="MYO32" t="s">
        <v>251</v>
      </c>
      <c r="MYP32" t="s">
        <v>1305</v>
      </c>
      <c r="MYQ32" t="s">
        <v>251</v>
      </c>
      <c r="MYR32" t="s">
        <v>1305</v>
      </c>
      <c r="MYS32" t="s">
        <v>251</v>
      </c>
      <c r="MYT32" t="s">
        <v>1305</v>
      </c>
      <c r="MYU32" t="s">
        <v>251</v>
      </c>
      <c r="MYV32" t="s">
        <v>1305</v>
      </c>
      <c r="MYW32" t="s">
        <v>251</v>
      </c>
      <c r="MYX32" t="s">
        <v>1305</v>
      </c>
      <c r="MYY32" t="s">
        <v>251</v>
      </c>
      <c r="MYZ32" t="s">
        <v>1305</v>
      </c>
      <c r="MZA32" t="s">
        <v>251</v>
      </c>
      <c r="MZB32" t="s">
        <v>1305</v>
      </c>
      <c r="MZC32" t="s">
        <v>251</v>
      </c>
      <c r="MZD32" t="s">
        <v>1305</v>
      </c>
      <c r="MZE32" t="s">
        <v>251</v>
      </c>
      <c r="MZF32" t="s">
        <v>1305</v>
      </c>
      <c r="MZG32" t="s">
        <v>251</v>
      </c>
      <c r="MZH32" t="s">
        <v>1305</v>
      </c>
      <c r="MZI32" t="s">
        <v>251</v>
      </c>
      <c r="MZJ32" t="s">
        <v>1305</v>
      </c>
      <c r="MZK32" t="s">
        <v>251</v>
      </c>
      <c r="MZL32" t="s">
        <v>1305</v>
      </c>
      <c r="MZM32" t="s">
        <v>251</v>
      </c>
      <c r="MZN32" t="s">
        <v>1305</v>
      </c>
      <c r="MZO32" t="s">
        <v>251</v>
      </c>
      <c r="MZP32" t="s">
        <v>1305</v>
      </c>
      <c r="MZQ32" t="s">
        <v>251</v>
      </c>
      <c r="MZR32" t="s">
        <v>1305</v>
      </c>
      <c r="MZS32" t="s">
        <v>251</v>
      </c>
      <c r="MZT32" t="s">
        <v>1305</v>
      </c>
      <c r="MZU32" t="s">
        <v>251</v>
      </c>
      <c r="MZV32" t="s">
        <v>1305</v>
      </c>
      <c r="MZW32" t="s">
        <v>251</v>
      </c>
      <c r="MZX32" t="s">
        <v>1305</v>
      </c>
      <c r="MZY32" t="s">
        <v>251</v>
      </c>
      <c r="MZZ32" t="s">
        <v>1305</v>
      </c>
      <c r="NAA32" t="s">
        <v>251</v>
      </c>
      <c r="NAB32" t="s">
        <v>1305</v>
      </c>
      <c r="NAC32" t="s">
        <v>251</v>
      </c>
      <c r="NAD32" t="s">
        <v>1305</v>
      </c>
      <c r="NAE32" t="s">
        <v>251</v>
      </c>
      <c r="NAF32" t="s">
        <v>1305</v>
      </c>
      <c r="NAG32" t="s">
        <v>251</v>
      </c>
      <c r="NAH32" t="s">
        <v>1305</v>
      </c>
      <c r="NAI32" t="s">
        <v>251</v>
      </c>
      <c r="NAJ32" t="s">
        <v>1305</v>
      </c>
      <c r="NAK32" t="s">
        <v>251</v>
      </c>
      <c r="NAL32" t="s">
        <v>1305</v>
      </c>
      <c r="NAM32" t="s">
        <v>251</v>
      </c>
      <c r="NAN32" t="s">
        <v>1305</v>
      </c>
      <c r="NAO32" t="s">
        <v>251</v>
      </c>
      <c r="NAP32" t="s">
        <v>1305</v>
      </c>
      <c r="NAQ32" t="s">
        <v>251</v>
      </c>
      <c r="NAR32" t="s">
        <v>1305</v>
      </c>
      <c r="NAS32" t="s">
        <v>251</v>
      </c>
      <c r="NAT32" t="s">
        <v>1305</v>
      </c>
      <c r="NAU32" t="s">
        <v>251</v>
      </c>
      <c r="NAV32" t="s">
        <v>1305</v>
      </c>
      <c r="NAW32" t="s">
        <v>251</v>
      </c>
      <c r="NAX32" t="s">
        <v>1305</v>
      </c>
      <c r="NAY32" t="s">
        <v>251</v>
      </c>
      <c r="NAZ32" t="s">
        <v>1305</v>
      </c>
      <c r="NBA32" t="s">
        <v>251</v>
      </c>
      <c r="NBB32" t="s">
        <v>1305</v>
      </c>
      <c r="NBC32" t="s">
        <v>251</v>
      </c>
      <c r="NBD32" t="s">
        <v>1305</v>
      </c>
      <c r="NBE32" t="s">
        <v>251</v>
      </c>
      <c r="NBF32" t="s">
        <v>1305</v>
      </c>
      <c r="NBG32" t="s">
        <v>251</v>
      </c>
      <c r="NBH32" t="s">
        <v>1305</v>
      </c>
      <c r="NBI32" t="s">
        <v>251</v>
      </c>
      <c r="NBJ32" t="s">
        <v>1305</v>
      </c>
      <c r="NBK32" t="s">
        <v>251</v>
      </c>
      <c r="NBL32" t="s">
        <v>1305</v>
      </c>
      <c r="NBM32" t="s">
        <v>251</v>
      </c>
      <c r="NBN32" t="s">
        <v>1305</v>
      </c>
      <c r="NBO32" t="s">
        <v>251</v>
      </c>
      <c r="NBP32" t="s">
        <v>1305</v>
      </c>
      <c r="NBQ32" t="s">
        <v>251</v>
      </c>
      <c r="NBR32" t="s">
        <v>1305</v>
      </c>
      <c r="NBS32" t="s">
        <v>251</v>
      </c>
      <c r="NBT32" t="s">
        <v>1305</v>
      </c>
      <c r="NBU32" t="s">
        <v>251</v>
      </c>
      <c r="NBV32" t="s">
        <v>1305</v>
      </c>
      <c r="NBW32" t="s">
        <v>251</v>
      </c>
      <c r="NBX32" t="s">
        <v>1305</v>
      </c>
      <c r="NBY32" t="s">
        <v>251</v>
      </c>
      <c r="NBZ32" t="s">
        <v>1305</v>
      </c>
      <c r="NCA32" t="s">
        <v>251</v>
      </c>
      <c r="NCB32" t="s">
        <v>1305</v>
      </c>
      <c r="NCC32" t="s">
        <v>251</v>
      </c>
      <c r="NCD32" t="s">
        <v>1305</v>
      </c>
      <c r="NCE32" t="s">
        <v>251</v>
      </c>
      <c r="NCF32" t="s">
        <v>1305</v>
      </c>
      <c r="NCG32" t="s">
        <v>251</v>
      </c>
      <c r="NCH32" t="s">
        <v>1305</v>
      </c>
      <c r="NCI32" t="s">
        <v>251</v>
      </c>
      <c r="NCJ32" t="s">
        <v>1305</v>
      </c>
      <c r="NCK32" t="s">
        <v>251</v>
      </c>
      <c r="NCL32" t="s">
        <v>1305</v>
      </c>
      <c r="NCM32" t="s">
        <v>251</v>
      </c>
      <c r="NCN32" t="s">
        <v>1305</v>
      </c>
      <c r="NCO32" t="s">
        <v>251</v>
      </c>
      <c r="NCP32" t="s">
        <v>1305</v>
      </c>
      <c r="NCQ32" t="s">
        <v>251</v>
      </c>
      <c r="NCR32" t="s">
        <v>1305</v>
      </c>
      <c r="NCS32" t="s">
        <v>251</v>
      </c>
      <c r="NCT32" t="s">
        <v>1305</v>
      </c>
      <c r="NCU32" t="s">
        <v>251</v>
      </c>
      <c r="NCV32" t="s">
        <v>1305</v>
      </c>
      <c r="NCW32" t="s">
        <v>251</v>
      </c>
      <c r="NCX32" t="s">
        <v>1305</v>
      </c>
      <c r="NCY32" t="s">
        <v>251</v>
      </c>
      <c r="NCZ32" t="s">
        <v>1305</v>
      </c>
      <c r="NDA32" t="s">
        <v>251</v>
      </c>
      <c r="NDB32" t="s">
        <v>1305</v>
      </c>
      <c r="NDC32" t="s">
        <v>251</v>
      </c>
      <c r="NDD32" t="s">
        <v>1305</v>
      </c>
      <c r="NDE32" t="s">
        <v>251</v>
      </c>
      <c r="NDF32" t="s">
        <v>1305</v>
      </c>
      <c r="NDG32" t="s">
        <v>251</v>
      </c>
      <c r="NDH32" t="s">
        <v>1305</v>
      </c>
      <c r="NDI32" t="s">
        <v>251</v>
      </c>
      <c r="NDJ32" t="s">
        <v>1305</v>
      </c>
      <c r="NDK32" t="s">
        <v>251</v>
      </c>
      <c r="NDL32" t="s">
        <v>1305</v>
      </c>
      <c r="NDM32" t="s">
        <v>251</v>
      </c>
      <c r="NDN32" t="s">
        <v>1305</v>
      </c>
      <c r="NDO32" t="s">
        <v>251</v>
      </c>
      <c r="NDP32" t="s">
        <v>1305</v>
      </c>
      <c r="NDQ32" t="s">
        <v>251</v>
      </c>
      <c r="NDR32" t="s">
        <v>1305</v>
      </c>
      <c r="NDS32" t="s">
        <v>251</v>
      </c>
      <c r="NDT32" t="s">
        <v>1305</v>
      </c>
      <c r="NDU32" t="s">
        <v>251</v>
      </c>
      <c r="NDV32" t="s">
        <v>1305</v>
      </c>
      <c r="NDW32" t="s">
        <v>251</v>
      </c>
      <c r="NDX32" t="s">
        <v>1305</v>
      </c>
      <c r="NDY32" t="s">
        <v>251</v>
      </c>
      <c r="NDZ32" t="s">
        <v>1305</v>
      </c>
      <c r="NEA32" t="s">
        <v>251</v>
      </c>
      <c r="NEB32" t="s">
        <v>1305</v>
      </c>
      <c r="NEC32" t="s">
        <v>251</v>
      </c>
      <c r="NED32" t="s">
        <v>1305</v>
      </c>
      <c r="NEE32" t="s">
        <v>251</v>
      </c>
      <c r="NEF32" t="s">
        <v>1305</v>
      </c>
      <c r="NEG32" t="s">
        <v>251</v>
      </c>
      <c r="NEH32" t="s">
        <v>1305</v>
      </c>
      <c r="NEI32" t="s">
        <v>251</v>
      </c>
      <c r="NEJ32" t="s">
        <v>1305</v>
      </c>
      <c r="NEK32" t="s">
        <v>251</v>
      </c>
      <c r="NEL32" t="s">
        <v>1305</v>
      </c>
      <c r="NEM32" t="s">
        <v>251</v>
      </c>
      <c r="NEN32" t="s">
        <v>1305</v>
      </c>
      <c r="NEO32" t="s">
        <v>251</v>
      </c>
      <c r="NEP32" t="s">
        <v>1305</v>
      </c>
      <c r="NEQ32" t="s">
        <v>251</v>
      </c>
      <c r="NER32" t="s">
        <v>1305</v>
      </c>
      <c r="NES32" t="s">
        <v>251</v>
      </c>
      <c r="NET32" t="s">
        <v>1305</v>
      </c>
      <c r="NEU32" t="s">
        <v>251</v>
      </c>
      <c r="NEV32" t="s">
        <v>1305</v>
      </c>
      <c r="NEW32" t="s">
        <v>251</v>
      </c>
      <c r="NEX32" t="s">
        <v>1305</v>
      </c>
      <c r="NEY32" t="s">
        <v>251</v>
      </c>
      <c r="NEZ32" t="s">
        <v>1305</v>
      </c>
      <c r="NFA32" t="s">
        <v>251</v>
      </c>
      <c r="NFB32" t="s">
        <v>1305</v>
      </c>
      <c r="NFC32" t="s">
        <v>251</v>
      </c>
      <c r="NFD32" t="s">
        <v>1305</v>
      </c>
      <c r="NFE32" t="s">
        <v>251</v>
      </c>
      <c r="NFF32" t="s">
        <v>1305</v>
      </c>
      <c r="NFG32" t="s">
        <v>251</v>
      </c>
      <c r="NFH32" t="s">
        <v>1305</v>
      </c>
      <c r="NFI32" t="s">
        <v>251</v>
      </c>
      <c r="NFJ32" t="s">
        <v>1305</v>
      </c>
      <c r="NFK32" t="s">
        <v>251</v>
      </c>
      <c r="NFL32" t="s">
        <v>1305</v>
      </c>
      <c r="NFM32" t="s">
        <v>251</v>
      </c>
      <c r="NFN32" t="s">
        <v>1305</v>
      </c>
      <c r="NFO32" t="s">
        <v>251</v>
      </c>
      <c r="NFP32" t="s">
        <v>1305</v>
      </c>
      <c r="NFQ32" t="s">
        <v>251</v>
      </c>
      <c r="NFR32" t="s">
        <v>1305</v>
      </c>
      <c r="NFS32" t="s">
        <v>251</v>
      </c>
      <c r="NFT32" t="s">
        <v>1305</v>
      </c>
      <c r="NFU32" t="s">
        <v>251</v>
      </c>
      <c r="NFV32" t="s">
        <v>1305</v>
      </c>
      <c r="NFW32" t="s">
        <v>251</v>
      </c>
      <c r="NFX32" t="s">
        <v>1305</v>
      </c>
      <c r="NFY32" t="s">
        <v>251</v>
      </c>
      <c r="NFZ32" t="s">
        <v>1305</v>
      </c>
      <c r="NGA32" t="s">
        <v>251</v>
      </c>
      <c r="NGB32" t="s">
        <v>1305</v>
      </c>
      <c r="NGC32" t="s">
        <v>251</v>
      </c>
      <c r="NGD32" t="s">
        <v>1305</v>
      </c>
      <c r="NGE32" t="s">
        <v>251</v>
      </c>
      <c r="NGF32" t="s">
        <v>1305</v>
      </c>
      <c r="NGG32" t="s">
        <v>251</v>
      </c>
      <c r="NGH32" t="s">
        <v>1305</v>
      </c>
      <c r="NGI32" t="s">
        <v>251</v>
      </c>
      <c r="NGJ32" t="s">
        <v>1305</v>
      </c>
      <c r="NGK32" t="s">
        <v>251</v>
      </c>
      <c r="NGL32" t="s">
        <v>1305</v>
      </c>
      <c r="NGM32" t="s">
        <v>251</v>
      </c>
      <c r="NGN32" t="s">
        <v>1305</v>
      </c>
      <c r="NGO32" t="s">
        <v>251</v>
      </c>
      <c r="NGP32" t="s">
        <v>1305</v>
      </c>
      <c r="NGQ32" t="s">
        <v>251</v>
      </c>
      <c r="NGR32" t="s">
        <v>1305</v>
      </c>
      <c r="NGS32" t="s">
        <v>251</v>
      </c>
      <c r="NGT32" t="s">
        <v>1305</v>
      </c>
      <c r="NGU32" t="s">
        <v>251</v>
      </c>
      <c r="NGV32" t="s">
        <v>1305</v>
      </c>
      <c r="NGW32" t="s">
        <v>251</v>
      </c>
      <c r="NGX32" t="s">
        <v>1305</v>
      </c>
      <c r="NGY32" t="s">
        <v>251</v>
      </c>
      <c r="NGZ32" t="s">
        <v>1305</v>
      </c>
      <c r="NHA32" t="s">
        <v>251</v>
      </c>
      <c r="NHB32" t="s">
        <v>1305</v>
      </c>
      <c r="NHC32" t="s">
        <v>251</v>
      </c>
      <c r="NHD32" t="s">
        <v>1305</v>
      </c>
      <c r="NHE32" t="s">
        <v>251</v>
      </c>
      <c r="NHF32" t="s">
        <v>1305</v>
      </c>
      <c r="NHG32" t="s">
        <v>251</v>
      </c>
      <c r="NHH32" t="s">
        <v>1305</v>
      </c>
      <c r="NHI32" t="s">
        <v>251</v>
      </c>
      <c r="NHJ32" t="s">
        <v>1305</v>
      </c>
      <c r="NHK32" t="s">
        <v>251</v>
      </c>
      <c r="NHL32" t="s">
        <v>1305</v>
      </c>
      <c r="NHM32" t="s">
        <v>251</v>
      </c>
      <c r="NHN32" t="s">
        <v>1305</v>
      </c>
      <c r="NHO32" t="s">
        <v>251</v>
      </c>
      <c r="NHP32" t="s">
        <v>1305</v>
      </c>
      <c r="NHQ32" t="s">
        <v>251</v>
      </c>
      <c r="NHR32" t="s">
        <v>1305</v>
      </c>
      <c r="NHS32" t="s">
        <v>251</v>
      </c>
      <c r="NHT32" t="s">
        <v>1305</v>
      </c>
      <c r="NHU32" t="s">
        <v>251</v>
      </c>
      <c r="NHV32" t="s">
        <v>1305</v>
      </c>
      <c r="NHW32" t="s">
        <v>251</v>
      </c>
      <c r="NHX32" t="s">
        <v>1305</v>
      </c>
      <c r="NHY32" t="s">
        <v>251</v>
      </c>
      <c r="NHZ32" t="s">
        <v>1305</v>
      </c>
      <c r="NIA32" t="s">
        <v>251</v>
      </c>
      <c r="NIB32" t="s">
        <v>1305</v>
      </c>
      <c r="NIC32" t="s">
        <v>251</v>
      </c>
      <c r="NID32" t="s">
        <v>1305</v>
      </c>
      <c r="NIE32" t="s">
        <v>251</v>
      </c>
      <c r="NIF32" t="s">
        <v>1305</v>
      </c>
      <c r="NIG32" t="s">
        <v>251</v>
      </c>
      <c r="NIH32" t="s">
        <v>1305</v>
      </c>
      <c r="NII32" t="s">
        <v>251</v>
      </c>
      <c r="NIJ32" t="s">
        <v>1305</v>
      </c>
      <c r="NIK32" t="s">
        <v>251</v>
      </c>
      <c r="NIL32" t="s">
        <v>1305</v>
      </c>
      <c r="NIM32" t="s">
        <v>251</v>
      </c>
      <c r="NIN32" t="s">
        <v>1305</v>
      </c>
      <c r="NIO32" t="s">
        <v>251</v>
      </c>
      <c r="NIP32" t="s">
        <v>1305</v>
      </c>
      <c r="NIQ32" t="s">
        <v>251</v>
      </c>
      <c r="NIR32" t="s">
        <v>1305</v>
      </c>
      <c r="NIS32" t="s">
        <v>251</v>
      </c>
      <c r="NIT32" t="s">
        <v>1305</v>
      </c>
      <c r="NIU32" t="s">
        <v>251</v>
      </c>
      <c r="NIV32" t="s">
        <v>1305</v>
      </c>
      <c r="NIW32" t="s">
        <v>251</v>
      </c>
      <c r="NIX32" t="s">
        <v>1305</v>
      </c>
      <c r="NIY32" t="s">
        <v>251</v>
      </c>
      <c r="NIZ32" t="s">
        <v>1305</v>
      </c>
      <c r="NJA32" t="s">
        <v>251</v>
      </c>
      <c r="NJB32" t="s">
        <v>1305</v>
      </c>
      <c r="NJC32" t="s">
        <v>251</v>
      </c>
      <c r="NJD32" t="s">
        <v>1305</v>
      </c>
      <c r="NJE32" t="s">
        <v>251</v>
      </c>
      <c r="NJF32" t="s">
        <v>1305</v>
      </c>
      <c r="NJG32" t="s">
        <v>251</v>
      </c>
      <c r="NJH32" t="s">
        <v>1305</v>
      </c>
      <c r="NJI32" t="s">
        <v>251</v>
      </c>
      <c r="NJJ32" t="s">
        <v>1305</v>
      </c>
      <c r="NJK32" t="s">
        <v>251</v>
      </c>
      <c r="NJL32" t="s">
        <v>1305</v>
      </c>
      <c r="NJM32" t="s">
        <v>251</v>
      </c>
      <c r="NJN32" t="s">
        <v>1305</v>
      </c>
      <c r="NJO32" t="s">
        <v>251</v>
      </c>
      <c r="NJP32" t="s">
        <v>1305</v>
      </c>
      <c r="NJQ32" t="s">
        <v>251</v>
      </c>
      <c r="NJR32" t="s">
        <v>1305</v>
      </c>
      <c r="NJS32" t="s">
        <v>251</v>
      </c>
      <c r="NJT32" t="s">
        <v>1305</v>
      </c>
      <c r="NJU32" t="s">
        <v>251</v>
      </c>
      <c r="NJV32" t="s">
        <v>1305</v>
      </c>
      <c r="NJW32" t="s">
        <v>251</v>
      </c>
      <c r="NJX32" t="s">
        <v>1305</v>
      </c>
      <c r="NJY32" t="s">
        <v>251</v>
      </c>
      <c r="NJZ32" t="s">
        <v>1305</v>
      </c>
      <c r="NKA32" t="s">
        <v>251</v>
      </c>
      <c r="NKB32" t="s">
        <v>1305</v>
      </c>
      <c r="NKC32" t="s">
        <v>251</v>
      </c>
      <c r="NKD32" t="s">
        <v>1305</v>
      </c>
      <c r="NKE32" t="s">
        <v>251</v>
      </c>
      <c r="NKF32" t="s">
        <v>1305</v>
      </c>
      <c r="NKG32" t="s">
        <v>251</v>
      </c>
      <c r="NKH32" t="s">
        <v>1305</v>
      </c>
      <c r="NKI32" t="s">
        <v>251</v>
      </c>
      <c r="NKJ32" t="s">
        <v>1305</v>
      </c>
      <c r="NKK32" t="s">
        <v>251</v>
      </c>
      <c r="NKL32" t="s">
        <v>1305</v>
      </c>
      <c r="NKM32" t="s">
        <v>251</v>
      </c>
      <c r="NKN32" t="s">
        <v>1305</v>
      </c>
      <c r="NKO32" t="s">
        <v>251</v>
      </c>
      <c r="NKP32" t="s">
        <v>1305</v>
      </c>
      <c r="NKQ32" t="s">
        <v>251</v>
      </c>
      <c r="NKR32" t="s">
        <v>1305</v>
      </c>
      <c r="NKS32" t="s">
        <v>251</v>
      </c>
      <c r="NKT32" t="s">
        <v>1305</v>
      </c>
      <c r="NKU32" t="s">
        <v>251</v>
      </c>
      <c r="NKV32" t="s">
        <v>1305</v>
      </c>
      <c r="NKW32" t="s">
        <v>251</v>
      </c>
      <c r="NKX32" t="s">
        <v>1305</v>
      </c>
      <c r="NKY32" t="s">
        <v>251</v>
      </c>
      <c r="NKZ32" t="s">
        <v>1305</v>
      </c>
      <c r="NLA32" t="s">
        <v>251</v>
      </c>
      <c r="NLB32" t="s">
        <v>1305</v>
      </c>
      <c r="NLC32" t="s">
        <v>251</v>
      </c>
      <c r="NLD32" t="s">
        <v>1305</v>
      </c>
      <c r="NLE32" t="s">
        <v>251</v>
      </c>
      <c r="NLF32" t="s">
        <v>1305</v>
      </c>
      <c r="NLG32" t="s">
        <v>251</v>
      </c>
      <c r="NLH32" t="s">
        <v>1305</v>
      </c>
      <c r="NLI32" t="s">
        <v>251</v>
      </c>
      <c r="NLJ32" t="s">
        <v>1305</v>
      </c>
      <c r="NLK32" t="s">
        <v>251</v>
      </c>
      <c r="NLL32" t="s">
        <v>1305</v>
      </c>
      <c r="NLM32" t="s">
        <v>251</v>
      </c>
      <c r="NLN32" t="s">
        <v>1305</v>
      </c>
      <c r="NLO32" t="s">
        <v>251</v>
      </c>
      <c r="NLP32" t="s">
        <v>1305</v>
      </c>
      <c r="NLQ32" t="s">
        <v>251</v>
      </c>
      <c r="NLR32" t="s">
        <v>1305</v>
      </c>
      <c r="NLS32" t="s">
        <v>251</v>
      </c>
      <c r="NLT32" t="s">
        <v>1305</v>
      </c>
      <c r="NLU32" t="s">
        <v>251</v>
      </c>
      <c r="NLV32" t="s">
        <v>1305</v>
      </c>
      <c r="NLW32" t="s">
        <v>251</v>
      </c>
      <c r="NLX32" t="s">
        <v>1305</v>
      </c>
      <c r="NLY32" t="s">
        <v>251</v>
      </c>
      <c r="NLZ32" t="s">
        <v>1305</v>
      </c>
      <c r="NMA32" t="s">
        <v>251</v>
      </c>
      <c r="NMB32" t="s">
        <v>1305</v>
      </c>
      <c r="NMC32" t="s">
        <v>251</v>
      </c>
      <c r="NMD32" t="s">
        <v>1305</v>
      </c>
      <c r="NME32" t="s">
        <v>251</v>
      </c>
      <c r="NMF32" t="s">
        <v>1305</v>
      </c>
      <c r="NMG32" t="s">
        <v>251</v>
      </c>
      <c r="NMH32" t="s">
        <v>1305</v>
      </c>
      <c r="NMI32" t="s">
        <v>251</v>
      </c>
      <c r="NMJ32" t="s">
        <v>1305</v>
      </c>
      <c r="NMK32" t="s">
        <v>251</v>
      </c>
      <c r="NML32" t="s">
        <v>1305</v>
      </c>
      <c r="NMM32" t="s">
        <v>251</v>
      </c>
      <c r="NMN32" t="s">
        <v>1305</v>
      </c>
      <c r="NMO32" t="s">
        <v>251</v>
      </c>
      <c r="NMP32" t="s">
        <v>1305</v>
      </c>
      <c r="NMQ32" t="s">
        <v>251</v>
      </c>
      <c r="NMR32" t="s">
        <v>1305</v>
      </c>
      <c r="NMS32" t="s">
        <v>251</v>
      </c>
      <c r="NMT32" t="s">
        <v>1305</v>
      </c>
      <c r="NMU32" t="s">
        <v>251</v>
      </c>
      <c r="NMV32" t="s">
        <v>1305</v>
      </c>
      <c r="NMW32" t="s">
        <v>251</v>
      </c>
      <c r="NMX32" t="s">
        <v>1305</v>
      </c>
      <c r="NMY32" t="s">
        <v>251</v>
      </c>
      <c r="NMZ32" t="s">
        <v>1305</v>
      </c>
      <c r="NNA32" t="s">
        <v>251</v>
      </c>
      <c r="NNB32" t="s">
        <v>1305</v>
      </c>
      <c r="NNC32" t="s">
        <v>251</v>
      </c>
      <c r="NND32" t="s">
        <v>1305</v>
      </c>
      <c r="NNE32" t="s">
        <v>251</v>
      </c>
      <c r="NNF32" t="s">
        <v>1305</v>
      </c>
      <c r="NNG32" t="s">
        <v>251</v>
      </c>
      <c r="NNH32" t="s">
        <v>1305</v>
      </c>
      <c r="NNI32" t="s">
        <v>251</v>
      </c>
      <c r="NNJ32" t="s">
        <v>1305</v>
      </c>
      <c r="NNK32" t="s">
        <v>251</v>
      </c>
      <c r="NNL32" t="s">
        <v>1305</v>
      </c>
      <c r="NNM32" t="s">
        <v>251</v>
      </c>
      <c r="NNN32" t="s">
        <v>1305</v>
      </c>
      <c r="NNO32" t="s">
        <v>251</v>
      </c>
      <c r="NNP32" t="s">
        <v>1305</v>
      </c>
      <c r="NNQ32" t="s">
        <v>251</v>
      </c>
      <c r="NNR32" t="s">
        <v>1305</v>
      </c>
      <c r="NNS32" t="s">
        <v>251</v>
      </c>
      <c r="NNT32" t="s">
        <v>1305</v>
      </c>
      <c r="NNU32" t="s">
        <v>251</v>
      </c>
      <c r="NNV32" t="s">
        <v>1305</v>
      </c>
      <c r="NNW32" t="s">
        <v>251</v>
      </c>
      <c r="NNX32" t="s">
        <v>1305</v>
      </c>
      <c r="NNY32" t="s">
        <v>251</v>
      </c>
      <c r="NNZ32" t="s">
        <v>1305</v>
      </c>
      <c r="NOA32" t="s">
        <v>251</v>
      </c>
      <c r="NOB32" t="s">
        <v>1305</v>
      </c>
      <c r="NOC32" t="s">
        <v>251</v>
      </c>
      <c r="NOD32" t="s">
        <v>1305</v>
      </c>
      <c r="NOE32" t="s">
        <v>251</v>
      </c>
      <c r="NOF32" t="s">
        <v>1305</v>
      </c>
      <c r="NOG32" t="s">
        <v>251</v>
      </c>
      <c r="NOH32" t="s">
        <v>1305</v>
      </c>
      <c r="NOI32" t="s">
        <v>251</v>
      </c>
      <c r="NOJ32" t="s">
        <v>1305</v>
      </c>
      <c r="NOK32" t="s">
        <v>251</v>
      </c>
      <c r="NOL32" t="s">
        <v>1305</v>
      </c>
      <c r="NOM32" t="s">
        <v>251</v>
      </c>
      <c r="NON32" t="s">
        <v>1305</v>
      </c>
      <c r="NOO32" t="s">
        <v>251</v>
      </c>
      <c r="NOP32" t="s">
        <v>1305</v>
      </c>
      <c r="NOQ32" t="s">
        <v>251</v>
      </c>
      <c r="NOR32" t="s">
        <v>1305</v>
      </c>
      <c r="NOS32" t="s">
        <v>251</v>
      </c>
      <c r="NOT32" t="s">
        <v>1305</v>
      </c>
      <c r="NOU32" t="s">
        <v>251</v>
      </c>
      <c r="NOV32" t="s">
        <v>1305</v>
      </c>
      <c r="NOW32" t="s">
        <v>251</v>
      </c>
      <c r="NOX32" t="s">
        <v>1305</v>
      </c>
      <c r="NOY32" t="s">
        <v>251</v>
      </c>
      <c r="NOZ32" t="s">
        <v>1305</v>
      </c>
      <c r="NPA32" t="s">
        <v>251</v>
      </c>
      <c r="NPB32" t="s">
        <v>1305</v>
      </c>
      <c r="NPC32" t="s">
        <v>251</v>
      </c>
      <c r="NPD32" t="s">
        <v>1305</v>
      </c>
      <c r="NPE32" t="s">
        <v>251</v>
      </c>
      <c r="NPF32" t="s">
        <v>1305</v>
      </c>
      <c r="NPG32" t="s">
        <v>251</v>
      </c>
      <c r="NPH32" t="s">
        <v>1305</v>
      </c>
      <c r="NPI32" t="s">
        <v>251</v>
      </c>
      <c r="NPJ32" t="s">
        <v>1305</v>
      </c>
      <c r="NPK32" t="s">
        <v>251</v>
      </c>
      <c r="NPL32" t="s">
        <v>1305</v>
      </c>
      <c r="NPM32" t="s">
        <v>251</v>
      </c>
      <c r="NPN32" t="s">
        <v>1305</v>
      </c>
      <c r="NPO32" t="s">
        <v>251</v>
      </c>
      <c r="NPP32" t="s">
        <v>1305</v>
      </c>
      <c r="NPQ32" t="s">
        <v>251</v>
      </c>
      <c r="NPR32" t="s">
        <v>1305</v>
      </c>
      <c r="NPS32" t="s">
        <v>251</v>
      </c>
      <c r="NPT32" t="s">
        <v>1305</v>
      </c>
      <c r="NPU32" t="s">
        <v>251</v>
      </c>
      <c r="NPV32" t="s">
        <v>1305</v>
      </c>
      <c r="NPW32" t="s">
        <v>251</v>
      </c>
      <c r="NPX32" t="s">
        <v>1305</v>
      </c>
      <c r="NPY32" t="s">
        <v>251</v>
      </c>
      <c r="NPZ32" t="s">
        <v>1305</v>
      </c>
      <c r="NQA32" t="s">
        <v>251</v>
      </c>
      <c r="NQB32" t="s">
        <v>1305</v>
      </c>
      <c r="NQC32" t="s">
        <v>251</v>
      </c>
      <c r="NQD32" t="s">
        <v>1305</v>
      </c>
      <c r="NQE32" t="s">
        <v>251</v>
      </c>
      <c r="NQF32" t="s">
        <v>1305</v>
      </c>
      <c r="NQG32" t="s">
        <v>251</v>
      </c>
      <c r="NQH32" t="s">
        <v>1305</v>
      </c>
      <c r="NQI32" t="s">
        <v>251</v>
      </c>
      <c r="NQJ32" t="s">
        <v>1305</v>
      </c>
      <c r="NQK32" t="s">
        <v>251</v>
      </c>
      <c r="NQL32" t="s">
        <v>1305</v>
      </c>
      <c r="NQM32" t="s">
        <v>251</v>
      </c>
      <c r="NQN32" t="s">
        <v>1305</v>
      </c>
      <c r="NQO32" t="s">
        <v>251</v>
      </c>
      <c r="NQP32" t="s">
        <v>1305</v>
      </c>
      <c r="NQQ32" t="s">
        <v>251</v>
      </c>
      <c r="NQR32" t="s">
        <v>1305</v>
      </c>
      <c r="NQS32" t="s">
        <v>251</v>
      </c>
      <c r="NQT32" t="s">
        <v>1305</v>
      </c>
      <c r="NQU32" t="s">
        <v>251</v>
      </c>
      <c r="NQV32" t="s">
        <v>1305</v>
      </c>
      <c r="NQW32" t="s">
        <v>251</v>
      </c>
      <c r="NQX32" t="s">
        <v>1305</v>
      </c>
      <c r="NQY32" t="s">
        <v>251</v>
      </c>
      <c r="NQZ32" t="s">
        <v>1305</v>
      </c>
      <c r="NRA32" t="s">
        <v>251</v>
      </c>
      <c r="NRB32" t="s">
        <v>1305</v>
      </c>
      <c r="NRC32" t="s">
        <v>251</v>
      </c>
      <c r="NRD32" t="s">
        <v>1305</v>
      </c>
      <c r="NRE32" t="s">
        <v>251</v>
      </c>
      <c r="NRF32" t="s">
        <v>1305</v>
      </c>
      <c r="NRG32" t="s">
        <v>251</v>
      </c>
      <c r="NRH32" t="s">
        <v>1305</v>
      </c>
      <c r="NRI32" t="s">
        <v>251</v>
      </c>
      <c r="NRJ32" t="s">
        <v>1305</v>
      </c>
      <c r="NRK32" t="s">
        <v>251</v>
      </c>
      <c r="NRL32" t="s">
        <v>1305</v>
      </c>
      <c r="NRM32" t="s">
        <v>251</v>
      </c>
      <c r="NRN32" t="s">
        <v>1305</v>
      </c>
      <c r="NRO32" t="s">
        <v>251</v>
      </c>
      <c r="NRP32" t="s">
        <v>1305</v>
      </c>
      <c r="NRQ32" t="s">
        <v>251</v>
      </c>
      <c r="NRR32" t="s">
        <v>1305</v>
      </c>
      <c r="NRS32" t="s">
        <v>251</v>
      </c>
      <c r="NRT32" t="s">
        <v>1305</v>
      </c>
      <c r="NRU32" t="s">
        <v>251</v>
      </c>
      <c r="NRV32" t="s">
        <v>1305</v>
      </c>
      <c r="NRW32" t="s">
        <v>251</v>
      </c>
      <c r="NRX32" t="s">
        <v>1305</v>
      </c>
      <c r="NRY32" t="s">
        <v>251</v>
      </c>
      <c r="NRZ32" t="s">
        <v>1305</v>
      </c>
      <c r="NSA32" t="s">
        <v>251</v>
      </c>
      <c r="NSB32" t="s">
        <v>1305</v>
      </c>
      <c r="NSC32" t="s">
        <v>251</v>
      </c>
      <c r="NSD32" t="s">
        <v>1305</v>
      </c>
      <c r="NSE32" t="s">
        <v>251</v>
      </c>
      <c r="NSF32" t="s">
        <v>1305</v>
      </c>
      <c r="NSG32" t="s">
        <v>251</v>
      </c>
      <c r="NSH32" t="s">
        <v>1305</v>
      </c>
      <c r="NSI32" t="s">
        <v>251</v>
      </c>
      <c r="NSJ32" t="s">
        <v>1305</v>
      </c>
      <c r="NSK32" t="s">
        <v>251</v>
      </c>
      <c r="NSL32" t="s">
        <v>1305</v>
      </c>
      <c r="NSM32" t="s">
        <v>251</v>
      </c>
      <c r="NSN32" t="s">
        <v>1305</v>
      </c>
      <c r="NSO32" t="s">
        <v>251</v>
      </c>
      <c r="NSP32" t="s">
        <v>1305</v>
      </c>
      <c r="NSQ32" t="s">
        <v>251</v>
      </c>
      <c r="NSR32" t="s">
        <v>1305</v>
      </c>
      <c r="NSS32" t="s">
        <v>251</v>
      </c>
      <c r="NST32" t="s">
        <v>1305</v>
      </c>
      <c r="NSU32" t="s">
        <v>251</v>
      </c>
      <c r="NSV32" t="s">
        <v>1305</v>
      </c>
      <c r="NSW32" t="s">
        <v>251</v>
      </c>
      <c r="NSX32" t="s">
        <v>1305</v>
      </c>
      <c r="NSY32" t="s">
        <v>251</v>
      </c>
      <c r="NSZ32" t="s">
        <v>1305</v>
      </c>
      <c r="NTA32" t="s">
        <v>251</v>
      </c>
      <c r="NTB32" t="s">
        <v>1305</v>
      </c>
      <c r="NTC32" t="s">
        <v>251</v>
      </c>
      <c r="NTD32" t="s">
        <v>1305</v>
      </c>
      <c r="NTE32" t="s">
        <v>251</v>
      </c>
      <c r="NTF32" t="s">
        <v>1305</v>
      </c>
      <c r="NTG32" t="s">
        <v>251</v>
      </c>
      <c r="NTH32" t="s">
        <v>1305</v>
      </c>
      <c r="NTI32" t="s">
        <v>251</v>
      </c>
      <c r="NTJ32" t="s">
        <v>1305</v>
      </c>
      <c r="NTK32" t="s">
        <v>251</v>
      </c>
      <c r="NTL32" t="s">
        <v>1305</v>
      </c>
      <c r="NTM32" t="s">
        <v>251</v>
      </c>
      <c r="NTN32" t="s">
        <v>1305</v>
      </c>
      <c r="NTO32" t="s">
        <v>251</v>
      </c>
      <c r="NTP32" t="s">
        <v>1305</v>
      </c>
      <c r="NTQ32" t="s">
        <v>251</v>
      </c>
      <c r="NTR32" t="s">
        <v>1305</v>
      </c>
      <c r="NTS32" t="s">
        <v>251</v>
      </c>
      <c r="NTT32" t="s">
        <v>1305</v>
      </c>
      <c r="NTU32" t="s">
        <v>251</v>
      </c>
      <c r="NTV32" t="s">
        <v>1305</v>
      </c>
      <c r="NTW32" t="s">
        <v>251</v>
      </c>
      <c r="NTX32" t="s">
        <v>1305</v>
      </c>
      <c r="NTY32" t="s">
        <v>251</v>
      </c>
      <c r="NTZ32" t="s">
        <v>1305</v>
      </c>
      <c r="NUA32" t="s">
        <v>251</v>
      </c>
      <c r="NUB32" t="s">
        <v>1305</v>
      </c>
      <c r="NUC32" t="s">
        <v>251</v>
      </c>
      <c r="NUD32" t="s">
        <v>1305</v>
      </c>
      <c r="NUE32" t="s">
        <v>251</v>
      </c>
      <c r="NUF32" t="s">
        <v>1305</v>
      </c>
      <c r="NUG32" t="s">
        <v>251</v>
      </c>
      <c r="NUH32" t="s">
        <v>1305</v>
      </c>
      <c r="NUI32" t="s">
        <v>251</v>
      </c>
      <c r="NUJ32" t="s">
        <v>1305</v>
      </c>
      <c r="NUK32" t="s">
        <v>251</v>
      </c>
      <c r="NUL32" t="s">
        <v>1305</v>
      </c>
      <c r="NUM32" t="s">
        <v>251</v>
      </c>
      <c r="NUN32" t="s">
        <v>1305</v>
      </c>
      <c r="NUO32" t="s">
        <v>251</v>
      </c>
      <c r="NUP32" t="s">
        <v>1305</v>
      </c>
      <c r="NUQ32" t="s">
        <v>251</v>
      </c>
      <c r="NUR32" t="s">
        <v>1305</v>
      </c>
      <c r="NUS32" t="s">
        <v>251</v>
      </c>
      <c r="NUT32" t="s">
        <v>1305</v>
      </c>
      <c r="NUU32" t="s">
        <v>251</v>
      </c>
      <c r="NUV32" t="s">
        <v>1305</v>
      </c>
      <c r="NUW32" t="s">
        <v>251</v>
      </c>
      <c r="NUX32" t="s">
        <v>1305</v>
      </c>
      <c r="NUY32" t="s">
        <v>251</v>
      </c>
      <c r="NUZ32" t="s">
        <v>1305</v>
      </c>
      <c r="NVA32" t="s">
        <v>251</v>
      </c>
      <c r="NVB32" t="s">
        <v>1305</v>
      </c>
      <c r="NVC32" t="s">
        <v>251</v>
      </c>
      <c r="NVD32" t="s">
        <v>1305</v>
      </c>
      <c r="NVE32" t="s">
        <v>251</v>
      </c>
      <c r="NVF32" t="s">
        <v>1305</v>
      </c>
      <c r="NVG32" t="s">
        <v>251</v>
      </c>
      <c r="NVH32" t="s">
        <v>1305</v>
      </c>
      <c r="NVI32" t="s">
        <v>251</v>
      </c>
      <c r="NVJ32" t="s">
        <v>1305</v>
      </c>
      <c r="NVK32" t="s">
        <v>251</v>
      </c>
      <c r="NVL32" t="s">
        <v>1305</v>
      </c>
      <c r="NVM32" t="s">
        <v>251</v>
      </c>
      <c r="NVN32" t="s">
        <v>1305</v>
      </c>
      <c r="NVO32" t="s">
        <v>251</v>
      </c>
      <c r="NVP32" t="s">
        <v>1305</v>
      </c>
      <c r="NVQ32" t="s">
        <v>251</v>
      </c>
      <c r="NVR32" t="s">
        <v>1305</v>
      </c>
      <c r="NVS32" t="s">
        <v>251</v>
      </c>
      <c r="NVT32" t="s">
        <v>1305</v>
      </c>
      <c r="NVU32" t="s">
        <v>251</v>
      </c>
      <c r="NVV32" t="s">
        <v>1305</v>
      </c>
      <c r="NVW32" t="s">
        <v>251</v>
      </c>
      <c r="NVX32" t="s">
        <v>1305</v>
      </c>
      <c r="NVY32" t="s">
        <v>251</v>
      </c>
      <c r="NVZ32" t="s">
        <v>1305</v>
      </c>
      <c r="NWA32" t="s">
        <v>251</v>
      </c>
      <c r="NWB32" t="s">
        <v>1305</v>
      </c>
      <c r="NWC32" t="s">
        <v>251</v>
      </c>
      <c r="NWD32" t="s">
        <v>1305</v>
      </c>
      <c r="NWE32" t="s">
        <v>251</v>
      </c>
      <c r="NWF32" t="s">
        <v>1305</v>
      </c>
      <c r="NWG32" t="s">
        <v>251</v>
      </c>
      <c r="NWH32" t="s">
        <v>1305</v>
      </c>
      <c r="NWI32" t="s">
        <v>251</v>
      </c>
      <c r="NWJ32" t="s">
        <v>1305</v>
      </c>
      <c r="NWK32" t="s">
        <v>251</v>
      </c>
      <c r="NWL32" t="s">
        <v>1305</v>
      </c>
      <c r="NWM32" t="s">
        <v>251</v>
      </c>
      <c r="NWN32" t="s">
        <v>1305</v>
      </c>
      <c r="NWO32" t="s">
        <v>251</v>
      </c>
      <c r="NWP32" t="s">
        <v>1305</v>
      </c>
      <c r="NWQ32" t="s">
        <v>251</v>
      </c>
      <c r="NWR32" t="s">
        <v>1305</v>
      </c>
      <c r="NWS32" t="s">
        <v>251</v>
      </c>
      <c r="NWT32" t="s">
        <v>1305</v>
      </c>
      <c r="NWU32" t="s">
        <v>251</v>
      </c>
      <c r="NWV32" t="s">
        <v>1305</v>
      </c>
      <c r="NWW32" t="s">
        <v>251</v>
      </c>
      <c r="NWX32" t="s">
        <v>1305</v>
      </c>
      <c r="NWY32" t="s">
        <v>251</v>
      </c>
      <c r="NWZ32" t="s">
        <v>1305</v>
      </c>
      <c r="NXA32" t="s">
        <v>251</v>
      </c>
      <c r="NXB32" t="s">
        <v>1305</v>
      </c>
      <c r="NXC32" t="s">
        <v>251</v>
      </c>
      <c r="NXD32" t="s">
        <v>1305</v>
      </c>
      <c r="NXE32" t="s">
        <v>251</v>
      </c>
      <c r="NXF32" t="s">
        <v>1305</v>
      </c>
      <c r="NXG32" t="s">
        <v>251</v>
      </c>
      <c r="NXH32" t="s">
        <v>1305</v>
      </c>
      <c r="NXI32" t="s">
        <v>251</v>
      </c>
      <c r="NXJ32" t="s">
        <v>1305</v>
      </c>
      <c r="NXK32" t="s">
        <v>251</v>
      </c>
      <c r="NXL32" t="s">
        <v>1305</v>
      </c>
      <c r="NXM32" t="s">
        <v>251</v>
      </c>
      <c r="NXN32" t="s">
        <v>1305</v>
      </c>
      <c r="NXO32" t="s">
        <v>251</v>
      </c>
      <c r="NXP32" t="s">
        <v>1305</v>
      </c>
      <c r="NXQ32" t="s">
        <v>251</v>
      </c>
      <c r="NXR32" t="s">
        <v>1305</v>
      </c>
      <c r="NXS32" t="s">
        <v>251</v>
      </c>
      <c r="NXT32" t="s">
        <v>1305</v>
      </c>
      <c r="NXU32" t="s">
        <v>251</v>
      </c>
      <c r="NXV32" t="s">
        <v>1305</v>
      </c>
      <c r="NXW32" t="s">
        <v>251</v>
      </c>
      <c r="NXX32" t="s">
        <v>1305</v>
      </c>
      <c r="NXY32" t="s">
        <v>251</v>
      </c>
      <c r="NXZ32" t="s">
        <v>1305</v>
      </c>
      <c r="NYA32" t="s">
        <v>251</v>
      </c>
      <c r="NYB32" t="s">
        <v>1305</v>
      </c>
      <c r="NYC32" t="s">
        <v>251</v>
      </c>
      <c r="NYD32" t="s">
        <v>1305</v>
      </c>
      <c r="NYE32" t="s">
        <v>251</v>
      </c>
      <c r="NYF32" t="s">
        <v>1305</v>
      </c>
      <c r="NYG32" t="s">
        <v>251</v>
      </c>
      <c r="NYH32" t="s">
        <v>1305</v>
      </c>
      <c r="NYI32" t="s">
        <v>251</v>
      </c>
      <c r="NYJ32" t="s">
        <v>1305</v>
      </c>
      <c r="NYK32" t="s">
        <v>251</v>
      </c>
      <c r="NYL32" t="s">
        <v>1305</v>
      </c>
      <c r="NYM32" t="s">
        <v>251</v>
      </c>
      <c r="NYN32" t="s">
        <v>1305</v>
      </c>
      <c r="NYO32" t="s">
        <v>251</v>
      </c>
      <c r="NYP32" t="s">
        <v>1305</v>
      </c>
      <c r="NYQ32" t="s">
        <v>251</v>
      </c>
      <c r="NYR32" t="s">
        <v>1305</v>
      </c>
      <c r="NYS32" t="s">
        <v>251</v>
      </c>
      <c r="NYT32" t="s">
        <v>1305</v>
      </c>
      <c r="NYU32" t="s">
        <v>251</v>
      </c>
      <c r="NYV32" t="s">
        <v>1305</v>
      </c>
      <c r="NYW32" t="s">
        <v>251</v>
      </c>
      <c r="NYX32" t="s">
        <v>1305</v>
      </c>
      <c r="NYY32" t="s">
        <v>251</v>
      </c>
      <c r="NYZ32" t="s">
        <v>1305</v>
      </c>
      <c r="NZA32" t="s">
        <v>251</v>
      </c>
      <c r="NZB32" t="s">
        <v>1305</v>
      </c>
      <c r="NZC32" t="s">
        <v>251</v>
      </c>
      <c r="NZD32" t="s">
        <v>1305</v>
      </c>
      <c r="NZE32" t="s">
        <v>251</v>
      </c>
      <c r="NZF32" t="s">
        <v>1305</v>
      </c>
      <c r="NZG32" t="s">
        <v>251</v>
      </c>
      <c r="NZH32" t="s">
        <v>1305</v>
      </c>
      <c r="NZI32" t="s">
        <v>251</v>
      </c>
      <c r="NZJ32" t="s">
        <v>1305</v>
      </c>
      <c r="NZK32" t="s">
        <v>251</v>
      </c>
      <c r="NZL32" t="s">
        <v>1305</v>
      </c>
      <c r="NZM32" t="s">
        <v>251</v>
      </c>
      <c r="NZN32" t="s">
        <v>1305</v>
      </c>
      <c r="NZO32" t="s">
        <v>251</v>
      </c>
      <c r="NZP32" t="s">
        <v>1305</v>
      </c>
      <c r="NZQ32" t="s">
        <v>251</v>
      </c>
      <c r="NZR32" t="s">
        <v>1305</v>
      </c>
      <c r="NZS32" t="s">
        <v>251</v>
      </c>
      <c r="NZT32" t="s">
        <v>1305</v>
      </c>
      <c r="NZU32" t="s">
        <v>251</v>
      </c>
      <c r="NZV32" t="s">
        <v>1305</v>
      </c>
      <c r="NZW32" t="s">
        <v>251</v>
      </c>
      <c r="NZX32" t="s">
        <v>1305</v>
      </c>
      <c r="NZY32" t="s">
        <v>251</v>
      </c>
      <c r="NZZ32" t="s">
        <v>1305</v>
      </c>
      <c r="OAA32" t="s">
        <v>251</v>
      </c>
      <c r="OAB32" t="s">
        <v>1305</v>
      </c>
      <c r="OAC32" t="s">
        <v>251</v>
      </c>
      <c r="OAD32" t="s">
        <v>1305</v>
      </c>
      <c r="OAE32" t="s">
        <v>251</v>
      </c>
      <c r="OAF32" t="s">
        <v>1305</v>
      </c>
      <c r="OAG32" t="s">
        <v>251</v>
      </c>
      <c r="OAH32" t="s">
        <v>1305</v>
      </c>
      <c r="OAI32" t="s">
        <v>251</v>
      </c>
      <c r="OAJ32" t="s">
        <v>1305</v>
      </c>
      <c r="OAK32" t="s">
        <v>251</v>
      </c>
      <c r="OAL32" t="s">
        <v>1305</v>
      </c>
      <c r="OAM32" t="s">
        <v>251</v>
      </c>
      <c r="OAN32" t="s">
        <v>1305</v>
      </c>
      <c r="OAO32" t="s">
        <v>251</v>
      </c>
      <c r="OAP32" t="s">
        <v>1305</v>
      </c>
      <c r="OAQ32" t="s">
        <v>251</v>
      </c>
      <c r="OAR32" t="s">
        <v>1305</v>
      </c>
      <c r="OAS32" t="s">
        <v>251</v>
      </c>
      <c r="OAT32" t="s">
        <v>1305</v>
      </c>
      <c r="OAU32" t="s">
        <v>251</v>
      </c>
      <c r="OAV32" t="s">
        <v>1305</v>
      </c>
      <c r="OAW32" t="s">
        <v>251</v>
      </c>
      <c r="OAX32" t="s">
        <v>1305</v>
      </c>
      <c r="OAY32" t="s">
        <v>251</v>
      </c>
      <c r="OAZ32" t="s">
        <v>1305</v>
      </c>
      <c r="OBA32" t="s">
        <v>251</v>
      </c>
      <c r="OBB32" t="s">
        <v>1305</v>
      </c>
      <c r="OBC32" t="s">
        <v>251</v>
      </c>
      <c r="OBD32" t="s">
        <v>1305</v>
      </c>
      <c r="OBE32" t="s">
        <v>251</v>
      </c>
      <c r="OBF32" t="s">
        <v>1305</v>
      </c>
      <c r="OBG32" t="s">
        <v>251</v>
      </c>
      <c r="OBH32" t="s">
        <v>1305</v>
      </c>
      <c r="OBI32" t="s">
        <v>251</v>
      </c>
      <c r="OBJ32" t="s">
        <v>1305</v>
      </c>
      <c r="OBK32" t="s">
        <v>251</v>
      </c>
      <c r="OBL32" t="s">
        <v>1305</v>
      </c>
      <c r="OBM32" t="s">
        <v>251</v>
      </c>
      <c r="OBN32" t="s">
        <v>1305</v>
      </c>
      <c r="OBO32" t="s">
        <v>251</v>
      </c>
      <c r="OBP32" t="s">
        <v>1305</v>
      </c>
      <c r="OBQ32" t="s">
        <v>251</v>
      </c>
      <c r="OBR32" t="s">
        <v>1305</v>
      </c>
      <c r="OBS32" t="s">
        <v>251</v>
      </c>
      <c r="OBT32" t="s">
        <v>1305</v>
      </c>
      <c r="OBU32" t="s">
        <v>251</v>
      </c>
      <c r="OBV32" t="s">
        <v>1305</v>
      </c>
      <c r="OBW32" t="s">
        <v>251</v>
      </c>
      <c r="OBX32" t="s">
        <v>1305</v>
      </c>
      <c r="OBY32" t="s">
        <v>251</v>
      </c>
      <c r="OBZ32" t="s">
        <v>1305</v>
      </c>
      <c r="OCA32" t="s">
        <v>251</v>
      </c>
      <c r="OCB32" t="s">
        <v>1305</v>
      </c>
      <c r="OCC32" t="s">
        <v>251</v>
      </c>
      <c r="OCD32" t="s">
        <v>1305</v>
      </c>
      <c r="OCE32" t="s">
        <v>251</v>
      </c>
      <c r="OCF32" t="s">
        <v>1305</v>
      </c>
      <c r="OCG32" t="s">
        <v>251</v>
      </c>
      <c r="OCH32" t="s">
        <v>1305</v>
      </c>
      <c r="OCI32" t="s">
        <v>251</v>
      </c>
      <c r="OCJ32" t="s">
        <v>1305</v>
      </c>
      <c r="OCK32" t="s">
        <v>251</v>
      </c>
      <c r="OCL32" t="s">
        <v>1305</v>
      </c>
      <c r="OCM32" t="s">
        <v>251</v>
      </c>
      <c r="OCN32" t="s">
        <v>1305</v>
      </c>
      <c r="OCO32" t="s">
        <v>251</v>
      </c>
      <c r="OCP32" t="s">
        <v>1305</v>
      </c>
      <c r="OCQ32" t="s">
        <v>251</v>
      </c>
      <c r="OCR32" t="s">
        <v>1305</v>
      </c>
      <c r="OCS32" t="s">
        <v>251</v>
      </c>
      <c r="OCT32" t="s">
        <v>1305</v>
      </c>
      <c r="OCU32" t="s">
        <v>251</v>
      </c>
      <c r="OCV32" t="s">
        <v>1305</v>
      </c>
      <c r="OCW32" t="s">
        <v>251</v>
      </c>
      <c r="OCX32" t="s">
        <v>1305</v>
      </c>
      <c r="OCY32" t="s">
        <v>251</v>
      </c>
      <c r="OCZ32" t="s">
        <v>1305</v>
      </c>
      <c r="ODA32" t="s">
        <v>251</v>
      </c>
      <c r="ODB32" t="s">
        <v>1305</v>
      </c>
      <c r="ODC32" t="s">
        <v>251</v>
      </c>
      <c r="ODD32" t="s">
        <v>1305</v>
      </c>
      <c r="ODE32" t="s">
        <v>251</v>
      </c>
      <c r="ODF32" t="s">
        <v>1305</v>
      </c>
      <c r="ODG32" t="s">
        <v>251</v>
      </c>
      <c r="ODH32" t="s">
        <v>1305</v>
      </c>
      <c r="ODI32" t="s">
        <v>251</v>
      </c>
      <c r="ODJ32" t="s">
        <v>1305</v>
      </c>
      <c r="ODK32" t="s">
        <v>251</v>
      </c>
      <c r="ODL32" t="s">
        <v>1305</v>
      </c>
      <c r="ODM32" t="s">
        <v>251</v>
      </c>
      <c r="ODN32" t="s">
        <v>1305</v>
      </c>
      <c r="ODO32" t="s">
        <v>251</v>
      </c>
      <c r="ODP32" t="s">
        <v>1305</v>
      </c>
      <c r="ODQ32" t="s">
        <v>251</v>
      </c>
      <c r="ODR32" t="s">
        <v>1305</v>
      </c>
      <c r="ODS32" t="s">
        <v>251</v>
      </c>
      <c r="ODT32" t="s">
        <v>1305</v>
      </c>
      <c r="ODU32" t="s">
        <v>251</v>
      </c>
      <c r="ODV32" t="s">
        <v>1305</v>
      </c>
      <c r="ODW32" t="s">
        <v>251</v>
      </c>
      <c r="ODX32" t="s">
        <v>1305</v>
      </c>
      <c r="ODY32" t="s">
        <v>251</v>
      </c>
      <c r="ODZ32" t="s">
        <v>1305</v>
      </c>
      <c r="OEA32" t="s">
        <v>251</v>
      </c>
      <c r="OEB32" t="s">
        <v>1305</v>
      </c>
      <c r="OEC32" t="s">
        <v>251</v>
      </c>
      <c r="OED32" t="s">
        <v>1305</v>
      </c>
      <c r="OEE32" t="s">
        <v>251</v>
      </c>
      <c r="OEF32" t="s">
        <v>1305</v>
      </c>
      <c r="OEG32" t="s">
        <v>251</v>
      </c>
      <c r="OEH32" t="s">
        <v>1305</v>
      </c>
      <c r="OEI32" t="s">
        <v>251</v>
      </c>
      <c r="OEJ32" t="s">
        <v>1305</v>
      </c>
      <c r="OEK32" t="s">
        <v>251</v>
      </c>
      <c r="OEL32" t="s">
        <v>1305</v>
      </c>
      <c r="OEM32" t="s">
        <v>251</v>
      </c>
      <c r="OEN32" t="s">
        <v>1305</v>
      </c>
      <c r="OEO32" t="s">
        <v>251</v>
      </c>
      <c r="OEP32" t="s">
        <v>1305</v>
      </c>
      <c r="OEQ32" t="s">
        <v>251</v>
      </c>
      <c r="OER32" t="s">
        <v>1305</v>
      </c>
      <c r="OES32" t="s">
        <v>251</v>
      </c>
      <c r="OET32" t="s">
        <v>1305</v>
      </c>
      <c r="OEU32" t="s">
        <v>251</v>
      </c>
      <c r="OEV32" t="s">
        <v>1305</v>
      </c>
      <c r="OEW32" t="s">
        <v>251</v>
      </c>
      <c r="OEX32" t="s">
        <v>1305</v>
      </c>
      <c r="OEY32" t="s">
        <v>251</v>
      </c>
      <c r="OEZ32" t="s">
        <v>1305</v>
      </c>
      <c r="OFA32" t="s">
        <v>251</v>
      </c>
      <c r="OFB32" t="s">
        <v>1305</v>
      </c>
      <c r="OFC32" t="s">
        <v>251</v>
      </c>
      <c r="OFD32" t="s">
        <v>1305</v>
      </c>
      <c r="OFE32" t="s">
        <v>251</v>
      </c>
      <c r="OFF32" t="s">
        <v>1305</v>
      </c>
      <c r="OFG32" t="s">
        <v>251</v>
      </c>
      <c r="OFH32" t="s">
        <v>1305</v>
      </c>
      <c r="OFI32" t="s">
        <v>251</v>
      </c>
      <c r="OFJ32" t="s">
        <v>1305</v>
      </c>
      <c r="OFK32" t="s">
        <v>251</v>
      </c>
      <c r="OFL32" t="s">
        <v>1305</v>
      </c>
      <c r="OFM32" t="s">
        <v>251</v>
      </c>
      <c r="OFN32" t="s">
        <v>1305</v>
      </c>
      <c r="OFO32" t="s">
        <v>251</v>
      </c>
      <c r="OFP32" t="s">
        <v>1305</v>
      </c>
      <c r="OFQ32" t="s">
        <v>251</v>
      </c>
      <c r="OFR32" t="s">
        <v>1305</v>
      </c>
      <c r="OFS32" t="s">
        <v>251</v>
      </c>
      <c r="OFT32" t="s">
        <v>1305</v>
      </c>
      <c r="OFU32" t="s">
        <v>251</v>
      </c>
      <c r="OFV32" t="s">
        <v>1305</v>
      </c>
      <c r="OFW32" t="s">
        <v>251</v>
      </c>
      <c r="OFX32" t="s">
        <v>1305</v>
      </c>
      <c r="OFY32" t="s">
        <v>251</v>
      </c>
      <c r="OFZ32" t="s">
        <v>1305</v>
      </c>
      <c r="OGA32" t="s">
        <v>251</v>
      </c>
      <c r="OGB32" t="s">
        <v>1305</v>
      </c>
      <c r="OGC32" t="s">
        <v>251</v>
      </c>
      <c r="OGD32" t="s">
        <v>1305</v>
      </c>
      <c r="OGE32" t="s">
        <v>251</v>
      </c>
      <c r="OGF32" t="s">
        <v>1305</v>
      </c>
      <c r="OGG32" t="s">
        <v>251</v>
      </c>
      <c r="OGH32" t="s">
        <v>1305</v>
      </c>
      <c r="OGI32" t="s">
        <v>251</v>
      </c>
      <c r="OGJ32" t="s">
        <v>1305</v>
      </c>
      <c r="OGK32" t="s">
        <v>251</v>
      </c>
      <c r="OGL32" t="s">
        <v>1305</v>
      </c>
      <c r="OGM32" t="s">
        <v>251</v>
      </c>
      <c r="OGN32" t="s">
        <v>1305</v>
      </c>
      <c r="OGO32" t="s">
        <v>251</v>
      </c>
      <c r="OGP32" t="s">
        <v>1305</v>
      </c>
      <c r="OGQ32" t="s">
        <v>251</v>
      </c>
      <c r="OGR32" t="s">
        <v>1305</v>
      </c>
      <c r="OGS32" t="s">
        <v>251</v>
      </c>
      <c r="OGT32" t="s">
        <v>1305</v>
      </c>
      <c r="OGU32" t="s">
        <v>251</v>
      </c>
      <c r="OGV32" t="s">
        <v>1305</v>
      </c>
      <c r="OGW32" t="s">
        <v>251</v>
      </c>
      <c r="OGX32" t="s">
        <v>1305</v>
      </c>
      <c r="OGY32" t="s">
        <v>251</v>
      </c>
      <c r="OGZ32" t="s">
        <v>1305</v>
      </c>
      <c r="OHA32" t="s">
        <v>251</v>
      </c>
      <c r="OHB32" t="s">
        <v>1305</v>
      </c>
      <c r="OHC32" t="s">
        <v>251</v>
      </c>
      <c r="OHD32" t="s">
        <v>1305</v>
      </c>
      <c r="OHE32" t="s">
        <v>251</v>
      </c>
      <c r="OHF32" t="s">
        <v>1305</v>
      </c>
      <c r="OHG32" t="s">
        <v>251</v>
      </c>
      <c r="OHH32" t="s">
        <v>1305</v>
      </c>
      <c r="OHI32" t="s">
        <v>251</v>
      </c>
      <c r="OHJ32" t="s">
        <v>1305</v>
      </c>
      <c r="OHK32" t="s">
        <v>251</v>
      </c>
      <c r="OHL32" t="s">
        <v>1305</v>
      </c>
      <c r="OHM32" t="s">
        <v>251</v>
      </c>
      <c r="OHN32" t="s">
        <v>1305</v>
      </c>
      <c r="OHO32" t="s">
        <v>251</v>
      </c>
      <c r="OHP32" t="s">
        <v>1305</v>
      </c>
      <c r="OHQ32" t="s">
        <v>251</v>
      </c>
      <c r="OHR32" t="s">
        <v>1305</v>
      </c>
      <c r="OHS32" t="s">
        <v>251</v>
      </c>
      <c r="OHT32" t="s">
        <v>1305</v>
      </c>
      <c r="OHU32" t="s">
        <v>251</v>
      </c>
      <c r="OHV32" t="s">
        <v>1305</v>
      </c>
      <c r="OHW32" t="s">
        <v>251</v>
      </c>
      <c r="OHX32" t="s">
        <v>1305</v>
      </c>
      <c r="OHY32" t="s">
        <v>251</v>
      </c>
      <c r="OHZ32" t="s">
        <v>1305</v>
      </c>
      <c r="OIA32" t="s">
        <v>251</v>
      </c>
      <c r="OIB32" t="s">
        <v>1305</v>
      </c>
      <c r="OIC32" t="s">
        <v>251</v>
      </c>
      <c r="OID32" t="s">
        <v>1305</v>
      </c>
      <c r="OIE32" t="s">
        <v>251</v>
      </c>
      <c r="OIF32" t="s">
        <v>1305</v>
      </c>
      <c r="OIG32" t="s">
        <v>251</v>
      </c>
      <c r="OIH32" t="s">
        <v>1305</v>
      </c>
      <c r="OII32" t="s">
        <v>251</v>
      </c>
      <c r="OIJ32" t="s">
        <v>1305</v>
      </c>
      <c r="OIK32" t="s">
        <v>251</v>
      </c>
      <c r="OIL32" t="s">
        <v>1305</v>
      </c>
      <c r="OIM32" t="s">
        <v>251</v>
      </c>
      <c r="OIN32" t="s">
        <v>1305</v>
      </c>
      <c r="OIO32" t="s">
        <v>251</v>
      </c>
      <c r="OIP32" t="s">
        <v>1305</v>
      </c>
      <c r="OIQ32" t="s">
        <v>251</v>
      </c>
      <c r="OIR32" t="s">
        <v>1305</v>
      </c>
      <c r="OIS32" t="s">
        <v>251</v>
      </c>
      <c r="OIT32" t="s">
        <v>1305</v>
      </c>
      <c r="OIU32" t="s">
        <v>251</v>
      </c>
      <c r="OIV32" t="s">
        <v>1305</v>
      </c>
      <c r="OIW32" t="s">
        <v>251</v>
      </c>
      <c r="OIX32" t="s">
        <v>1305</v>
      </c>
      <c r="OIY32" t="s">
        <v>251</v>
      </c>
      <c r="OIZ32" t="s">
        <v>1305</v>
      </c>
      <c r="OJA32" t="s">
        <v>251</v>
      </c>
      <c r="OJB32" t="s">
        <v>1305</v>
      </c>
      <c r="OJC32" t="s">
        <v>251</v>
      </c>
      <c r="OJD32" t="s">
        <v>1305</v>
      </c>
      <c r="OJE32" t="s">
        <v>251</v>
      </c>
      <c r="OJF32" t="s">
        <v>1305</v>
      </c>
      <c r="OJG32" t="s">
        <v>251</v>
      </c>
      <c r="OJH32" t="s">
        <v>1305</v>
      </c>
      <c r="OJI32" t="s">
        <v>251</v>
      </c>
      <c r="OJJ32" t="s">
        <v>1305</v>
      </c>
      <c r="OJK32" t="s">
        <v>251</v>
      </c>
      <c r="OJL32" t="s">
        <v>1305</v>
      </c>
      <c r="OJM32" t="s">
        <v>251</v>
      </c>
      <c r="OJN32" t="s">
        <v>1305</v>
      </c>
      <c r="OJO32" t="s">
        <v>251</v>
      </c>
      <c r="OJP32" t="s">
        <v>1305</v>
      </c>
      <c r="OJQ32" t="s">
        <v>251</v>
      </c>
      <c r="OJR32" t="s">
        <v>1305</v>
      </c>
      <c r="OJS32" t="s">
        <v>251</v>
      </c>
      <c r="OJT32" t="s">
        <v>1305</v>
      </c>
      <c r="OJU32" t="s">
        <v>251</v>
      </c>
      <c r="OJV32" t="s">
        <v>1305</v>
      </c>
      <c r="OJW32" t="s">
        <v>251</v>
      </c>
      <c r="OJX32" t="s">
        <v>1305</v>
      </c>
      <c r="OJY32" t="s">
        <v>251</v>
      </c>
      <c r="OJZ32" t="s">
        <v>1305</v>
      </c>
      <c r="OKA32" t="s">
        <v>251</v>
      </c>
      <c r="OKB32" t="s">
        <v>1305</v>
      </c>
      <c r="OKC32" t="s">
        <v>251</v>
      </c>
      <c r="OKD32" t="s">
        <v>1305</v>
      </c>
      <c r="OKE32" t="s">
        <v>251</v>
      </c>
      <c r="OKF32" t="s">
        <v>1305</v>
      </c>
      <c r="OKG32" t="s">
        <v>251</v>
      </c>
      <c r="OKH32" t="s">
        <v>1305</v>
      </c>
      <c r="OKI32" t="s">
        <v>251</v>
      </c>
      <c r="OKJ32" t="s">
        <v>1305</v>
      </c>
      <c r="OKK32" t="s">
        <v>251</v>
      </c>
      <c r="OKL32" t="s">
        <v>1305</v>
      </c>
      <c r="OKM32" t="s">
        <v>251</v>
      </c>
      <c r="OKN32" t="s">
        <v>1305</v>
      </c>
      <c r="OKO32" t="s">
        <v>251</v>
      </c>
      <c r="OKP32" t="s">
        <v>1305</v>
      </c>
      <c r="OKQ32" t="s">
        <v>251</v>
      </c>
      <c r="OKR32" t="s">
        <v>1305</v>
      </c>
      <c r="OKS32" t="s">
        <v>251</v>
      </c>
      <c r="OKT32" t="s">
        <v>1305</v>
      </c>
      <c r="OKU32" t="s">
        <v>251</v>
      </c>
      <c r="OKV32" t="s">
        <v>1305</v>
      </c>
      <c r="OKW32" t="s">
        <v>251</v>
      </c>
      <c r="OKX32" t="s">
        <v>1305</v>
      </c>
      <c r="OKY32" t="s">
        <v>251</v>
      </c>
      <c r="OKZ32" t="s">
        <v>1305</v>
      </c>
      <c r="OLA32" t="s">
        <v>251</v>
      </c>
      <c r="OLB32" t="s">
        <v>1305</v>
      </c>
      <c r="OLC32" t="s">
        <v>251</v>
      </c>
      <c r="OLD32" t="s">
        <v>1305</v>
      </c>
      <c r="OLE32" t="s">
        <v>251</v>
      </c>
      <c r="OLF32" t="s">
        <v>1305</v>
      </c>
      <c r="OLG32" t="s">
        <v>251</v>
      </c>
      <c r="OLH32" t="s">
        <v>1305</v>
      </c>
      <c r="OLI32" t="s">
        <v>251</v>
      </c>
      <c r="OLJ32" t="s">
        <v>1305</v>
      </c>
      <c r="OLK32" t="s">
        <v>251</v>
      </c>
      <c r="OLL32" t="s">
        <v>1305</v>
      </c>
      <c r="OLM32" t="s">
        <v>251</v>
      </c>
      <c r="OLN32" t="s">
        <v>1305</v>
      </c>
      <c r="OLO32" t="s">
        <v>251</v>
      </c>
      <c r="OLP32" t="s">
        <v>1305</v>
      </c>
      <c r="OLQ32" t="s">
        <v>251</v>
      </c>
      <c r="OLR32" t="s">
        <v>1305</v>
      </c>
      <c r="OLS32" t="s">
        <v>251</v>
      </c>
      <c r="OLT32" t="s">
        <v>1305</v>
      </c>
      <c r="OLU32" t="s">
        <v>251</v>
      </c>
      <c r="OLV32" t="s">
        <v>1305</v>
      </c>
      <c r="OLW32" t="s">
        <v>251</v>
      </c>
      <c r="OLX32" t="s">
        <v>1305</v>
      </c>
      <c r="OLY32" t="s">
        <v>251</v>
      </c>
      <c r="OLZ32" t="s">
        <v>1305</v>
      </c>
      <c r="OMA32" t="s">
        <v>251</v>
      </c>
      <c r="OMB32" t="s">
        <v>1305</v>
      </c>
      <c r="OMC32" t="s">
        <v>251</v>
      </c>
      <c r="OMD32" t="s">
        <v>1305</v>
      </c>
      <c r="OME32" t="s">
        <v>251</v>
      </c>
      <c r="OMF32" t="s">
        <v>1305</v>
      </c>
      <c r="OMG32" t="s">
        <v>251</v>
      </c>
      <c r="OMH32" t="s">
        <v>1305</v>
      </c>
      <c r="OMI32" t="s">
        <v>251</v>
      </c>
      <c r="OMJ32" t="s">
        <v>1305</v>
      </c>
      <c r="OMK32" t="s">
        <v>251</v>
      </c>
      <c r="OML32" t="s">
        <v>1305</v>
      </c>
      <c r="OMM32" t="s">
        <v>251</v>
      </c>
      <c r="OMN32" t="s">
        <v>1305</v>
      </c>
      <c r="OMO32" t="s">
        <v>251</v>
      </c>
      <c r="OMP32" t="s">
        <v>1305</v>
      </c>
      <c r="OMQ32" t="s">
        <v>251</v>
      </c>
      <c r="OMR32" t="s">
        <v>1305</v>
      </c>
      <c r="OMS32" t="s">
        <v>251</v>
      </c>
      <c r="OMT32" t="s">
        <v>1305</v>
      </c>
      <c r="OMU32" t="s">
        <v>251</v>
      </c>
      <c r="OMV32" t="s">
        <v>1305</v>
      </c>
      <c r="OMW32" t="s">
        <v>251</v>
      </c>
      <c r="OMX32" t="s">
        <v>1305</v>
      </c>
      <c r="OMY32" t="s">
        <v>251</v>
      </c>
      <c r="OMZ32" t="s">
        <v>1305</v>
      </c>
      <c r="ONA32" t="s">
        <v>251</v>
      </c>
      <c r="ONB32" t="s">
        <v>1305</v>
      </c>
      <c r="ONC32" t="s">
        <v>251</v>
      </c>
      <c r="OND32" t="s">
        <v>1305</v>
      </c>
      <c r="ONE32" t="s">
        <v>251</v>
      </c>
      <c r="ONF32" t="s">
        <v>1305</v>
      </c>
      <c r="ONG32" t="s">
        <v>251</v>
      </c>
      <c r="ONH32" t="s">
        <v>1305</v>
      </c>
      <c r="ONI32" t="s">
        <v>251</v>
      </c>
      <c r="ONJ32" t="s">
        <v>1305</v>
      </c>
      <c r="ONK32" t="s">
        <v>251</v>
      </c>
      <c r="ONL32" t="s">
        <v>1305</v>
      </c>
      <c r="ONM32" t="s">
        <v>251</v>
      </c>
      <c r="ONN32" t="s">
        <v>1305</v>
      </c>
      <c r="ONO32" t="s">
        <v>251</v>
      </c>
      <c r="ONP32" t="s">
        <v>1305</v>
      </c>
      <c r="ONQ32" t="s">
        <v>251</v>
      </c>
      <c r="ONR32" t="s">
        <v>1305</v>
      </c>
      <c r="ONS32" t="s">
        <v>251</v>
      </c>
      <c r="ONT32" t="s">
        <v>1305</v>
      </c>
      <c r="ONU32" t="s">
        <v>251</v>
      </c>
      <c r="ONV32" t="s">
        <v>1305</v>
      </c>
      <c r="ONW32" t="s">
        <v>251</v>
      </c>
      <c r="ONX32" t="s">
        <v>1305</v>
      </c>
      <c r="ONY32" t="s">
        <v>251</v>
      </c>
      <c r="ONZ32" t="s">
        <v>1305</v>
      </c>
      <c r="OOA32" t="s">
        <v>251</v>
      </c>
      <c r="OOB32" t="s">
        <v>1305</v>
      </c>
      <c r="OOC32" t="s">
        <v>251</v>
      </c>
      <c r="OOD32" t="s">
        <v>1305</v>
      </c>
      <c r="OOE32" t="s">
        <v>251</v>
      </c>
      <c r="OOF32" t="s">
        <v>1305</v>
      </c>
      <c r="OOG32" t="s">
        <v>251</v>
      </c>
      <c r="OOH32" t="s">
        <v>1305</v>
      </c>
      <c r="OOI32" t="s">
        <v>251</v>
      </c>
      <c r="OOJ32" t="s">
        <v>1305</v>
      </c>
      <c r="OOK32" t="s">
        <v>251</v>
      </c>
      <c r="OOL32" t="s">
        <v>1305</v>
      </c>
      <c r="OOM32" t="s">
        <v>251</v>
      </c>
      <c r="OON32" t="s">
        <v>1305</v>
      </c>
      <c r="OOO32" t="s">
        <v>251</v>
      </c>
      <c r="OOP32" t="s">
        <v>1305</v>
      </c>
      <c r="OOQ32" t="s">
        <v>251</v>
      </c>
      <c r="OOR32" t="s">
        <v>1305</v>
      </c>
      <c r="OOS32" t="s">
        <v>251</v>
      </c>
      <c r="OOT32" t="s">
        <v>1305</v>
      </c>
      <c r="OOU32" t="s">
        <v>251</v>
      </c>
      <c r="OOV32" t="s">
        <v>1305</v>
      </c>
      <c r="OOW32" t="s">
        <v>251</v>
      </c>
      <c r="OOX32" t="s">
        <v>1305</v>
      </c>
      <c r="OOY32" t="s">
        <v>251</v>
      </c>
      <c r="OOZ32" t="s">
        <v>1305</v>
      </c>
      <c r="OPA32" t="s">
        <v>251</v>
      </c>
      <c r="OPB32" t="s">
        <v>1305</v>
      </c>
      <c r="OPC32" t="s">
        <v>251</v>
      </c>
      <c r="OPD32" t="s">
        <v>1305</v>
      </c>
      <c r="OPE32" t="s">
        <v>251</v>
      </c>
      <c r="OPF32" t="s">
        <v>1305</v>
      </c>
      <c r="OPG32" t="s">
        <v>251</v>
      </c>
      <c r="OPH32" t="s">
        <v>1305</v>
      </c>
      <c r="OPI32" t="s">
        <v>251</v>
      </c>
      <c r="OPJ32" t="s">
        <v>1305</v>
      </c>
      <c r="OPK32" t="s">
        <v>251</v>
      </c>
      <c r="OPL32" t="s">
        <v>1305</v>
      </c>
      <c r="OPM32" t="s">
        <v>251</v>
      </c>
      <c r="OPN32" t="s">
        <v>1305</v>
      </c>
      <c r="OPO32" t="s">
        <v>251</v>
      </c>
      <c r="OPP32" t="s">
        <v>1305</v>
      </c>
      <c r="OPQ32" t="s">
        <v>251</v>
      </c>
      <c r="OPR32" t="s">
        <v>1305</v>
      </c>
      <c r="OPS32" t="s">
        <v>251</v>
      </c>
      <c r="OPT32" t="s">
        <v>1305</v>
      </c>
      <c r="OPU32" t="s">
        <v>251</v>
      </c>
      <c r="OPV32" t="s">
        <v>1305</v>
      </c>
      <c r="OPW32" t="s">
        <v>251</v>
      </c>
      <c r="OPX32" t="s">
        <v>1305</v>
      </c>
      <c r="OPY32" t="s">
        <v>251</v>
      </c>
      <c r="OPZ32" t="s">
        <v>1305</v>
      </c>
      <c r="OQA32" t="s">
        <v>251</v>
      </c>
      <c r="OQB32" t="s">
        <v>1305</v>
      </c>
      <c r="OQC32" t="s">
        <v>251</v>
      </c>
      <c r="OQD32" t="s">
        <v>1305</v>
      </c>
      <c r="OQE32" t="s">
        <v>251</v>
      </c>
      <c r="OQF32" t="s">
        <v>1305</v>
      </c>
      <c r="OQG32" t="s">
        <v>251</v>
      </c>
      <c r="OQH32" t="s">
        <v>1305</v>
      </c>
      <c r="OQI32" t="s">
        <v>251</v>
      </c>
      <c r="OQJ32" t="s">
        <v>1305</v>
      </c>
      <c r="OQK32" t="s">
        <v>251</v>
      </c>
      <c r="OQL32" t="s">
        <v>1305</v>
      </c>
      <c r="OQM32" t="s">
        <v>251</v>
      </c>
      <c r="OQN32" t="s">
        <v>1305</v>
      </c>
      <c r="OQO32" t="s">
        <v>251</v>
      </c>
      <c r="OQP32" t="s">
        <v>1305</v>
      </c>
      <c r="OQQ32" t="s">
        <v>251</v>
      </c>
      <c r="OQR32" t="s">
        <v>1305</v>
      </c>
      <c r="OQS32" t="s">
        <v>251</v>
      </c>
      <c r="OQT32" t="s">
        <v>1305</v>
      </c>
      <c r="OQU32" t="s">
        <v>251</v>
      </c>
      <c r="OQV32" t="s">
        <v>1305</v>
      </c>
      <c r="OQW32" t="s">
        <v>251</v>
      </c>
      <c r="OQX32" t="s">
        <v>1305</v>
      </c>
      <c r="OQY32" t="s">
        <v>251</v>
      </c>
      <c r="OQZ32" t="s">
        <v>1305</v>
      </c>
      <c r="ORA32" t="s">
        <v>251</v>
      </c>
      <c r="ORB32" t="s">
        <v>1305</v>
      </c>
      <c r="ORC32" t="s">
        <v>251</v>
      </c>
      <c r="ORD32" t="s">
        <v>1305</v>
      </c>
      <c r="ORE32" t="s">
        <v>251</v>
      </c>
      <c r="ORF32" t="s">
        <v>1305</v>
      </c>
      <c r="ORG32" t="s">
        <v>251</v>
      </c>
      <c r="ORH32" t="s">
        <v>1305</v>
      </c>
      <c r="ORI32" t="s">
        <v>251</v>
      </c>
      <c r="ORJ32" t="s">
        <v>1305</v>
      </c>
      <c r="ORK32" t="s">
        <v>251</v>
      </c>
      <c r="ORL32" t="s">
        <v>1305</v>
      </c>
      <c r="ORM32" t="s">
        <v>251</v>
      </c>
      <c r="ORN32" t="s">
        <v>1305</v>
      </c>
      <c r="ORO32" t="s">
        <v>251</v>
      </c>
      <c r="ORP32" t="s">
        <v>1305</v>
      </c>
      <c r="ORQ32" t="s">
        <v>251</v>
      </c>
      <c r="ORR32" t="s">
        <v>1305</v>
      </c>
      <c r="ORS32" t="s">
        <v>251</v>
      </c>
      <c r="ORT32" t="s">
        <v>1305</v>
      </c>
      <c r="ORU32" t="s">
        <v>251</v>
      </c>
      <c r="ORV32" t="s">
        <v>1305</v>
      </c>
      <c r="ORW32" t="s">
        <v>251</v>
      </c>
      <c r="ORX32" t="s">
        <v>1305</v>
      </c>
      <c r="ORY32" t="s">
        <v>251</v>
      </c>
      <c r="ORZ32" t="s">
        <v>1305</v>
      </c>
      <c r="OSA32" t="s">
        <v>251</v>
      </c>
      <c r="OSB32" t="s">
        <v>1305</v>
      </c>
      <c r="OSC32" t="s">
        <v>251</v>
      </c>
      <c r="OSD32" t="s">
        <v>1305</v>
      </c>
      <c r="OSE32" t="s">
        <v>251</v>
      </c>
      <c r="OSF32" t="s">
        <v>1305</v>
      </c>
      <c r="OSG32" t="s">
        <v>251</v>
      </c>
      <c r="OSH32" t="s">
        <v>1305</v>
      </c>
      <c r="OSI32" t="s">
        <v>251</v>
      </c>
      <c r="OSJ32" t="s">
        <v>1305</v>
      </c>
      <c r="OSK32" t="s">
        <v>251</v>
      </c>
      <c r="OSL32" t="s">
        <v>1305</v>
      </c>
      <c r="OSM32" t="s">
        <v>251</v>
      </c>
      <c r="OSN32" t="s">
        <v>1305</v>
      </c>
      <c r="OSO32" t="s">
        <v>251</v>
      </c>
      <c r="OSP32" t="s">
        <v>1305</v>
      </c>
      <c r="OSQ32" t="s">
        <v>251</v>
      </c>
      <c r="OSR32" t="s">
        <v>1305</v>
      </c>
      <c r="OSS32" t="s">
        <v>251</v>
      </c>
      <c r="OST32" t="s">
        <v>1305</v>
      </c>
      <c r="OSU32" t="s">
        <v>251</v>
      </c>
      <c r="OSV32" t="s">
        <v>1305</v>
      </c>
      <c r="OSW32" t="s">
        <v>251</v>
      </c>
      <c r="OSX32" t="s">
        <v>1305</v>
      </c>
      <c r="OSY32" t="s">
        <v>251</v>
      </c>
      <c r="OSZ32" t="s">
        <v>1305</v>
      </c>
      <c r="OTA32" t="s">
        <v>251</v>
      </c>
      <c r="OTB32" t="s">
        <v>1305</v>
      </c>
      <c r="OTC32" t="s">
        <v>251</v>
      </c>
      <c r="OTD32" t="s">
        <v>1305</v>
      </c>
      <c r="OTE32" t="s">
        <v>251</v>
      </c>
      <c r="OTF32" t="s">
        <v>1305</v>
      </c>
      <c r="OTG32" t="s">
        <v>251</v>
      </c>
      <c r="OTH32" t="s">
        <v>1305</v>
      </c>
      <c r="OTI32" t="s">
        <v>251</v>
      </c>
      <c r="OTJ32" t="s">
        <v>1305</v>
      </c>
      <c r="OTK32" t="s">
        <v>251</v>
      </c>
      <c r="OTL32" t="s">
        <v>1305</v>
      </c>
      <c r="OTM32" t="s">
        <v>251</v>
      </c>
      <c r="OTN32" t="s">
        <v>1305</v>
      </c>
      <c r="OTO32" t="s">
        <v>251</v>
      </c>
      <c r="OTP32" t="s">
        <v>1305</v>
      </c>
      <c r="OTQ32" t="s">
        <v>251</v>
      </c>
      <c r="OTR32" t="s">
        <v>1305</v>
      </c>
      <c r="OTS32" t="s">
        <v>251</v>
      </c>
      <c r="OTT32" t="s">
        <v>1305</v>
      </c>
      <c r="OTU32" t="s">
        <v>251</v>
      </c>
      <c r="OTV32" t="s">
        <v>1305</v>
      </c>
      <c r="OTW32" t="s">
        <v>251</v>
      </c>
      <c r="OTX32" t="s">
        <v>1305</v>
      </c>
      <c r="OTY32" t="s">
        <v>251</v>
      </c>
      <c r="OTZ32" t="s">
        <v>1305</v>
      </c>
      <c r="OUA32" t="s">
        <v>251</v>
      </c>
      <c r="OUB32" t="s">
        <v>1305</v>
      </c>
      <c r="OUC32" t="s">
        <v>251</v>
      </c>
      <c r="OUD32" t="s">
        <v>1305</v>
      </c>
      <c r="OUE32" t="s">
        <v>251</v>
      </c>
      <c r="OUF32" t="s">
        <v>1305</v>
      </c>
      <c r="OUG32" t="s">
        <v>251</v>
      </c>
      <c r="OUH32" t="s">
        <v>1305</v>
      </c>
      <c r="OUI32" t="s">
        <v>251</v>
      </c>
      <c r="OUJ32" t="s">
        <v>1305</v>
      </c>
      <c r="OUK32" t="s">
        <v>251</v>
      </c>
      <c r="OUL32" t="s">
        <v>1305</v>
      </c>
      <c r="OUM32" t="s">
        <v>251</v>
      </c>
      <c r="OUN32" t="s">
        <v>1305</v>
      </c>
      <c r="OUO32" t="s">
        <v>251</v>
      </c>
      <c r="OUP32" t="s">
        <v>1305</v>
      </c>
      <c r="OUQ32" t="s">
        <v>251</v>
      </c>
      <c r="OUR32" t="s">
        <v>1305</v>
      </c>
      <c r="OUS32" t="s">
        <v>251</v>
      </c>
      <c r="OUT32" t="s">
        <v>1305</v>
      </c>
      <c r="OUU32" t="s">
        <v>251</v>
      </c>
      <c r="OUV32" t="s">
        <v>1305</v>
      </c>
      <c r="OUW32" t="s">
        <v>251</v>
      </c>
      <c r="OUX32" t="s">
        <v>1305</v>
      </c>
      <c r="OUY32" t="s">
        <v>251</v>
      </c>
      <c r="OUZ32" t="s">
        <v>1305</v>
      </c>
      <c r="OVA32" t="s">
        <v>251</v>
      </c>
      <c r="OVB32" t="s">
        <v>1305</v>
      </c>
      <c r="OVC32" t="s">
        <v>251</v>
      </c>
      <c r="OVD32" t="s">
        <v>1305</v>
      </c>
      <c r="OVE32" t="s">
        <v>251</v>
      </c>
      <c r="OVF32" t="s">
        <v>1305</v>
      </c>
      <c r="OVG32" t="s">
        <v>251</v>
      </c>
      <c r="OVH32" t="s">
        <v>1305</v>
      </c>
      <c r="OVI32" t="s">
        <v>251</v>
      </c>
      <c r="OVJ32" t="s">
        <v>1305</v>
      </c>
      <c r="OVK32" t="s">
        <v>251</v>
      </c>
      <c r="OVL32" t="s">
        <v>1305</v>
      </c>
      <c r="OVM32" t="s">
        <v>251</v>
      </c>
      <c r="OVN32" t="s">
        <v>1305</v>
      </c>
      <c r="OVO32" t="s">
        <v>251</v>
      </c>
      <c r="OVP32" t="s">
        <v>1305</v>
      </c>
      <c r="OVQ32" t="s">
        <v>251</v>
      </c>
      <c r="OVR32" t="s">
        <v>1305</v>
      </c>
      <c r="OVS32" t="s">
        <v>251</v>
      </c>
      <c r="OVT32" t="s">
        <v>1305</v>
      </c>
      <c r="OVU32" t="s">
        <v>251</v>
      </c>
      <c r="OVV32" t="s">
        <v>1305</v>
      </c>
      <c r="OVW32" t="s">
        <v>251</v>
      </c>
      <c r="OVX32" t="s">
        <v>1305</v>
      </c>
      <c r="OVY32" t="s">
        <v>251</v>
      </c>
      <c r="OVZ32" t="s">
        <v>1305</v>
      </c>
      <c r="OWA32" t="s">
        <v>251</v>
      </c>
      <c r="OWB32" t="s">
        <v>1305</v>
      </c>
      <c r="OWC32" t="s">
        <v>251</v>
      </c>
      <c r="OWD32" t="s">
        <v>1305</v>
      </c>
      <c r="OWE32" t="s">
        <v>251</v>
      </c>
      <c r="OWF32" t="s">
        <v>1305</v>
      </c>
      <c r="OWG32" t="s">
        <v>251</v>
      </c>
      <c r="OWH32" t="s">
        <v>1305</v>
      </c>
      <c r="OWI32" t="s">
        <v>251</v>
      </c>
      <c r="OWJ32" t="s">
        <v>1305</v>
      </c>
      <c r="OWK32" t="s">
        <v>251</v>
      </c>
      <c r="OWL32" t="s">
        <v>1305</v>
      </c>
      <c r="OWM32" t="s">
        <v>251</v>
      </c>
      <c r="OWN32" t="s">
        <v>1305</v>
      </c>
      <c r="OWO32" t="s">
        <v>251</v>
      </c>
      <c r="OWP32" t="s">
        <v>1305</v>
      </c>
      <c r="OWQ32" t="s">
        <v>251</v>
      </c>
      <c r="OWR32" t="s">
        <v>1305</v>
      </c>
      <c r="OWS32" t="s">
        <v>251</v>
      </c>
      <c r="OWT32" t="s">
        <v>1305</v>
      </c>
      <c r="OWU32" t="s">
        <v>251</v>
      </c>
      <c r="OWV32" t="s">
        <v>1305</v>
      </c>
      <c r="OWW32" t="s">
        <v>251</v>
      </c>
      <c r="OWX32" t="s">
        <v>1305</v>
      </c>
      <c r="OWY32" t="s">
        <v>251</v>
      </c>
      <c r="OWZ32" t="s">
        <v>1305</v>
      </c>
      <c r="OXA32" t="s">
        <v>251</v>
      </c>
      <c r="OXB32" t="s">
        <v>1305</v>
      </c>
      <c r="OXC32" t="s">
        <v>251</v>
      </c>
      <c r="OXD32" t="s">
        <v>1305</v>
      </c>
      <c r="OXE32" t="s">
        <v>251</v>
      </c>
      <c r="OXF32" t="s">
        <v>1305</v>
      </c>
      <c r="OXG32" t="s">
        <v>251</v>
      </c>
      <c r="OXH32" t="s">
        <v>1305</v>
      </c>
      <c r="OXI32" t="s">
        <v>251</v>
      </c>
      <c r="OXJ32" t="s">
        <v>1305</v>
      </c>
      <c r="OXK32" t="s">
        <v>251</v>
      </c>
      <c r="OXL32" t="s">
        <v>1305</v>
      </c>
      <c r="OXM32" t="s">
        <v>251</v>
      </c>
      <c r="OXN32" t="s">
        <v>1305</v>
      </c>
      <c r="OXO32" t="s">
        <v>251</v>
      </c>
      <c r="OXP32" t="s">
        <v>1305</v>
      </c>
      <c r="OXQ32" t="s">
        <v>251</v>
      </c>
      <c r="OXR32" t="s">
        <v>1305</v>
      </c>
      <c r="OXS32" t="s">
        <v>251</v>
      </c>
      <c r="OXT32" t="s">
        <v>1305</v>
      </c>
      <c r="OXU32" t="s">
        <v>251</v>
      </c>
      <c r="OXV32" t="s">
        <v>1305</v>
      </c>
      <c r="OXW32" t="s">
        <v>251</v>
      </c>
      <c r="OXX32" t="s">
        <v>1305</v>
      </c>
      <c r="OXY32" t="s">
        <v>251</v>
      </c>
      <c r="OXZ32" t="s">
        <v>1305</v>
      </c>
      <c r="OYA32" t="s">
        <v>251</v>
      </c>
      <c r="OYB32" t="s">
        <v>1305</v>
      </c>
      <c r="OYC32" t="s">
        <v>251</v>
      </c>
      <c r="OYD32" t="s">
        <v>1305</v>
      </c>
      <c r="OYE32" t="s">
        <v>251</v>
      </c>
      <c r="OYF32" t="s">
        <v>1305</v>
      </c>
      <c r="OYG32" t="s">
        <v>251</v>
      </c>
      <c r="OYH32" t="s">
        <v>1305</v>
      </c>
      <c r="OYI32" t="s">
        <v>251</v>
      </c>
      <c r="OYJ32" t="s">
        <v>1305</v>
      </c>
      <c r="OYK32" t="s">
        <v>251</v>
      </c>
      <c r="OYL32" t="s">
        <v>1305</v>
      </c>
      <c r="OYM32" t="s">
        <v>251</v>
      </c>
      <c r="OYN32" t="s">
        <v>1305</v>
      </c>
      <c r="OYO32" t="s">
        <v>251</v>
      </c>
      <c r="OYP32" t="s">
        <v>1305</v>
      </c>
      <c r="OYQ32" t="s">
        <v>251</v>
      </c>
      <c r="OYR32" t="s">
        <v>1305</v>
      </c>
      <c r="OYS32" t="s">
        <v>251</v>
      </c>
      <c r="OYT32" t="s">
        <v>1305</v>
      </c>
      <c r="OYU32" t="s">
        <v>251</v>
      </c>
      <c r="OYV32" t="s">
        <v>1305</v>
      </c>
      <c r="OYW32" t="s">
        <v>251</v>
      </c>
      <c r="OYX32" t="s">
        <v>1305</v>
      </c>
      <c r="OYY32" t="s">
        <v>251</v>
      </c>
      <c r="OYZ32" t="s">
        <v>1305</v>
      </c>
      <c r="OZA32" t="s">
        <v>251</v>
      </c>
      <c r="OZB32" t="s">
        <v>1305</v>
      </c>
      <c r="OZC32" t="s">
        <v>251</v>
      </c>
      <c r="OZD32" t="s">
        <v>1305</v>
      </c>
      <c r="OZE32" t="s">
        <v>251</v>
      </c>
      <c r="OZF32" t="s">
        <v>1305</v>
      </c>
      <c r="OZG32" t="s">
        <v>251</v>
      </c>
      <c r="OZH32" t="s">
        <v>1305</v>
      </c>
      <c r="OZI32" t="s">
        <v>251</v>
      </c>
      <c r="OZJ32" t="s">
        <v>1305</v>
      </c>
      <c r="OZK32" t="s">
        <v>251</v>
      </c>
      <c r="OZL32" t="s">
        <v>1305</v>
      </c>
      <c r="OZM32" t="s">
        <v>251</v>
      </c>
      <c r="OZN32" t="s">
        <v>1305</v>
      </c>
      <c r="OZO32" t="s">
        <v>251</v>
      </c>
      <c r="OZP32" t="s">
        <v>1305</v>
      </c>
      <c r="OZQ32" t="s">
        <v>251</v>
      </c>
      <c r="OZR32" t="s">
        <v>1305</v>
      </c>
      <c r="OZS32" t="s">
        <v>251</v>
      </c>
      <c r="OZT32" t="s">
        <v>1305</v>
      </c>
      <c r="OZU32" t="s">
        <v>251</v>
      </c>
      <c r="OZV32" t="s">
        <v>1305</v>
      </c>
      <c r="OZW32" t="s">
        <v>251</v>
      </c>
      <c r="OZX32" t="s">
        <v>1305</v>
      </c>
      <c r="OZY32" t="s">
        <v>251</v>
      </c>
      <c r="OZZ32" t="s">
        <v>1305</v>
      </c>
      <c r="PAA32" t="s">
        <v>251</v>
      </c>
      <c r="PAB32" t="s">
        <v>1305</v>
      </c>
      <c r="PAC32" t="s">
        <v>251</v>
      </c>
      <c r="PAD32" t="s">
        <v>1305</v>
      </c>
      <c r="PAE32" t="s">
        <v>251</v>
      </c>
      <c r="PAF32" t="s">
        <v>1305</v>
      </c>
      <c r="PAG32" t="s">
        <v>251</v>
      </c>
      <c r="PAH32" t="s">
        <v>1305</v>
      </c>
      <c r="PAI32" t="s">
        <v>251</v>
      </c>
      <c r="PAJ32" t="s">
        <v>1305</v>
      </c>
      <c r="PAK32" t="s">
        <v>251</v>
      </c>
      <c r="PAL32" t="s">
        <v>1305</v>
      </c>
      <c r="PAM32" t="s">
        <v>251</v>
      </c>
      <c r="PAN32" t="s">
        <v>1305</v>
      </c>
      <c r="PAO32" t="s">
        <v>251</v>
      </c>
      <c r="PAP32" t="s">
        <v>1305</v>
      </c>
      <c r="PAQ32" t="s">
        <v>251</v>
      </c>
      <c r="PAR32" t="s">
        <v>1305</v>
      </c>
      <c r="PAS32" t="s">
        <v>251</v>
      </c>
      <c r="PAT32" t="s">
        <v>1305</v>
      </c>
      <c r="PAU32" t="s">
        <v>251</v>
      </c>
      <c r="PAV32" t="s">
        <v>1305</v>
      </c>
      <c r="PAW32" t="s">
        <v>251</v>
      </c>
      <c r="PAX32" t="s">
        <v>1305</v>
      </c>
      <c r="PAY32" t="s">
        <v>251</v>
      </c>
      <c r="PAZ32" t="s">
        <v>1305</v>
      </c>
      <c r="PBA32" t="s">
        <v>251</v>
      </c>
      <c r="PBB32" t="s">
        <v>1305</v>
      </c>
      <c r="PBC32" t="s">
        <v>251</v>
      </c>
      <c r="PBD32" t="s">
        <v>1305</v>
      </c>
      <c r="PBE32" t="s">
        <v>251</v>
      </c>
      <c r="PBF32" t="s">
        <v>1305</v>
      </c>
      <c r="PBG32" t="s">
        <v>251</v>
      </c>
      <c r="PBH32" t="s">
        <v>1305</v>
      </c>
      <c r="PBI32" t="s">
        <v>251</v>
      </c>
      <c r="PBJ32" t="s">
        <v>1305</v>
      </c>
      <c r="PBK32" t="s">
        <v>251</v>
      </c>
      <c r="PBL32" t="s">
        <v>1305</v>
      </c>
      <c r="PBM32" t="s">
        <v>251</v>
      </c>
      <c r="PBN32" t="s">
        <v>1305</v>
      </c>
      <c r="PBO32" t="s">
        <v>251</v>
      </c>
      <c r="PBP32" t="s">
        <v>1305</v>
      </c>
      <c r="PBQ32" t="s">
        <v>251</v>
      </c>
      <c r="PBR32" t="s">
        <v>1305</v>
      </c>
      <c r="PBS32" t="s">
        <v>251</v>
      </c>
      <c r="PBT32" t="s">
        <v>1305</v>
      </c>
      <c r="PBU32" t="s">
        <v>251</v>
      </c>
      <c r="PBV32" t="s">
        <v>1305</v>
      </c>
      <c r="PBW32" t="s">
        <v>251</v>
      </c>
      <c r="PBX32" t="s">
        <v>1305</v>
      </c>
      <c r="PBY32" t="s">
        <v>251</v>
      </c>
      <c r="PBZ32" t="s">
        <v>1305</v>
      </c>
      <c r="PCA32" t="s">
        <v>251</v>
      </c>
      <c r="PCB32" t="s">
        <v>1305</v>
      </c>
      <c r="PCC32" t="s">
        <v>251</v>
      </c>
      <c r="PCD32" t="s">
        <v>1305</v>
      </c>
      <c r="PCE32" t="s">
        <v>251</v>
      </c>
      <c r="PCF32" t="s">
        <v>1305</v>
      </c>
      <c r="PCG32" t="s">
        <v>251</v>
      </c>
      <c r="PCH32" t="s">
        <v>1305</v>
      </c>
      <c r="PCI32" t="s">
        <v>251</v>
      </c>
      <c r="PCJ32" t="s">
        <v>1305</v>
      </c>
      <c r="PCK32" t="s">
        <v>251</v>
      </c>
      <c r="PCL32" t="s">
        <v>1305</v>
      </c>
      <c r="PCM32" t="s">
        <v>251</v>
      </c>
      <c r="PCN32" t="s">
        <v>1305</v>
      </c>
      <c r="PCO32" t="s">
        <v>251</v>
      </c>
      <c r="PCP32" t="s">
        <v>1305</v>
      </c>
      <c r="PCQ32" t="s">
        <v>251</v>
      </c>
      <c r="PCR32" t="s">
        <v>1305</v>
      </c>
      <c r="PCS32" t="s">
        <v>251</v>
      </c>
      <c r="PCT32" t="s">
        <v>1305</v>
      </c>
      <c r="PCU32" t="s">
        <v>251</v>
      </c>
      <c r="PCV32" t="s">
        <v>1305</v>
      </c>
      <c r="PCW32" t="s">
        <v>251</v>
      </c>
      <c r="PCX32" t="s">
        <v>1305</v>
      </c>
      <c r="PCY32" t="s">
        <v>251</v>
      </c>
      <c r="PCZ32" t="s">
        <v>1305</v>
      </c>
      <c r="PDA32" t="s">
        <v>251</v>
      </c>
      <c r="PDB32" t="s">
        <v>1305</v>
      </c>
      <c r="PDC32" t="s">
        <v>251</v>
      </c>
      <c r="PDD32" t="s">
        <v>1305</v>
      </c>
      <c r="PDE32" t="s">
        <v>251</v>
      </c>
      <c r="PDF32" t="s">
        <v>1305</v>
      </c>
      <c r="PDG32" t="s">
        <v>251</v>
      </c>
      <c r="PDH32" t="s">
        <v>1305</v>
      </c>
      <c r="PDI32" t="s">
        <v>251</v>
      </c>
      <c r="PDJ32" t="s">
        <v>1305</v>
      </c>
      <c r="PDK32" t="s">
        <v>251</v>
      </c>
      <c r="PDL32" t="s">
        <v>1305</v>
      </c>
      <c r="PDM32" t="s">
        <v>251</v>
      </c>
      <c r="PDN32" t="s">
        <v>1305</v>
      </c>
      <c r="PDO32" t="s">
        <v>251</v>
      </c>
      <c r="PDP32" t="s">
        <v>1305</v>
      </c>
      <c r="PDQ32" t="s">
        <v>251</v>
      </c>
      <c r="PDR32" t="s">
        <v>1305</v>
      </c>
      <c r="PDS32" t="s">
        <v>251</v>
      </c>
      <c r="PDT32" t="s">
        <v>1305</v>
      </c>
      <c r="PDU32" t="s">
        <v>251</v>
      </c>
      <c r="PDV32" t="s">
        <v>1305</v>
      </c>
      <c r="PDW32" t="s">
        <v>251</v>
      </c>
      <c r="PDX32" t="s">
        <v>1305</v>
      </c>
      <c r="PDY32" t="s">
        <v>251</v>
      </c>
      <c r="PDZ32" t="s">
        <v>1305</v>
      </c>
      <c r="PEA32" t="s">
        <v>251</v>
      </c>
      <c r="PEB32" t="s">
        <v>1305</v>
      </c>
      <c r="PEC32" t="s">
        <v>251</v>
      </c>
      <c r="PED32" t="s">
        <v>1305</v>
      </c>
      <c r="PEE32" t="s">
        <v>251</v>
      </c>
      <c r="PEF32" t="s">
        <v>1305</v>
      </c>
      <c r="PEG32" t="s">
        <v>251</v>
      </c>
      <c r="PEH32" t="s">
        <v>1305</v>
      </c>
      <c r="PEI32" t="s">
        <v>251</v>
      </c>
      <c r="PEJ32" t="s">
        <v>1305</v>
      </c>
      <c r="PEK32" t="s">
        <v>251</v>
      </c>
      <c r="PEL32" t="s">
        <v>1305</v>
      </c>
      <c r="PEM32" t="s">
        <v>251</v>
      </c>
      <c r="PEN32" t="s">
        <v>1305</v>
      </c>
      <c r="PEO32" t="s">
        <v>251</v>
      </c>
      <c r="PEP32" t="s">
        <v>1305</v>
      </c>
      <c r="PEQ32" t="s">
        <v>251</v>
      </c>
      <c r="PER32" t="s">
        <v>1305</v>
      </c>
      <c r="PES32" t="s">
        <v>251</v>
      </c>
      <c r="PET32" t="s">
        <v>1305</v>
      </c>
      <c r="PEU32" t="s">
        <v>251</v>
      </c>
      <c r="PEV32" t="s">
        <v>1305</v>
      </c>
      <c r="PEW32" t="s">
        <v>251</v>
      </c>
      <c r="PEX32" t="s">
        <v>1305</v>
      </c>
      <c r="PEY32" t="s">
        <v>251</v>
      </c>
      <c r="PEZ32" t="s">
        <v>1305</v>
      </c>
      <c r="PFA32" t="s">
        <v>251</v>
      </c>
      <c r="PFB32" t="s">
        <v>1305</v>
      </c>
      <c r="PFC32" t="s">
        <v>251</v>
      </c>
      <c r="PFD32" t="s">
        <v>1305</v>
      </c>
      <c r="PFE32" t="s">
        <v>251</v>
      </c>
      <c r="PFF32" t="s">
        <v>1305</v>
      </c>
      <c r="PFG32" t="s">
        <v>251</v>
      </c>
      <c r="PFH32" t="s">
        <v>1305</v>
      </c>
      <c r="PFI32" t="s">
        <v>251</v>
      </c>
      <c r="PFJ32" t="s">
        <v>1305</v>
      </c>
      <c r="PFK32" t="s">
        <v>251</v>
      </c>
      <c r="PFL32" t="s">
        <v>1305</v>
      </c>
      <c r="PFM32" t="s">
        <v>251</v>
      </c>
      <c r="PFN32" t="s">
        <v>1305</v>
      </c>
      <c r="PFO32" t="s">
        <v>251</v>
      </c>
      <c r="PFP32" t="s">
        <v>1305</v>
      </c>
      <c r="PFQ32" t="s">
        <v>251</v>
      </c>
      <c r="PFR32" t="s">
        <v>1305</v>
      </c>
      <c r="PFS32" t="s">
        <v>251</v>
      </c>
      <c r="PFT32" t="s">
        <v>1305</v>
      </c>
      <c r="PFU32" t="s">
        <v>251</v>
      </c>
      <c r="PFV32" t="s">
        <v>1305</v>
      </c>
      <c r="PFW32" t="s">
        <v>251</v>
      </c>
      <c r="PFX32" t="s">
        <v>1305</v>
      </c>
      <c r="PFY32" t="s">
        <v>251</v>
      </c>
      <c r="PFZ32" t="s">
        <v>1305</v>
      </c>
      <c r="PGA32" t="s">
        <v>251</v>
      </c>
      <c r="PGB32" t="s">
        <v>1305</v>
      </c>
      <c r="PGC32" t="s">
        <v>251</v>
      </c>
      <c r="PGD32" t="s">
        <v>1305</v>
      </c>
      <c r="PGE32" t="s">
        <v>251</v>
      </c>
      <c r="PGF32" t="s">
        <v>1305</v>
      </c>
      <c r="PGG32" t="s">
        <v>251</v>
      </c>
      <c r="PGH32" t="s">
        <v>1305</v>
      </c>
      <c r="PGI32" t="s">
        <v>251</v>
      </c>
      <c r="PGJ32" t="s">
        <v>1305</v>
      </c>
      <c r="PGK32" t="s">
        <v>251</v>
      </c>
      <c r="PGL32" t="s">
        <v>1305</v>
      </c>
      <c r="PGM32" t="s">
        <v>251</v>
      </c>
      <c r="PGN32" t="s">
        <v>1305</v>
      </c>
      <c r="PGO32" t="s">
        <v>251</v>
      </c>
      <c r="PGP32" t="s">
        <v>1305</v>
      </c>
      <c r="PGQ32" t="s">
        <v>251</v>
      </c>
      <c r="PGR32" t="s">
        <v>1305</v>
      </c>
      <c r="PGS32" t="s">
        <v>251</v>
      </c>
      <c r="PGT32" t="s">
        <v>1305</v>
      </c>
      <c r="PGU32" t="s">
        <v>251</v>
      </c>
      <c r="PGV32" t="s">
        <v>1305</v>
      </c>
      <c r="PGW32" t="s">
        <v>251</v>
      </c>
      <c r="PGX32" t="s">
        <v>1305</v>
      </c>
      <c r="PGY32" t="s">
        <v>251</v>
      </c>
      <c r="PGZ32" t="s">
        <v>1305</v>
      </c>
      <c r="PHA32" t="s">
        <v>251</v>
      </c>
      <c r="PHB32" t="s">
        <v>1305</v>
      </c>
      <c r="PHC32" t="s">
        <v>251</v>
      </c>
      <c r="PHD32" t="s">
        <v>1305</v>
      </c>
      <c r="PHE32" t="s">
        <v>251</v>
      </c>
      <c r="PHF32" t="s">
        <v>1305</v>
      </c>
      <c r="PHG32" t="s">
        <v>251</v>
      </c>
      <c r="PHH32" t="s">
        <v>1305</v>
      </c>
      <c r="PHI32" t="s">
        <v>251</v>
      </c>
      <c r="PHJ32" t="s">
        <v>1305</v>
      </c>
      <c r="PHK32" t="s">
        <v>251</v>
      </c>
      <c r="PHL32" t="s">
        <v>1305</v>
      </c>
      <c r="PHM32" t="s">
        <v>251</v>
      </c>
      <c r="PHN32" t="s">
        <v>1305</v>
      </c>
      <c r="PHO32" t="s">
        <v>251</v>
      </c>
      <c r="PHP32" t="s">
        <v>1305</v>
      </c>
      <c r="PHQ32" t="s">
        <v>251</v>
      </c>
      <c r="PHR32" t="s">
        <v>1305</v>
      </c>
      <c r="PHS32" t="s">
        <v>251</v>
      </c>
      <c r="PHT32" t="s">
        <v>1305</v>
      </c>
      <c r="PHU32" t="s">
        <v>251</v>
      </c>
      <c r="PHV32" t="s">
        <v>1305</v>
      </c>
      <c r="PHW32" t="s">
        <v>251</v>
      </c>
      <c r="PHX32" t="s">
        <v>1305</v>
      </c>
      <c r="PHY32" t="s">
        <v>251</v>
      </c>
      <c r="PHZ32" t="s">
        <v>1305</v>
      </c>
      <c r="PIA32" t="s">
        <v>251</v>
      </c>
      <c r="PIB32" t="s">
        <v>1305</v>
      </c>
      <c r="PIC32" t="s">
        <v>251</v>
      </c>
      <c r="PID32" t="s">
        <v>1305</v>
      </c>
      <c r="PIE32" t="s">
        <v>251</v>
      </c>
      <c r="PIF32" t="s">
        <v>1305</v>
      </c>
      <c r="PIG32" t="s">
        <v>251</v>
      </c>
      <c r="PIH32" t="s">
        <v>1305</v>
      </c>
      <c r="PII32" t="s">
        <v>251</v>
      </c>
      <c r="PIJ32" t="s">
        <v>1305</v>
      </c>
      <c r="PIK32" t="s">
        <v>251</v>
      </c>
      <c r="PIL32" t="s">
        <v>1305</v>
      </c>
      <c r="PIM32" t="s">
        <v>251</v>
      </c>
      <c r="PIN32" t="s">
        <v>1305</v>
      </c>
      <c r="PIO32" t="s">
        <v>251</v>
      </c>
      <c r="PIP32" t="s">
        <v>1305</v>
      </c>
      <c r="PIQ32" t="s">
        <v>251</v>
      </c>
      <c r="PIR32" t="s">
        <v>1305</v>
      </c>
      <c r="PIS32" t="s">
        <v>251</v>
      </c>
      <c r="PIT32" t="s">
        <v>1305</v>
      </c>
      <c r="PIU32" t="s">
        <v>251</v>
      </c>
      <c r="PIV32" t="s">
        <v>1305</v>
      </c>
      <c r="PIW32" t="s">
        <v>251</v>
      </c>
      <c r="PIX32" t="s">
        <v>1305</v>
      </c>
      <c r="PIY32" t="s">
        <v>251</v>
      </c>
      <c r="PIZ32" t="s">
        <v>1305</v>
      </c>
      <c r="PJA32" t="s">
        <v>251</v>
      </c>
      <c r="PJB32" t="s">
        <v>1305</v>
      </c>
      <c r="PJC32" t="s">
        <v>251</v>
      </c>
      <c r="PJD32" t="s">
        <v>1305</v>
      </c>
      <c r="PJE32" t="s">
        <v>251</v>
      </c>
      <c r="PJF32" t="s">
        <v>1305</v>
      </c>
      <c r="PJG32" t="s">
        <v>251</v>
      </c>
      <c r="PJH32" t="s">
        <v>1305</v>
      </c>
      <c r="PJI32" t="s">
        <v>251</v>
      </c>
      <c r="PJJ32" t="s">
        <v>1305</v>
      </c>
      <c r="PJK32" t="s">
        <v>251</v>
      </c>
      <c r="PJL32" t="s">
        <v>1305</v>
      </c>
      <c r="PJM32" t="s">
        <v>251</v>
      </c>
      <c r="PJN32" t="s">
        <v>1305</v>
      </c>
      <c r="PJO32" t="s">
        <v>251</v>
      </c>
      <c r="PJP32" t="s">
        <v>1305</v>
      </c>
      <c r="PJQ32" t="s">
        <v>251</v>
      </c>
      <c r="PJR32" t="s">
        <v>1305</v>
      </c>
      <c r="PJS32" t="s">
        <v>251</v>
      </c>
      <c r="PJT32" t="s">
        <v>1305</v>
      </c>
      <c r="PJU32" t="s">
        <v>251</v>
      </c>
      <c r="PJV32" t="s">
        <v>1305</v>
      </c>
      <c r="PJW32" t="s">
        <v>251</v>
      </c>
      <c r="PJX32" t="s">
        <v>1305</v>
      </c>
      <c r="PJY32" t="s">
        <v>251</v>
      </c>
      <c r="PJZ32" t="s">
        <v>1305</v>
      </c>
      <c r="PKA32" t="s">
        <v>251</v>
      </c>
      <c r="PKB32" t="s">
        <v>1305</v>
      </c>
      <c r="PKC32" t="s">
        <v>251</v>
      </c>
      <c r="PKD32" t="s">
        <v>1305</v>
      </c>
      <c r="PKE32" t="s">
        <v>251</v>
      </c>
      <c r="PKF32" t="s">
        <v>1305</v>
      </c>
      <c r="PKG32" t="s">
        <v>251</v>
      </c>
      <c r="PKH32" t="s">
        <v>1305</v>
      </c>
      <c r="PKI32" t="s">
        <v>251</v>
      </c>
      <c r="PKJ32" t="s">
        <v>1305</v>
      </c>
      <c r="PKK32" t="s">
        <v>251</v>
      </c>
      <c r="PKL32" t="s">
        <v>1305</v>
      </c>
      <c r="PKM32" t="s">
        <v>251</v>
      </c>
      <c r="PKN32" t="s">
        <v>1305</v>
      </c>
      <c r="PKO32" t="s">
        <v>251</v>
      </c>
      <c r="PKP32" t="s">
        <v>1305</v>
      </c>
      <c r="PKQ32" t="s">
        <v>251</v>
      </c>
      <c r="PKR32" t="s">
        <v>1305</v>
      </c>
      <c r="PKS32" t="s">
        <v>251</v>
      </c>
      <c r="PKT32" t="s">
        <v>1305</v>
      </c>
      <c r="PKU32" t="s">
        <v>251</v>
      </c>
      <c r="PKV32" t="s">
        <v>1305</v>
      </c>
      <c r="PKW32" t="s">
        <v>251</v>
      </c>
      <c r="PKX32" t="s">
        <v>1305</v>
      </c>
      <c r="PKY32" t="s">
        <v>251</v>
      </c>
      <c r="PKZ32" t="s">
        <v>1305</v>
      </c>
      <c r="PLA32" t="s">
        <v>251</v>
      </c>
      <c r="PLB32" t="s">
        <v>1305</v>
      </c>
      <c r="PLC32" t="s">
        <v>251</v>
      </c>
      <c r="PLD32" t="s">
        <v>1305</v>
      </c>
      <c r="PLE32" t="s">
        <v>251</v>
      </c>
      <c r="PLF32" t="s">
        <v>1305</v>
      </c>
      <c r="PLG32" t="s">
        <v>251</v>
      </c>
      <c r="PLH32" t="s">
        <v>1305</v>
      </c>
      <c r="PLI32" t="s">
        <v>251</v>
      </c>
      <c r="PLJ32" t="s">
        <v>1305</v>
      </c>
      <c r="PLK32" t="s">
        <v>251</v>
      </c>
      <c r="PLL32" t="s">
        <v>1305</v>
      </c>
      <c r="PLM32" t="s">
        <v>251</v>
      </c>
      <c r="PLN32" t="s">
        <v>1305</v>
      </c>
      <c r="PLO32" t="s">
        <v>251</v>
      </c>
      <c r="PLP32" t="s">
        <v>1305</v>
      </c>
      <c r="PLQ32" t="s">
        <v>251</v>
      </c>
      <c r="PLR32" t="s">
        <v>1305</v>
      </c>
      <c r="PLS32" t="s">
        <v>251</v>
      </c>
      <c r="PLT32" t="s">
        <v>1305</v>
      </c>
      <c r="PLU32" t="s">
        <v>251</v>
      </c>
      <c r="PLV32" t="s">
        <v>1305</v>
      </c>
      <c r="PLW32" t="s">
        <v>251</v>
      </c>
      <c r="PLX32" t="s">
        <v>1305</v>
      </c>
      <c r="PLY32" t="s">
        <v>251</v>
      </c>
      <c r="PLZ32" t="s">
        <v>1305</v>
      </c>
      <c r="PMA32" t="s">
        <v>251</v>
      </c>
      <c r="PMB32" t="s">
        <v>1305</v>
      </c>
      <c r="PMC32" t="s">
        <v>251</v>
      </c>
      <c r="PMD32" t="s">
        <v>1305</v>
      </c>
      <c r="PME32" t="s">
        <v>251</v>
      </c>
      <c r="PMF32" t="s">
        <v>1305</v>
      </c>
      <c r="PMG32" t="s">
        <v>251</v>
      </c>
      <c r="PMH32" t="s">
        <v>1305</v>
      </c>
      <c r="PMI32" t="s">
        <v>251</v>
      </c>
      <c r="PMJ32" t="s">
        <v>1305</v>
      </c>
      <c r="PMK32" t="s">
        <v>251</v>
      </c>
      <c r="PML32" t="s">
        <v>1305</v>
      </c>
      <c r="PMM32" t="s">
        <v>251</v>
      </c>
      <c r="PMN32" t="s">
        <v>1305</v>
      </c>
      <c r="PMO32" t="s">
        <v>251</v>
      </c>
      <c r="PMP32" t="s">
        <v>1305</v>
      </c>
      <c r="PMQ32" t="s">
        <v>251</v>
      </c>
      <c r="PMR32" t="s">
        <v>1305</v>
      </c>
      <c r="PMS32" t="s">
        <v>251</v>
      </c>
      <c r="PMT32" t="s">
        <v>1305</v>
      </c>
      <c r="PMU32" t="s">
        <v>251</v>
      </c>
      <c r="PMV32" t="s">
        <v>1305</v>
      </c>
      <c r="PMW32" t="s">
        <v>251</v>
      </c>
      <c r="PMX32" t="s">
        <v>1305</v>
      </c>
      <c r="PMY32" t="s">
        <v>251</v>
      </c>
      <c r="PMZ32" t="s">
        <v>1305</v>
      </c>
      <c r="PNA32" t="s">
        <v>251</v>
      </c>
      <c r="PNB32" t="s">
        <v>1305</v>
      </c>
      <c r="PNC32" t="s">
        <v>251</v>
      </c>
      <c r="PND32" t="s">
        <v>1305</v>
      </c>
      <c r="PNE32" t="s">
        <v>251</v>
      </c>
      <c r="PNF32" t="s">
        <v>1305</v>
      </c>
      <c r="PNG32" t="s">
        <v>251</v>
      </c>
      <c r="PNH32" t="s">
        <v>1305</v>
      </c>
      <c r="PNI32" t="s">
        <v>251</v>
      </c>
      <c r="PNJ32" t="s">
        <v>1305</v>
      </c>
      <c r="PNK32" t="s">
        <v>251</v>
      </c>
      <c r="PNL32" t="s">
        <v>1305</v>
      </c>
      <c r="PNM32" t="s">
        <v>251</v>
      </c>
      <c r="PNN32" t="s">
        <v>1305</v>
      </c>
      <c r="PNO32" t="s">
        <v>251</v>
      </c>
      <c r="PNP32" t="s">
        <v>1305</v>
      </c>
      <c r="PNQ32" t="s">
        <v>251</v>
      </c>
      <c r="PNR32" t="s">
        <v>1305</v>
      </c>
      <c r="PNS32" t="s">
        <v>251</v>
      </c>
      <c r="PNT32" t="s">
        <v>1305</v>
      </c>
      <c r="PNU32" t="s">
        <v>251</v>
      </c>
      <c r="PNV32" t="s">
        <v>1305</v>
      </c>
      <c r="PNW32" t="s">
        <v>251</v>
      </c>
      <c r="PNX32" t="s">
        <v>1305</v>
      </c>
      <c r="PNY32" t="s">
        <v>251</v>
      </c>
      <c r="PNZ32" t="s">
        <v>1305</v>
      </c>
      <c r="POA32" t="s">
        <v>251</v>
      </c>
      <c r="POB32" t="s">
        <v>1305</v>
      </c>
      <c r="POC32" t="s">
        <v>251</v>
      </c>
      <c r="POD32" t="s">
        <v>1305</v>
      </c>
      <c r="POE32" t="s">
        <v>251</v>
      </c>
      <c r="POF32" t="s">
        <v>1305</v>
      </c>
      <c r="POG32" t="s">
        <v>251</v>
      </c>
      <c r="POH32" t="s">
        <v>1305</v>
      </c>
      <c r="POI32" t="s">
        <v>251</v>
      </c>
      <c r="POJ32" t="s">
        <v>1305</v>
      </c>
      <c r="POK32" t="s">
        <v>251</v>
      </c>
      <c r="POL32" t="s">
        <v>1305</v>
      </c>
      <c r="POM32" t="s">
        <v>251</v>
      </c>
      <c r="PON32" t="s">
        <v>1305</v>
      </c>
      <c r="POO32" t="s">
        <v>251</v>
      </c>
      <c r="POP32" t="s">
        <v>1305</v>
      </c>
      <c r="POQ32" t="s">
        <v>251</v>
      </c>
      <c r="POR32" t="s">
        <v>1305</v>
      </c>
      <c r="POS32" t="s">
        <v>251</v>
      </c>
      <c r="POT32" t="s">
        <v>1305</v>
      </c>
      <c r="POU32" t="s">
        <v>251</v>
      </c>
      <c r="POV32" t="s">
        <v>1305</v>
      </c>
      <c r="POW32" t="s">
        <v>251</v>
      </c>
      <c r="POX32" t="s">
        <v>1305</v>
      </c>
      <c r="POY32" t="s">
        <v>251</v>
      </c>
      <c r="POZ32" t="s">
        <v>1305</v>
      </c>
      <c r="PPA32" t="s">
        <v>251</v>
      </c>
      <c r="PPB32" t="s">
        <v>1305</v>
      </c>
      <c r="PPC32" t="s">
        <v>251</v>
      </c>
      <c r="PPD32" t="s">
        <v>1305</v>
      </c>
      <c r="PPE32" t="s">
        <v>251</v>
      </c>
      <c r="PPF32" t="s">
        <v>1305</v>
      </c>
      <c r="PPG32" t="s">
        <v>251</v>
      </c>
      <c r="PPH32" t="s">
        <v>1305</v>
      </c>
      <c r="PPI32" t="s">
        <v>251</v>
      </c>
      <c r="PPJ32" t="s">
        <v>1305</v>
      </c>
      <c r="PPK32" t="s">
        <v>251</v>
      </c>
      <c r="PPL32" t="s">
        <v>1305</v>
      </c>
      <c r="PPM32" t="s">
        <v>251</v>
      </c>
      <c r="PPN32" t="s">
        <v>1305</v>
      </c>
      <c r="PPO32" t="s">
        <v>251</v>
      </c>
      <c r="PPP32" t="s">
        <v>1305</v>
      </c>
      <c r="PPQ32" t="s">
        <v>251</v>
      </c>
      <c r="PPR32" t="s">
        <v>1305</v>
      </c>
      <c r="PPS32" t="s">
        <v>251</v>
      </c>
      <c r="PPT32" t="s">
        <v>1305</v>
      </c>
      <c r="PPU32" t="s">
        <v>251</v>
      </c>
      <c r="PPV32" t="s">
        <v>1305</v>
      </c>
      <c r="PPW32" t="s">
        <v>251</v>
      </c>
      <c r="PPX32" t="s">
        <v>1305</v>
      </c>
      <c r="PPY32" t="s">
        <v>251</v>
      </c>
      <c r="PPZ32" t="s">
        <v>1305</v>
      </c>
      <c r="PQA32" t="s">
        <v>251</v>
      </c>
      <c r="PQB32" t="s">
        <v>1305</v>
      </c>
      <c r="PQC32" t="s">
        <v>251</v>
      </c>
      <c r="PQD32" t="s">
        <v>1305</v>
      </c>
      <c r="PQE32" t="s">
        <v>251</v>
      </c>
      <c r="PQF32" t="s">
        <v>1305</v>
      </c>
      <c r="PQG32" t="s">
        <v>251</v>
      </c>
      <c r="PQH32" t="s">
        <v>1305</v>
      </c>
      <c r="PQI32" t="s">
        <v>251</v>
      </c>
      <c r="PQJ32" t="s">
        <v>1305</v>
      </c>
      <c r="PQK32" t="s">
        <v>251</v>
      </c>
      <c r="PQL32" t="s">
        <v>1305</v>
      </c>
      <c r="PQM32" t="s">
        <v>251</v>
      </c>
      <c r="PQN32" t="s">
        <v>1305</v>
      </c>
      <c r="PQO32" t="s">
        <v>251</v>
      </c>
      <c r="PQP32" t="s">
        <v>1305</v>
      </c>
      <c r="PQQ32" t="s">
        <v>251</v>
      </c>
      <c r="PQR32" t="s">
        <v>1305</v>
      </c>
      <c r="PQS32" t="s">
        <v>251</v>
      </c>
      <c r="PQT32" t="s">
        <v>1305</v>
      </c>
      <c r="PQU32" t="s">
        <v>251</v>
      </c>
      <c r="PQV32" t="s">
        <v>1305</v>
      </c>
      <c r="PQW32" t="s">
        <v>251</v>
      </c>
      <c r="PQX32" t="s">
        <v>1305</v>
      </c>
      <c r="PQY32" t="s">
        <v>251</v>
      </c>
      <c r="PQZ32" t="s">
        <v>1305</v>
      </c>
      <c r="PRA32" t="s">
        <v>251</v>
      </c>
      <c r="PRB32" t="s">
        <v>1305</v>
      </c>
      <c r="PRC32" t="s">
        <v>251</v>
      </c>
      <c r="PRD32" t="s">
        <v>1305</v>
      </c>
      <c r="PRE32" t="s">
        <v>251</v>
      </c>
      <c r="PRF32" t="s">
        <v>1305</v>
      </c>
      <c r="PRG32" t="s">
        <v>251</v>
      </c>
      <c r="PRH32" t="s">
        <v>1305</v>
      </c>
      <c r="PRI32" t="s">
        <v>251</v>
      </c>
      <c r="PRJ32" t="s">
        <v>1305</v>
      </c>
      <c r="PRK32" t="s">
        <v>251</v>
      </c>
      <c r="PRL32" t="s">
        <v>1305</v>
      </c>
      <c r="PRM32" t="s">
        <v>251</v>
      </c>
      <c r="PRN32" t="s">
        <v>1305</v>
      </c>
      <c r="PRO32" t="s">
        <v>251</v>
      </c>
      <c r="PRP32" t="s">
        <v>1305</v>
      </c>
      <c r="PRQ32" t="s">
        <v>251</v>
      </c>
      <c r="PRR32" t="s">
        <v>1305</v>
      </c>
      <c r="PRS32" t="s">
        <v>251</v>
      </c>
      <c r="PRT32" t="s">
        <v>1305</v>
      </c>
      <c r="PRU32" t="s">
        <v>251</v>
      </c>
      <c r="PRV32" t="s">
        <v>1305</v>
      </c>
      <c r="PRW32" t="s">
        <v>251</v>
      </c>
      <c r="PRX32" t="s">
        <v>1305</v>
      </c>
      <c r="PRY32" t="s">
        <v>251</v>
      </c>
      <c r="PRZ32" t="s">
        <v>1305</v>
      </c>
      <c r="PSA32" t="s">
        <v>251</v>
      </c>
      <c r="PSB32" t="s">
        <v>1305</v>
      </c>
      <c r="PSC32" t="s">
        <v>251</v>
      </c>
      <c r="PSD32" t="s">
        <v>1305</v>
      </c>
      <c r="PSE32" t="s">
        <v>251</v>
      </c>
      <c r="PSF32" t="s">
        <v>1305</v>
      </c>
      <c r="PSG32" t="s">
        <v>251</v>
      </c>
      <c r="PSH32" t="s">
        <v>1305</v>
      </c>
      <c r="PSI32" t="s">
        <v>251</v>
      </c>
      <c r="PSJ32" t="s">
        <v>1305</v>
      </c>
      <c r="PSK32" t="s">
        <v>251</v>
      </c>
      <c r="PSL32" t="s">
        <v>1305</v>
      </c>
      <c r="PSM32" t="s">
        <v>251</v>
      </c>
      <c r="PSN32" t="s">
        <v>1305</v>
      </c>
      <c r="PSO32" t="s">
        <v>251</v>
      </c>
      <c r="PSP32" t="s">
        <v>1305</v>
      </c>
      <c r="PSQ32" t="s">
        <v>251</v>
      </c>
      <c r="PSR32" t="s">
        <v>1305</v>
      </c>
      <c r="PSS32" t="s">
        <v>251</v>
      </c>
      <c r="PST32" t="s">
        <v>1305</v>
      </c>
      <c r="PSU32" t="s">
        <v>251</v>
      </c>
      <c r="PSV32" t="s">
        <v>1305</v>
      </c>
      <c r="PSW32" t="s">
        <v>251</v>
      </c>
      <c r="PSX32" t="s">
        <v>1305</v>
      </c>
      <c r="PSY32" t="s">
        <v>251</v>
      </c>
      <c r="PSZ32" t="s">
        <v>1305</v>
      </c>
      <c r="PTA32" t="s">
        <v>251</v>
      </c>
      <c r="PTB32" t="s">
        <v>1305</v>
      </c>
      <c r="PTC32" t="s">
        <v>251</v>
      </c>
      <c r="PTD32" t="s">
        <v>1305</v>
      </c>
      <c r="PTE32" t="s">
        <v>251</v>
      </c>
      <c r="PTF32" t="s">
        <v>1305</v>
      </c>
      <c r="PTG32" t="s">
        <v>251</v>
      </c>
      <c r="PTH32" t="s">
        <v>1305</v>
      </c>
      <c r="PTI32" t="s">
        <v>251</v>
      </c>
      <c r="PTJ32" t="s">
        <v>1305</v>
      </c>
      <c r="PTK32" t="s">
        <v>251</v>
      </c>
      <c r="PTL32" t="s">
        <v>1305</v>
      </c>
      <c r="PTM32" t="s">
        <v>251</v>
      </c>
      <c r="PTN32" t="s">
        <v>1305</v>
      </c>
      <c r="PTO32" t="s">
        <v>251</v>
      </c>
      <c r="PTP32" t="s">
        <v>1305</v>
      </c>
      <c r="PTQ32" t="s">
        <v>251</v>
      </c>
      <c r="PTR32" t="s">
        <v>1305</v>
      </c>
      <c r="PTS32" t="s">
        <v>251</v>
      </c>
      <c r="PTT32" t="s">
        <v>1305</v>
      </c>
      <c r="PTU32" t="s">
        <v>251</v>
      </c>
      <c r="PTV32" t="s">
        <v>1305</v>
      </c>
      <c r="PTW32" t="s">
        <v>251</v>
      </c>
      <c r="PTX32" t="s">
        <v>1305</v>
      </c>
      <c r="PTY32" t="s">
        <v>251</v>
      </c>
      <c r="PTZ32" t="s">
        <v>1305</v>
      </c>
      <c r="PUA32" t="s">
        <v>251</v>
      </c>
      <c r="PUB32" t="s">
        <v>1305</v>
      </c>
      <c r="PUC32" t="s">
        <v>251</v>
      </c>
      <c r="PUD32" t="s">
        <v>1305</v>
      </c>
      <c r="PUE32" t="s">
        <v>251</v>
      </c>
      <c r="PUF32" t="s">
        <v>1305</v>
      </c>
      <c r="PUG32" t="s">
        <v>251</v>
      </c>
      <c r="PUH32" t="s">
        <v>1305</v>
      </c>
      <c r="PUI32" t="s">
        <v>251</v>
      </c>
      <c r="PUJ32" t="s">
        <v>1305</v>
      </c>
      <c r="PUK32" t="s">
        <v>251</v>
      </c>
      <c r="PUL32" t="s">
        <v>1305</v>
      </c>
      <c r="PUM32" t="s">
        <v>251</v>
      </c>
      <c r="PUN32" t="s">
        <v>1305</v>
      </c>
      <c r="PUO32" t="s">
        <v>251</v>
      </c>
      <c r="PUP32" t="s">
        <v>1305</v>
      </c>
      <c r="PUQ32" t="s">
        <v>251</v>
      </c>
      <c r="PUR32" t="s">
        <v>1305</v>
      </c>
      <c r="PUS32" t="s">
        <v>251</v>
      </c>
      <c r="PUT32" t="s">
        <v>1305</v>
      </c>
      <c r="PUU32" t="s">
        <v>251</v>
      </c>
      <c r="PUV32" t="s">
        <v>1305</v>
      </c>
      <c r="PUW32" t="s">
        <v>251</v>
      </c>
      <c r="PUX32" t="s">
        <v>1305</v>
      </c>
      <c r="PUY32" t="s">
        <v>251</v>
      </c>
      <c r="PUZ32" t="s">
        <v>1305</v>
      </c>
      <c r="PVA32" t="s">
        <v>251</v>
      </c>
      <c r="PVB32" t="s">
        <v>1305</v>
      </c>
      <c r="PVC32" t="s">
        <v>251</v>
      </c>
      <c r="PVD32" t="s">
        <v>1305</v>
      </c>
      <c r="PVE32" t="s">
        <v>251</v>
      </c>
      <c r="PVF32" t="s">
        <v>1305</v>
      </c>
      <c r="PVG32" t="s">
        <v>251</v>
      </c>
      <c r="PVH32" t="s">
        <v>1305</v>
      </c>
      <c r="PVI32" t="s">
        <v>251</v>
      </c>
      <c r="PVJ32" t="s">
        <v>1305</v>
      </c>
      <c r="PVK32" t="s">
        <v>251</v>
      </c>
      <c r="PVL32" t="s">
        <v>1305</v>
      </c>
      <c r="PVM32" t="s">
        <v>251</v>
      </c>
      <c r="PVN32" t="s">
        <v>1305</v>
      </c>
      <c r="PVO32" t="s">
        <v>251</v>
      </c>
      <c r="PVP32" t="s">
        <v>1305</v>
      </c>
      <c r="PVQ32" t="s">
        <v>251</v>
      </c>
      <c r="PVR32" t="s">
        <v>1305</v>
      </c>
      <c r="PVS32" t="s">
        <v>251</v>
      </c>
      <c r="PVT32" t="s">
        <v>1305</v>
      </c>
      <c r="PVU32" t="s">
        <v>251</v>
      </c>
      <c r="PVV32" t="s">
        <v>1305</v>
      </c>
      <c r="PVW32" t="s">
        <v>251</v>
      </c>
      <c r="PVX32" t="s">
        <v>1305</v>
      </c>
      <c r="PVY32" t="s">
        <v>251</v>
      </c>
      <c r="PVZ32" t="s">
        <v>1305</v>
      </c>
      <c r="PWA32" t="s">
        <v>251</v>
      </c>
      <c r="PWB32" t="s">
        <v>1305</v>
      </c>
      <c r="PWC32" t="s">
        <v>251</v>
      </c>
      <c r="PWD32" t="s">
        <v>1305</v>
      </c>
      <c r="PWE32" t="s">
        <v>251</v>
      </c>
      <c r="PWF32" t="s">
        <v>1305</v>
      </c>
      <c r="PWG32" t="s">
        <v>251</v>
      </c>
      <c r="PWH32" t="s">
        <v>1305</v>
      </c>
      <c r="PWI32" t="s">
        <v>251</v>
      </c>
      <c r="PWJ32" t="s">
        <v>1305</v>
      </c>
      <c r="PWK32" t="s">
        <v>251</v>
      </c>
      <c r="PWL32" t="s">
        <v>1305</v>
      </c>
      <c r="PWM32" t="s">
        <v>251</v>
      </c>
      <c r="PWN32" t="s">
        <v>1305</v>
      </c>
      <c r="PWO32" t="s">
        <v>251</v>
      </c>
      <c r="PWP32" t="s">
        <v>1305</v>
      </c>
      <c r="PWQ32" t="s">
        <v>251</v>
      </c>
      <c r="PWR32" t="s">
        <v>1305</v>
      </c>
      <c r="PWS32" t="s">
        <v>251</v>
      </c>
      <c r="PWT32" t="s">
        <v>1305</v>
      </c>
      <c r="PWU32" t="s">
        <v>251</v>
      </c>
      <c r="PWV32" t="s">
        <v>1305</v>
      </c>
      <c r="PWW32" t="s">
        <v>251</v>
      </c>
      <c r="PWX32" t="s">
        <v>1305</v>
      </c>
      <c r="PWY32" t="s">
        <v>251</v>
      </c>
      <c r="PWZ32" t="s">
        <v>1305</v>
      </c>
      <c r="PXA32" t="s">
        <v>251</v>
      </c>
      <c r="PXB32" t="s">
        <v>1305</v>
      </c>
      <c r="PXC32" t="s">
        <v>251</v>
      </c>
      <c r="PXD32" t="s">
        <v>1305</v>
      </c>
      <c r="PXE32" t="s">
        <v>251</v>
      </c>
      <c r="PXF32" t="s">
        <v>1305</v>
      </c>
      <c r="PXG32" t="s">
        <v>251</v>
      </c>
      <c r="PXH32" t="s">
        <v>1305</v>
      </c>
      <c r="PXI32" t="s">
        <v>251</v>
      </c>
      <c r="PXJ32" t="s">
        <v>1305</v>
      </c>
      <c r="PXK32" t="s">
        <v>251</v>
      </c>
      <c r="PXL32" t="s">
        <v>1305</v>
      </c>
      <c r="PXM32" t="s">
        <v>251</v>
      </c>
      <c r="PXN32" t="s">
        <v>1305</v>
      </c>
      <c r="PXO32" t="s">
        <v>251</v>
      </c>
      <c r="PXP32" t="s">
        <v>1305</v>
      </c>
      <c r="PXQ32" t="s">
        <v>251</v>
      </c>
      <c r="PXR32" t="s">
        <v>1305</v>
      </c>
      <c r="PXS32" t="s">
        <v>251</v>
      </c>
      <c r="PXT32" t="s">
        <v>1305</v>
      </c>
      <c r="PXU32" t="s">
        <v>251</v>
      </c>
      <c r="PXV32" t="s">
        <v>1305</v>
      </c>
      <c r="PXW32" t="s">
        <v>251</v>
      </c>
      <c r="PXX32" t="s">
        <v>1305</v>
      </c>
      <c r="PXY32" t="s">
        <v>251</v>
      </c>
      <c r="PXZ32" t="s">
        <v>1305</v>
      </c>
      <c r="PYA32" t="s">
        <v>251</v>
      </c>
      <c r="PYB32" t="s">
        <v>1305</v>
      </c>
      <c r="PYC32" t="s">
        <v>251</v>
      </c>
      <c r="PYD32" t="s">
        <v>1305</v>
      </c>
      <c r="PYE32" t="s">
        <v>251</v>
      </c>
      <c r="PYF32" t="s">
        <v>1305</v>
      </c>
      <c r="PYG32" t="s">
        <v>251</v>
      </c>
      <c r="PYH32" t="s">
        <v>1305</v>
      </c>
      <c r="PYI32" t="s">
        <v>251</v>
      </c>
      <c r="PYJ32" t="s">
        <v>1305</v>
      </c>
      <c r="PYK32" t="s">
        <v>251</v>
      </c>
      <c r="PYL32" t="s">
        <v>1305</v>
      </c>
      <c r="PYM32" t="s">
        <v>251</v>
      </c>
      <c r="PYN32" t="s">
        <v>1305</v>
      </c>
      <c r="PYO32" t="s">
        <v>251</v>
      </c>
      <c r="PYP32" t="s">
        <v>1305</v>
      </c>
      <c r="PYQ32" t="s">
        <v>251</v>
      </c>
      <c r="PYR32" t="s">
        <v>1305</v>
      </c>
      <c r="PYS32" t="s">
        <v>251</v>
      </c>
      <c r="PYT32" t="s">
        <v>1305</v>
      </c>
      <c r="PYU32" t="s">
        <v>251</v>
      </c>
      <c r="PYV32" t="s">
        <v>1305</v>
      </c>
      <c r="PYW32" t="s">
        <v>251</v>
      </c>
      <c r="PYX32" t="s">
        <v>1305</v>
      </c>
      <c r="PYY32" t="s">
        <v>251</v>
      </c>
      <c r="PYZ32" t="s">
        <v>1305</v>
      </c>
      <c r="PZA32" t="s">
        <v>251</v>
      </c>
      <c r="PZB32" t="s">
        <v>1305</v>
      </c>
      <c r="PZC32" t="s">
        <v>251</v>
      </c>
      <c r="PZD32" t="s">
        <v>1305</v>
      </c>
      <c r="PZE32" t="s">
        <v>251</v>
      </c>
      <c r="PZF32" t="s">
        <v>1305</v>
      </c>
      <c r="PZG32" t="s">
        <v>251</v>
      </c>
      <c r="PZH32" t="s">
        <v>1305</v>
      </c>
      <c r="PZI32" t="s">
        <v>251</v>
      </c>
      <c r="PZJ32" t="s">
        <v>1305</v>
      </c>
      <c r="PZK32" t="s">
        <v>251</v>
      </c>
      <c r="PZL32" t="s">
        <v>1305</v>
      </c>
      <c r="PZM32" t="s">
        <v>251</v>
      </c>
      <c r="PZN32" t="s">
        <v>1305</v>
      </c>
      <c r="PZO32" t="s">
        <v>251</v>
      </c>
      <c r="PZP32" t="s">
        <v>1305</v>
      </c>
      <c r="PZQ32" t="s">
        <v>251</v>
      </c>
      <c r="PZR32" t="s">
        <v>1305</v>
      </c>
      <c r="PZS32" t="s">
        <v>251</v>
      </c>
      <c r="PZT32" t="s">
        <v>1305</v>
      </c>
      <c r="PZU32" t="s">
        <v>251</v>
      </c>
      <c r="PZV32" t="s">
        <v>1305</v>
      </c>
      <c r="PZW32" t="s">
        <v>251</v>
      </c>
      <c r="PZX32" t="s">
        <v>1305</v>
      </c>
      <c r="PZY32" t="s">
        <v>251</v>
      </c>
      <c r="PZZ32" t="s">
        <v>1305</v>
      </c>
      <c r="QAA32" t="s">
        <v>251</v>
      </c>
      <c r="QAB32" t="s">
        <v>1305</v>
      </c>
      <c r="QAC32" t="s">
        <v>251</v>
      </c>
      <c r="QAD32" t="s">
        <v>1305</v>
      </c>
      <c r="QAE32" t="s">
        <v>251</v>
      </c>
      <c r="QAF32" t="s">
        <v>1305</v>
      </c>
      <c r="QAG32" t="s">
        <v>251</v>
      </c>
      <c r="QAH32" t="s">
        <v>1305</v>
      </c>
      <c r="QAI32" t="s">
        <v>251</v>
      </c>
      <c r="QAJ32" t="s">
        <v>1305</v>
      </c>
      <c r="QAK32" t="s">
        <v>251</v>
      </c>
      <c r="QAL32" t="s">
        <v>1305</v>
      </c>
      <c r="QAM32" t="s">
        <v>251</v>
      </c>
      <c r="QAN32" t="s">
        <v>1305</v>
      </c>
      <c r="QAO32" t="s">
        <v>251</v>
      </c>
      <c r="QAP32" t="s">
        <v>1305</v>
      </c>
      <c r="QAQ32" t="s">
        <v>251</v>
      </c>
      <c r="QAR32" t="s">
        <v>1305</v>
      </c>
      <c r="QAS32" t="s">
        <v>251</v>
      </c>
      <c r="QAT32" t="s">
        <v>1305</v>
      </c>
      <c r="QAU32" t="s">
        <v>251</v>
      </c>
      <c r="QAV32" t="s">
        <v>1305</v>
      </c>
      <c r="QAW32" t="s">
        <v>251</v>
      </c>
      <c r="QAX32" t="s">
        <v>1305</v>
      </c>
      <c r="QAY32" t="s">
        <v>251</v>
      </c>
      <c r="QAZ32" t="s">
        <v>1305</v>
      </c>
      <c r="QBA32" t="s">
        <v>251</v>
      </c>
      <c r="QBB32" t="s">
        <v>1305</v>
      </c>
      <c r="QBC32" t="s">
        <v>251</v>
      </c>
      <c r="QBD32" t="s">
        <v>1305</v>
      </c>
      <c r="QBE32" t="s">
        <v>251</v>
      </c>
      <c r="QBF32" t="s">
        <v>1305</v>
      </c>
      <c r="QBG32" t="s">
        <v>251</v>
      </c>
      <c r="QBH32" t="s">
        <v>1305</v>
      </c>
      <c r="QBI32" t="s">
        <v>251</v>
      </c>
      <c r="QBJ32" t="s">
        <v>1305</v>
      </c>
      <c r="QBK32" t="s">
        <v>251</v>
      </c>
      <c r="QBL32" t="s">
        <v>1305</v>
      </c>
      <c r="QBM32" t="s">
        <v>251</v>
      </c>
      <c r="QBN32" t="s">
        <v>1305</v>
      </c>
      <c r="QBO32" t="s">
        <v>251</v>
      </c>
      <c r="QBP32" t="s">
        <v>1305</v>
      </c>
      <c r="QBQ32" t="s">
        <v>251</v>
      </c>
      <c r="QBR32" t="s">
        <v>1305</v>
      </c>
      <c r="QBS32" t="s">
        <v>251</v>
      </c>
      <c r="QBT32" t="s">
        <v>1305</v>
      </c>
      <c r="QBU32" t="s">
        <v>251</v>
      </c>
      <c r="QBV32" t="s">
        <v>1305</v>
      </c>
      <c r="QBW32" t="s">
        <v>251</v>
      </c>
      <c r="QBX32" t="s">
        <v>1305</v>
      </c>
      <c r="QBY32" t="s">
        <v>251</v>
      </c>
      <c r="QBZ32" t="s">
        <v>1305</v>
      </c>
      <c r="QCA32" t="s">
        <v>251</v>
      </c>
      <c r="QCB32" t="s">
        <v>1305</v>
      </c>
      <c r="QCC32" t="s">
        <v>251</v>
      </c>
      <c r="QCD32" t="s">
        <v>1305</v>
      </c>
      <c r="QCE32" t="s">
        <v>251</v>
      </c>
      <c r="QCF32" t="s">
        <v>1305</v>
      </c>
      <c r="QCG32" t="s">
        <v>251</v>
      </c>
      <c r="QCH32" t="s">
        <v>1305</v>
      </c>
      <c r="QCI32" t="s">
        <v>251</v>
      </c>
      <c r="QCJ32" t="s">
        <v>1305</v>
      </c>
      <c r="QCK32" t="s">
        <v>251</v>
      </c>
      <c r="QCL32" t="s">
        <v>1305</v>
      </c>
      <c r="QCM32" t="s">
        <v>251</v>
      </c>
      <c r="QCN32" t="s">
        <v>1305</v>
      </c>
      <c r="QCO32" t="s">
        <v>251</v>
      </c>
      <c r="QCP32" t="s">
        <v>1305</v>
      </c>
      <c r="QCQ32" t="s">
        <v>251</v>
      </c>
      <c r="QCR32" t="s">
        <v>1305</v>
      </c>
      <c r="QCS32" t="s">
        <v>251</v>
      </c>
      <c r="QCT32" t="s">
        <v>1305</v>
      </c>
      <c r="QCU32" t="s">
        <v>251</v>
      </c>
      <c r="QCV32" t="s">
        <v>1305</v>
      </c>
      <c r="QCW32" t="s">
        <v>251</v>
      </c>
      <c r="QCX32" t="s">
        <v>1305</v>
      </c>
      <c r="QCY32" t="s">
        <v>251</v>
      </c>
      <c r="QCZ32" t="s">
        <v>1305</v>
      </c>
      <c r="QDA32" t="s">
        <v>251</v>
      </c>
      <c r="QDB32" t="s">
        <v>1305</v>
      </c>
      <c r="QDC32" t="s">
        <v>251</v>
      </c>
      <c r="QDD32" t="s">
        <v>1305</v>
      </c>
      <c r="QDE32" t="s">
        <v>251</v>
      </c>
      <c r="QDF32" t="s">
        <v>1305</v>
      </c>
      <c r="QDG32" t="s">
        <v>251</v>
      </c>
      <c r="QDH32" t="s">
        <v>1305</v>
      </c>
      <c r="QDI32" t="s">
        <v>251</v>
      </c>
      <c r="QDJ32" t="s">
        <v>1305</v>
      </c>
      <c r="QDK32" t="s">
        <v>251</v>
      </c>
      <c r="QDL32" t="s">
        <v>1305</v>
      </c>
      <c r="QDM32" t="s">
        <v>251</v>
      </c>
      <c r="QDN32" t="s">
        <v>1305</v>
      </c>
      <c r="QDO32" t="s">
        <v>251</v>
      </c>
      <c r="QDP32" t="s">
        <v>1305</v>
      </c>
      <c r="QDQ32" t="s">
        <v>251</v>
      </c>
      <c r="QDR32" t="s">
        <v>1305</v>
      </c>
      <c r="QDS32" t="s">
        <v>251</v>
      </c>
      <c r="QDT32" t="s">
        <v>1305</v>
      </c>
      <c r="QDU32" t="s">
        <v>251</v>
      </c>
      <c r="QDV32" t="s">
        <v>1305</v>
      </c>
      <c r="QDW32" t="s">
        <v>251</v>
      </c>
      <c r="QDX32" t="s">
        <v>1305</v>
      </c>
      <c r="QDY32" t="s">
        <v>251</v>
      </c>
      <c r="QDZ32" t="s">
        <v>1305</v>
      </c>
      <c r="QEA32" t="s">
        <v>251</v>
      </c>
      <c r="QEB32" t="s">
        <v>1305</v>
      </c>
      <c r="QEC32" t="s">
        <v>251</v>
      </c>
      <c r="QED32" t="s">
        <v>1305</v>
      </c>
      <c r="QEE32" t="s">
        <v>251</v>
      </c>
      <c r="QEF32" t="s">
        <v>1305</v>
      </c>
      <c r="QEG32" t="s">
        <v>251</v>
      </c>
      <c r="QEH32" t="s">
        <v>1305</v>
      </c>
      <c r="QEI32" t="s">
        <v>251</v>
      </c>
      <c r="QEJ32" t="s">
        <v>1305</v>
      </c>
      <c r="QEK32" t="s">
        <v>251</v>
      </c>
      <c r="QEL32" t="s">
        <v>1305</v>
      </c>
      <c r="QEM32" t="s">
        <v>251</v>
      </c>
      <c r="QEN32" t="s">
        <v>1305</v>
      </c>
      <c r="QEO32" t="s">
        <v>251</v>
      </c>
      <c r="QEP32" t="s">
        <v>1305</v>
      </c>
      <c r="QEQ32" t="s">
        <v>251</v>
      </c>
      <c r="QER32" t="s">
        <v>1305</v>
      </c>
      <c r="QES32" t="s">
        <v>251</v>
      </c>
      <c r="QET32" t="s">
        <v>1305</v>
      </c>
      <c r="QEU32" t="s">
        <v>251</v>
      </c>
      <c r="QEV32" t="s">
        <v>1305</v>
      </c>
      <c r="QEW32" t="s">
        <v>251</v>
      </c>
      <c r="QEX32" t="s">
        <v>1305</v>
      </c>
      <c r="QEY32" t="s">
        <v>251</v>
      </c>
      <c r="QEZ32" t="s">
        <v>1305</v>
      </c>
      <c r="QFA32" t="s">
        <v>251</v>
      </c>
      <c r="QFB32" t="s">
        <v>1305</v>
      </c>
      <c r="QFC32" t="s">
        <v>251</v>
      </c>
      <c r="QFD32" t="s">
        <v>1305</v>
      </c>
      <c r="QFE32" t="s">
        <v>251</v>
      </c>
      <c r="QFF32" t="s">
        <v>1305</v>
      </c>
      <c r="QFG32" t="s">
        <v>251</v>
      </c>
      <c r="QFH32" t="s">
        <v>1305</v>
      </c>
      <c r="QFI32" t="s">
        <v>251</v>
      </c>
      <c r="QFJ32" t="s">
        <v>1305</v>
      </c>
      <c r="QFK32" t="s">
        <v>251</v>
      </c>
      <c r="QFL32" t="s">
        <v>1305</v>
      </c>
      <c r="QFM32" t="s">
        <v>251</v>
      </c>
      <c r="QFN32" t="s">
        <v>1305</v>
      </c>
      <c r="QFO32" t="s">
        <v>251</v>
      </c>
      <c r="QFP32" t="s">
        <v>1305</v>
      </c>
      <c r="QFQ32" t="s">
        <v>251</v>
      </c>
      <c r="QFR32" t="s">
        <v>1305</v>
      </c>
      <c r="QFS32" t="s">
        <v>251</v>
      </c>
      <c r="QFT32" t="s">
        <v>1305</v>
      </c>
      <c r="QFU32" t="s">
        <v>251</v>
      </c>
      <c r="QFV32" t="s">
        <v>1305</v>
      </c>
      <c r="QFW32" t="s">
        <v>251</v>
      </c>
      <c r="QFX32" t="s">
        <v>1305</v>
      </c>
      <c r="QFY32" t="s">
        <v>251</v>
      </c>
      <c r="QFZ32" t="s">
        <v>1305</v>
      </c>
      <c r="QGA32" t="s">
        <v>251</v>
      </c>
      <c r="QGB32" t="s">
        <v>1305</v>
      </c>
      <c r="QGC32" t="s">
        <v>251</v>
      </c>
      <c r="QGD32" t="s">
        <v>1305</v>
      </c>
      <c r="QGE32" t="s">
        <v>251</v>
      </c>
      <c r="QGF32" t="s">
        <v>1305</v>
      </c>
      <c r="QGG32" t="s">
        <v>251</v>
      </c>
      <c r="QGH32" t="s">
        <v>1305</v>
      </c>
      <c r="QGI32" t="s">
        <v>251</v>
      </c>
      <c r="QGJ32" t="s">
        <v>1305</v>
      </c>
      <c r="QGK32" t="s">
        <v>251</v>
      </c>
      <c r="QGL32" t="s">
        <v>1305</v>
      </c>
      <c r="QGM32" t="s">
        <v>251</v>
      </c>
      <c r="QGN32" t="s">
        <v>1305</v>
      </c>
      <c r="QGO32" t="s">
        <v>251</v>
      </c>
      <c r="QGP32" t="s">
        <v>1305</v>
      </c>
      <c r="QGQ32" t="s">
        <v>251</v>
      </c>
      <c r="QGR32" t="s">
        <v>1305</v>
      </c>
      <c r="QGS32" t="s">
        <v>251</v>
      </c>
      <c r="QGT32" t="s">
        <v>1305</v>
      </c>
      <c r="QGU32" t="s">
        <v>251</v>
      </c>
      <c r="QGV32" t="s">
        <v>1305</v>
      </c>
      <c r="QGW32" t="s">
        <v>251</v>
      </c>
      <c r="QGX32" t="s">
        <v>1305</v>
      </c>
      <c r="QGY32" t="s">
        <v>251</v>
      </c>
      <c r="QGZ32" t="s">
        <v>1305</v>
      </c>
      <c r="QHA32" t="s">
        <v>251</v>
      </c>
      <c r="QHB32" t="s">
        <v>1305</v>
      </c>
      <c r="QHC32" t="s">
        <v>251</v>
      </c>
      <c r="QHD32" t="s">
        <v>1305</v>
      </c>
      <c r="QHE32" t="s">
        <v>251</v>
      </c>
      <c r="QHF32" t="s">
        <v>1305</v>
      </c>
      <c r="QHG32" t="s">
        <v>251</v>
      </c>
      <c r="QHH32" t="s">
        <v>1305</v>
      </c>
      <c r="QHI32" t="s">
        <v>251</v>
      </c>
      <c r="QHJ32" t="s">
        <v>1305</v>
      </c>
      <c r="QHK32" t="s">
        <v>251</v>
      </c>
      <c r="QHL32" t="s">
        <v>1305</v>
      </c>
      <c r="QHM32" t="s">
        <v>251</v>
      </c>
      <c r="QHN32" t="s">
        <v>1305</v>
      </c>
      <c r="QHO32" t="s">
        <v>251</v>
      </c>
      <c r="QHP32" t="s">
        <v>1305</v>
      </c>
      <c r="QHQ32" t="s">
        <v>251</v>
      </c>
      <c r="QHR32" t="s">
        <v>1305</v>
      </c>
      <c r="QHS32" t="s">
        <v>251</v>
      </c>
      <c r="QHT32" t="s">
        <v>1305</v>
      </c>
      <c r="QHU32" t="s">
        <v>251</v>
      </c>
      <c r="QHV32" t="s">
        <v>1305</v>
      </c>
      <c r="QHW32" t="s">
        <v>251</v>
      </c>
      <c r="QHX32" t="s">
        <v>1305</v>
      </c>
      <c r="QHY32" t="s">
        <v>251</v>
      </c>
      <c r="QHZ32" t="s">
        <v>1305</v>
      </c>
      <c r="QIA32" t="s">
        <v>251</v>
      </c>
      <c r="QIB32" t="s">
        <v>1305</v>
      </c>
      <c r="QIC32" t="s">
        <v>251</v>
      </c>
      <c r="QID32" t="s">
        <v>1305</v>
      </c>
      <c r="QIE32" t="s">
        <v>251</v>
      </c>
      <c r="QIF32" t="s">
        <v>1305</v>
      </c>
      <c r="QIG32" t="s">
        <v>251</v>
      </c>
      <c r="QIH32" t="s">
        <v>1305</v>
      </c>
      <c r="QII32" t="s">
        <v>251</v>
      </c>
      <c r="QIJ32" t="s">
        <v>1305</v>
      </c>
      <c r="QIK32" t="s">
        <v>251</v>
      </c>
      <c r="QIL32" t="s">
        <v>1305</v>
      </c>
      <c r="QIM32" t="s">
        <v>251</v>
      </c>
      <c r="QIN32" t="s">
        <v>1305</v>
      </c>
      <c r="QIO32" t="s">
        <v>251</v>
      </c>
      <c r="QIP32" t="s">
        <v>1305</v>
      </c>
      <c r="QIQ32" t="s">
        <v>251</v>
      </c>
      <c r="QIR32" t="s">
        <v>1305</v>
      </c>
      <c r="QIS32" t="s">
        <v>251</v>
      </c>
      <c r="QIT32" t="s">
        <v>1305</v>
      </c>
      <c r="QIU32" t="s">
        <v>251</v>
      </c>
      <c r="QIV32" t="s">
        <v>1305</v>
      </c>
      <c r="QIW32" t="s">
        <v>251</v>
      </c>
      <c r="QIX32" t="s">
        <v>1305</v>
      </c>
      <c r="QIY32" t="s">
        <v>251</v>
      </c>
      <c r="QIZ32" t="s">
        <v>1305</v>
      </c>
      <c r="QJA32" t="s">
        <v>251</v>
      </c>
      <c r="QJB32" t="s">
        <v>1305</v>
      </c>
      <c r="QJC32" t="s">
        <v>251</v>
      </c>
      <c r="QJD32" t="s">
        <v>1305</v>
      </c>
      <c r="QJE32" t="s">
        <v>251</v>
      </c>
      <c r="QJF32" t="s">
        <v>1305</v>
      </c>
      <c r="QJG32" t="s">
        <v>251</v>
      </c>
      <c r="QJH32" t="s">
        <v>1305</v>
      </c>
      <c r="QJI32" t="s">
        <v>251</v>
      </c>
      <c r="QJJ32" t="s">
        <v>1305</v>
      </c>
      <c r="QJK32" t="s">
        <v>251</v>
      </c>
      <c r="QJL32" t="s">
        <v>1305</v>
      </c>
      <c r="QJM32" t="s">
        <v>251</v>
      </c>
      <c r="QJN32" t="s">
        <v>1305</v>
      </c>
      <c r="QJO32" t="s">
        <v>251</v>
      </c>
      <c r="QJP32" t="s">
        <v>1305</v>
      </c>
      <c r="QJQ32" t="s">
        <v>251</v>
      </c>
      <c r="QJR32" t="s">
        <v>1305</v>
      </c>
      <c r="QJS32" t="s">
        <v>251</v>
      </c>
      <c r="QJT32" t="s">
        <v>1305</v>
      </c>
      <c r="QJU32" t="s">
        <v>251</v>
      </c>
      <c r="QJV32" t="s">
        <v>1305</v>
      </c>
      <c r="QJW32" t="s">
        <v>251</v>
      </c>
      <c r="QJX32" t="s">
        <v>1305</v>
      </c>
      <c r="QJY32" t="s">
        <v>251</v>
      </c>
      <c r="QJZ32" t="s">
        <v>1305</v>
      </c>
      <c r="QKA32" t="s">
        <v>251</v>
      </c>
      <c r="QKB32" t="s">
        <v>1305</v>
      </c>
      <c r="QKC32" t="s">
        <v>251</v>
      </c>
      <c r="QKD32" t="s">
        <v>1305</v>
      </c>
      <c r="QKE32" t="s">
        <v>251</v>
      </c>
      <c r="QKF32" t="s">
        <v>1305</v>
      </c>
      <c r="QKG32" t="s">
        <v>251</v>
      </c>
      <c r="QKH32" t="s">
        <v>1305</v>
      </c>
      <c r="QKI32" t="s">
        <v>251</v>
      </c>
      <c r="QKJ32" t="s">
        <v>1305</v>
      </c>
      <c r="QKK32" t="s">
        <v>251</v>
      </c>
      <c r="QKL32" t="s">
        <v>1305</v>
      </c>
      <c r="QKM32" t="s">
        <v>251</v>
      </c>
      <c r="QKN32" t="s">
        <v>1305</v>
      </c>
      <c r="QKO32" t="s">
        <v>251</v>
      </c>
      <c r="QKP32" t="s">
        <v>1305</v>
      </c>
      <c r="QKQ32" t="s">
        <v>251</v>
      </c>
      <c r="QKR32" t="s">
        <v>1305</v>
      </c>
      <c r="QKS32" t="s">
        <v>251</v>
      </c>
      <c r="QKT32" t="s">
        <v>1305</v>
      </c>
      <c r="QKU32" t="s">
        <v>251</v>
      </c>
      <c r="QKV32" t="s">
        <v>1305</v>
      </c>
      <c r="QKW32" t="s">
        <v>251</v>
      </c>
      <c r="QKX32" t="s">
        <v>1305</v>
      </c>
      <c r="QKY32" t="s">
        <v>251</v>
      </c>
      <c r="QKZ32" t="s">
        <v>1305</v>
      </c>
      <c r="QLA32" t="s">
        <v>251</v>
      </c>
      <c r="QLB32" t="s">
        <v>1305</v>
      </c>
      <c r="QLC32" t="s">
        <v>251</v>
      </c>
      <c r="QLD32" t="s">
        <v>1305</v>
      </c>
      <c r="QLE32" t="s">
        <v>251</v>
      </c>
      <c r="QLF32" t="s">
        <v>1305</v>
      </c>
      <c r="QLG32" t="s">
        <v>251</v>
      </c>
      <c r="QLH32" t="s">
        <v>1305</v>
      </c>
      <c r="QLI32" t="s">
        <v>251</v>
      </c>
      <c r="QLJ32" t="s">
        <v>1305</v>
      </c>
      <c r="QLK32" t="s">
        <v>251</v>
      </c>
      <c r="QLL32" t="s">
        <v>1305</v>
      </c>
      <c r="QLM32" t="s">
        <v>251</v>
      </c>
      <c r="QLN32" t="s">
        <v>1305</v>
      </c>
      <c r="QLO32" t="s">
        <v>251</v>
      </c>
      <c r="QLP32" t="s">
        <v>1305</v>
      </c>
      <c r="QLQ32" t="s">
        <v>251</v>
      </c>
      <c r="QLR32" t="s">
        <v>1305</v>
      </c>
      <c r="QLS32" t="s">
        <v>251</v>
      </c>
      <c r="QLT32" t="s">
        <v>1305</v>
      </c>
      <c r="QLU32" t="s">
        <v>251</v>
      </c>
      <c r="QLV32" t="s">
        <v>1305</v>
      </c>
      <c r="QLW32" t="s">
        <v>251</v>
      </c>
      <c r="QLX32" t="s">
        <v>1305</v>
      </c>
      <c r="QLY32" t="s">
        <v>251</v>
      </c>
      <c r="QLZ32" t="s">
        <v>1305</v>
      </c>
      <c r="QMA32" t="s">
        <v>251</v>
      </c>
      <c r="QMB32" t="s">
        <v>1305</v>
      </c>
      <c r="QMC32" t="s">
        <v>251</v>
      </c>
      <c r="QMD32" t="s">
        <v>1305</v>
      </c>
      <c r="QME32" t="s">
        <v>251</v>
      </c>
      <c r="QMF32" t="s">
        <v>1305</v>
      </c>
      <c r="QMG32" t="s">
        <v>251</v>
      </c>
      <c r="QMH32" t="s">
        <v>1305</v>
      </c>
      <c r="QMI32" t="s">
        <v>251</v>
      </c>
      <c r="QMJ32" t="s">
        <v>1305</v>
      </c>
      <c r="QMK32" t="s">
        <v>251</v>
      </c>
      <c r="QML32" t="s">
        <v>1305</v>
      </c>
      <c r="QMM32" t="s">
        <v>251</v>
      </c>
      <c r="QMN32" t="s">
        <v>1305</v>
      </c>
      <c r="QMO32" t="s">
        <v>251</v>
      </c>
      <c r="QMP32" t="s">
        <v>1305</v>
      </c>
      <c r="QMQ32" t="s">
        <v>251</v>
      </c>
      <c r="QMR32" t="s">
        <v>1305</v>
      </c>
      <c r="QMS32" t="s">
        <v>251</v>
      </c>
      <c r="QMT32" t="s">
        <v>1305</v>
      </c>
      <c r="QMU32" t="s">
        <v>251</v>
      </c>
      <c r="QMV32" t="s">
        <v>1305</v>
      </c>
      <c r="QMW32" t="s">
        <v>251</v>
      </c>
      <c r="QMX32" t="s">
        <v>1305</v>
      </c>
      <c r="QMY32" t="s">
        <v>251</v>
      </c>
      <c r="QMZ32" t="s">
        <v>1305</v>
      </c>
      <c r="QNA32" t="s">
        <v>251</v>
      </c>
      <c r="QNB32" t="s">
        <v>1305</v>
      </c>
      <c r="QNC32" t="s">
        <v>251</v>
      </c>
      <c r="QND32" t="s">
        <v>1305</v>
      </c>
      <c r="QNE32" t="s">
        <v>251</v>
      </c>
      <c r="QNF32" t="s">
        <v>1305</v>
      </c>
      <c r="QNG32" t="s">
        <v>251</v>
      </c>
      <c r="QNH32" t="s">
        <v>1305</v>
      </c>
      <c r="QNI32" t="s">
        <v>251</v>
      </c>
      <c r="QNJ32" t="s">
        <v>1305</v>
      </c>
      <c r="QNK32" t="s">
        <v>251</v>
      </c>
      <c r="QNL32" t="s">
        <v>1305</v>
      </c>
      <c r="QNM32" t="s">
        <v>251</v>
      </c>
      <c r="QNN32" t="s">
        <v>1305</v>
      </c>
      <c r="QNO32" t="s">
        <v>251</v>
      </c>
      <c r="QNP32" t="s">
        <v>1305</v>
      </c>
      <c r="QNQ32" t="s">
        <v>251</v>
      </c>
      <c r="QNR32" t="s">
        <v>1305</v>
      </c>
      <c r="QNS32" t="s">
        <v>251</v>
      </c>
      <c r="QNT32" t="s">
        <v>1305</v>
      </c>
      <c r="QNU32" t="s">
        <v>251</v>
      </c>
      <c r="QNV32" t="s">
        <v>1305</v>
      </c>
      <c r="QNW32" t="s">
        <v>251</v>
      </c>
      <c r="QNX32" t="s">
        <v>1305</v>
      </c>
      <c r="QNY32" t="s">
        <v>251</v>
      </c>
      <c r="QNZ32" t="s">
        <v>1305</v>
      </c>
      <c r="QOA32" t="s">
        <v>251</v>
      </c>
      <c r="QOB32" t="s">
        <v>1305</v>
      </c>
      <c r="QOC32" t="s">
        <v>251</v>
      </c>
      <c r="QOD32" t="s">
        <v>1305</v>
      </c>
      <c r="QOE32" t="s">
        <v>251</v>
      </c>
      <c r="QOF32" t="s">
        <v>1305</v>
      </c>
      <c r="QOG32" t="s">
        <v>251</v>
      </c>
      <c r="QOH32" t="s">
        <v>1305</v>
      </c>
      <c r="QOI32" t="s">
        <v>251</v>
      </c>
      <c r="QOJ32" t="s">
        <v>1305</v>
      </c>
      <c r="QOK32" t="s">
        <v>251</v>
      </c>
      <c r="QOL32" t="s">
        <v>1305</v>
      </c>
      <c r="QOM32" t="s">
        <v>251</v>
      </c>
      <c r="QON32" t="s">
        <v>1305</v>
      </c>
      <c r="QOO32" t="s">
        <v>251</v>
      </c>
      <c r="QOP32" t="s">
        <v>1305</v>
      </c>
      <c r="QOQ32" t="s">
        <v>251</v>
      </c>
      <c r="QOR32" t="s">
        <v>1305</v>
      </c>
      <c r="QOS32" t="s">
        <v>251</v>
      </c>
      <c r="QOT32" t="s">
        <v>1305</v>
      </c>
      <c r="QOU32" t="s">
        <v>251</v>
      </c>
      <c r="QOV32" t="s">
        <v>1305</v>
      </c>
      <c r="QOW32" t="s">
        <v>251</v>
      </c>
      <c r="QOX32" t="s">
        <v>1305</v>
      </c>
      <c r="QOY32" t="s">
        <v>251</v>
      </c>
      <c r="QOZ32" t="s">
        <v>1305</v>
      </c>
      <c r="QPA32" t="s">
        <v>251</v>
      </c>
      <c r="QPB32" t="s">
        <v>1305</v>
      </c>
      <c r="QPC32" t="s">
        <v>251</v>
      </c>
      <c r="QPD32" t="s">
        <v>1305</v>
      </c>
      <c r="QPE32" t="s">
        <v>251</v>
      </c>
      <c r="QPF32" t="s">
        <v>1305</v>
      </c>
      <c r="QPG32" t="s">
        <v>251</v>
      </c>
      <c r="QPH32" t="s">
        <v>1305</v>
      </c>
      <c r="QPI32" t="s">
        <v>251</v>
      </c>
      <c r="QPJ32" t="s">
        <v>1305</v>
      </c>
      <c r="QPK32" t="s">
        <v>251</v>
      </c>
      <c r="QPL32" t="s">
        <v>1305</v>
      </c>
      <c r="QPM32" t="s">
        <v>251</v>
      </c>
      <c r="QPN32" t="s">
        <v>1305</v>
      </c>
      <c r="QPO32" t="s">
        <v>251</v>
      </c>
      <c r="QPP32" t="s">
        <v>1305</v>
      </c>
      <c r="QPQ32" t="s">
        <v>251</v>
      </c>
      <c r="QPR32" t="s">
        <v>1305</v>
      </c>
      <c r="QPS32" t="s">
        <v>251</v>
      </c>
      <c r="QPT32" t="s">
        <v>1305</v>
      </c>
      <c r="QPU32" t="s">
        <v>251</v>
      </c>
      <c r="QPV32" t="s">
        <v>1305</v>
      </c>
      <c r="QPW32" t="s">
        <v>251</v>
      </c>
      <c r="QPX32" t="s">
        <v>1305</v>
      </c>
      <c r="QPY32" t="s">
        <v>251</v>
      </c>
      <c r="QPZ32" t="s">
        <v>1305</v>
      </c>
      <c r="QQA32" t="s">
        <v>251</v>
      </c>
      <c r="QQB32" t="s">
        <v>1305</v>
      </c>
      <c r="QQC32" t="s">
        <v>251</v>
      </c>
      <c r="QQD32" t="s">
        <v>1305</v>
      </c>
      <c r="QQE32" t="s">
        <v>251</v>
      </c>
      <c r="QQF32" t="s">
        <v>1305</v>
      </c>
      <c r="QQG32" t="s">
        <v>251</v>
      </c>
      <c r="QQH32" t="s">
        <v>1305</v>
      </c>
      <c r="QQI32" t="s">
        <v>251</v>
      </c>
      <c r="QQJ32" t="s">
        <v>1305</v>
      </c>
      <c r="QQK32" t="s">
        <v>251</v>
      </c>
      <c r="QQL32" t="s">
        <v>1305</v>
      </c>
      <c r="QQM32" t="s">
        <v>251</v>
      </c>
      <c r="QQN32" t="s">
        <v>1305</v>
      </c>
      <c r="QQO32" t="s">
        <v>251</v>
      </c>
      <c r="QQP32" t="s">
        <v>1305</v>
      </c>
      <c r="QQQ32" t="s">
        <v>251</v>
      </c>
      <c r="QQR32" t="s">
        <v>1305</v>
      </c>
      <c r="QQS32" t="s">
        <v>251</v>
      </c>
      <c r="QQT32" t="s">
        <v>1305</v>
      </c>
      <c r="QQU32" t="s">
        <v>251</v>
      </c>
      <c r="QQV32" t="s">
        <v>1305</v>
      </c>
      <c r="QQW32" t="s">
        <v>251</v>
      </c>
      <c r="QQX32" t="s">
        <v>1305</v>
      </c>
      <c r="QQY32" t="s">
        <v>251</v>
      </c>
      <c r="QQZ32" t="s">
        <v>1305</v>
      </c>
      <c r="QRA32" t="s">
        <v>251</v>
      </c>
      <c r="QRB32" t="s">
        <v>1305</v>
      </c>
      <c r="QRC32" t="s">
        <v>251</v>
      </c>
      <c r="QRD32" t="s">
        <v>1305</v>
      </c>
      <c r="QRE32" t="s">
        <v>251</v>
      </c>
      <c r="QRF32" t="s">
        <v>1305</v>
      </c>
      <c r="QRG32" t="s">
        <v>251</v>
      </c>
      <c r="QRH32" t="s">
        <v>1305</v>
      </c>
      <c r="QRI32" t="s">
        <v>251</v>
      </c>
      <c r="QRJ32" t="s">
        <v>1305</v>
      </c>
      <c r="QRK32" t="s">
        <v>251</v>
      </c>
      <c r="QRL32" t="s">
        <v>1305</v>
      </c>
      <c r="QRM32" t="s">
        <v>251</v>
      </c>
      <c r="QRN32" t="s">
        <v>1305</v>
      </c>
      <c r="QRO32" t="s">
        <v>251</v>
      </c>
      <c r="QRP32" t="s">
        <v>1305</v>
      </c>
      <c r="QRQ32" t="s">
        <v>251</v>
      </c>
      <c r="QRR32" t="s">
        <v>1305</v>
      </c>
      <c r="QRS32" t="s">
        <v>251</v>
      </c>
      <c r="QRT32" t="s">
        <v>1305</v>
      </c>
      <c r="QRU32" t="s">
        <v>251</v>
      </c>
      <c r="QRV32" t="s">
        <v>1305</v>
      </c>
      <c r="QRW32" t="s">
        <v>251</v>
      </c>
      <c r="QRX32" t="s">
        <v>1305</v>
      </c>
      <c r="QRY32" t="s">
        <v>251</v>
      </c>
      <c r="QRZ32" t="s">
        <v>1305</v>
      </c>
      <c r="QSA32" t="s">
        <v>251</v>
      </c>
      <c r="QSB32" t="s">
        <v>1305</v>
      </c>
      <c r="QSC32" t="s">
        <v>251</v>
      </c>
      <c r="QSD32" t="s">
        <v>1305</v>
      </c>
      <c r="QSE32" t="s">
        <v>251</v>
      </c>
      <c r="QSF32" t="s">
        <v>1305</v>
      </c>
      <c r="QSG32" t="s">
        <v>251</v>
      </c>
      <c r="QSH32" t="s">
        <v>1305</v>
      </c>
      <c r="QSI32" t="s">
        <v>251</v>
      </c>
      <c r="QSJ32" t="s">
        <v>1305</v>
      </c>
      <c r="QSK32" t="s">
        <v>251</v>
      </c>
      <c r="QSL32" t="s">
        <v>1305</v>
      </c>
      <c r="QSM32" t="s">
        <v>251</v>
      </c>
      <c r="QSN32" t="s">
        <v>1305</v>
      </c>
      <c r="QSO32" t="s">
        <v>251</v>
      </c>
      <c r="QSP32" t="s">
        <v>1305</v>
      </c>
      <c r="QSQ32" t="s">
        <v>251</v>
      </c>
      <c r="QSR32" t="s">
        <v>1305</v>
      </c>
      <c r="QSS32" t="s">
        <v>251</v>
      </c>
      <c r="QST32" t="s">
        <v>1305</v>
      </c>
      <c r="QSU32" t="s">
        <v>251</v>
      </c>
      <c r="QSV32" t="s">
        <v>1305</v>
      </c>
      <c r="QSW32" t="s">
        <v>251</v>
      </c>
      <c r="QSX32" t="s">
        <v>1305</v>
      </c>
      <c r="QSY32" t="s">
        <v>251</v>
      </c>
      <c r="QSZ32" t="s">
        <v>1305</v>
      </c>
      <c r="QTA32" t="s">
        <v>251</v>
      </c>
      <c r="QTB32" t="s">
        <v>1305</v>
      </c>
      <c r="QTC32" t="s">
        <v>251</v>
      </c>
      <c r="QTD32" t="s">
        <v>1305</v>
      </c>
      <c r="QTE32" t="s">
        <v>251</v>
      </c>
      <c r="QTF32" t="s">
        <v>1305</v>
      </c>
      <c r="QTG32" t="s">
        <v>251</v>
      </c>
      <c r="QTH32" t="s">
        <v>1305</v>
      </c>
      <c r="QTI32" t="s">
        <v>251</v>
      </c>
      <c r="QTJ32" t="s">
        <v>1305</v>
      </c>
      <c r="QTK32" t="s">
        <v>251</v>
      </c>
      <c r="QTL32" t="s">
        <v>1305</v>
      </c>
      <c r="QTM32" t="s">
        <v>251</v>
      </c>
      <c r="QTN32" t="s">
        <v>1305</v>
      </c>
      <c r="QTO32" t="s">
        <v>251</v>
      </c>
      <c r="QTP32" t="s">
        <v>1305</v>
      </c>
      <c r="QTQ32" t="s">
        <v>251</v>
      </c>
      <c r="QTR32" t="s">
        <v>1305</v>
      </c>
      <c r="QTS32" t="s">
        <v>251</v>
      </c>
      <c r="QTT32" t="s">
        <v>1305</v>
      </c>
      <c r="QTU32" t="s">
        <v>251</v>
      </c>
      <c r="QTV32" t="s">
        <v>1305</v>
      </c>
      <c r="QTW32" t="s">
        <v>251</v>
      </c>
      <c r="QTX32" t="s">
        <v>1305</v>
      </c>
      <c r="QTY32" t="s">
        <v>251</v>
      </c>
      <c r="QTZ32" t="s">
        <v>1305</v>
      </c>
      <c r="QUA32" t="s">
        <v>251</v>
      </c>
      <c r="QUB32" t="s">
        <v>1305</v>
      </c>
      <c r="QUC32" t="s">
        <v>251</v>
      </c>
      <c r="QUD32" t="s">
        <v>1305</v>
      </c>
      <c r="QUE32" t="s">
        <v>251</v>
      </c>
      <c r="QUF32" t="s">
        <v>1305</v>
      </c>
      <c r="QUG32" t="s">
        <v>251</v>
      </c>
      <c r="QUH32" t="s">
        <v>1305</v>
      </c>
      <c r="QUI32" t="s">
        <v>251</v>
      </c>
      <c r="QUJ32" t="s">
        <v>1305</v>
      </c>
      <c r="QUK32" t="s">
        <v>251</v>
      </c>
      <c r="QUL32" t="s">
        <v>1305</v>
      </c>
      <c r="QUM32" t="s">
        <v>251</v>
      </c>
      <c r="QUN32" t="s">
        <v>1305</v>
      </c>
      <c r="QUO32" t="s">
        <v>251</v>
      </c>
      <c r="QUP32" t="s">
        <v>1305</v>
      </c>
      <c r="QUQ32" t="s">
        <v>251</v>
      </c>
      <c r="QUR32" t="s">
        <v>1305</v>
      </c>
      <c r="QUS32" t="s">
        <v>251</v>
      </c>
      <c r="QUT32" t="s">
        <v>1305</v>
      </c>
      <c r="QUU32" t="s">
        <v>251</v>
      </c>
      <c r="QUV32" t="s">
        <v>1305</v>
      </c>
      <c r="QUW32" t="s">
        <v>251</v>
      </c>
      <c r="QUX32" t="s">
        <v>1305</v>
      </c>
      <c r="QUY32" t="s">
        <v>251</v>
      </c>
      <c r="QUZ32" t="s">
        <v>1305</v>
      </c>
      <c r="QVA32" t="s">
        <v>251</v>
      </c>
      <c r="QVB32" t="s">
        <v>1305</v>
      </c>
      <c r="QVC32" t="s">
        <v>251</v>
      </c>
      <c r="QVD32" t="s">
        <v>1305</v>
      </c>
      <c r="QVE32" t="s">
        <v>251</v>
      </c>
      <c r="QVF32" t="s">
        <v>1305</v>
      </c>
      <c r="QVG32" t="s">
        <v>251</v>
      </c>
      <c r="QVH32" t="s">
        <v>1305</v>
      </c>
      <c r="QVI32" t="s">
        <v>251</v>
      </c>
      <c r="QVJ32" t="s">
        <v>1305</v>
      </c>
      <c r="QVK32" t="s">
        <v>251</v>
      </c>
      <c r="QVL32" t="s">
        <v>1305</v>
      </c>
      <c r="QVM32" t="s">
        <v>251</v>
      </c>
      <c r="QVN32" t="s">
        <v>1305</v>
      </c>
      <c r="QVO32" t="s">
        <v>251</v>
      </c>
      <c r="QVP32" t="s">
        <v>1305</v>
      </c>
      <c r="QVQ32" t="s">
        <v>251</v>
      </c>
      <c r="QVR32" t="s">
        <v>1305</v>
      </c>
      <c r="QVS32" t="s">
        <v>251</v>
      </c>
      <c r="QVT32" t="s">
        <v>1305</v>
      </c>
      <c r="QVU32" t="s">
        <v>251</v>
      </c>
      <c r="QVV32" t="s">
        <v>1305</v>
      </c>
      <c r="QVW32" t="s">
        <v>251</v>
      </c>
      <c r="QVX32" t="s">
        <v>1305</v>
      </c>
      <c r="QVY32" t="s">
        <v>251</v>
      </c>
      <c r="QVZ32" t="s">
        <v>1305</v>
      </c>
      <c r="QWA32" t="s">
        <v>251</v>
      </c>
      <c r="QWB32" t="s">
        <v>1305</v>
      </c>
      <c r="QWC32" t="s">
        <v>251</v>
      </c>
      <c r="QWD32" t="s">
        <v>1305</v>
      </c>
      <c r="QWE32" t="s">
        <v>251</v>
      </c>
      <c r="QWF32" t="s">
        <v>1305</v>
      </c>
      <c r="QWG32" t="s">
        <v>251</v>
      </c>
      <c r="QWH32" t="s">
        <v>1305</v>
      </c>
      <c r="QWI32" t="s">
        <v>251</v>
      </c>
      <c r="QWJ32" t="s">
        <v>1305</v>
      </c>
      <c r="QWK32" t="s">
        <v>251</v>
      </c>
      <c r="QWL32" t="s">
        <v>1305</v>
      </c>
      <c r="QWM32" t="s">
        <v>251</v>
      </c>
      <c r="QWN32" t="s">
        <v>1305</v>
      </c>
      <c r="QWO32" t="s">
        <v>251</v>
      </c>
      <c r="QWP32" t="s">
        <v>1305</v>
      </c>
      <c r="QWQ32" t="s">
        <v>251</v>
      </c>
      <c r="QWR32" t="s">
        <v>1305</v>
      </c>
      <c r="QWS32" t="s">
        <v>251</v>
      </c>
      <c r="QWT32" t="s">
        <v>1305</v>
      </c>
      <c r="QWU32" t="s">
        <v>251</v>
      </c>
      <c r="QWV32" t="s">
        <v>1305</v>
      </c>
      <c r="QWW32" t="s">
        <v>251</v>
      </c>
      <c r="QWX32" t="s">
        <v>1305</v>
      </c>
      <c r="QWY32" t="s">
        <v>251</v>
      </c>
      <c r="QWZ32" t="s">
        <v>1305</v>
      </c>
      <c r="QXA32" t="s">
        <v>251</v>
      </c>
      <c r="QXB32" t="s">
        <v>1305</v>
      </c>
      <c r="QXC32" t="s">
        <v>251</v>
      </c>
      <c r="QXD32" t="s">
        <v>1305</v>
      </c>
      <c r="QXE32" t="s">
        <v>251</v>
      </c>
      <c r="QXF32" t="s">
        <v>1305</v>
      </c>
      <c r="QXG32" t="s">
        <v>251</v>
      </c>
      <c r="QXH32" t="s">
        <v>1305</v>
      </c>
      <c r="QXI32" t="s">
        <v>251</v>
      </c>
      <c r="QXJ32" t="s">
        <v>1305</v>
      </c>
      <c r="QXK32" t="s">
        <v>251</v>
      </c>
      <c r="QXL32" t="s">
        <v>1305</v>
      </c>
      <c r="QXM32" t="s">
        <v>251</v>
      </c>
      <c r="QXN32" t="s">
        <v>1305</v>
      </c>
      <c r="QXO32" t="s">
        <v>251</v>
      </c>
      <c r="QXP32" t="s">
        <v>1305</v>
      </c>
      <c r="QXQ32" t="s">
        <v>251</v>
      </c>
      <c r="QXR32" t="s">
        <v>1305</v>
      </c>
      <c r="QXS32" t="s">
        <v>251</v>
      </c>
      <c r="QXT32" t="s">
        <v>1305</v>
      </c>
      <c r="QXU32" t="s">
        <v>251</v>
      </c>
      <c r="QXV32" t="s">
        <v>1305</v>
      </c>
      <c r="QXW32" t="s">
        <v>251</v>
      </c>
      <c r="QXX32" t="s">
        <v>1305</v>
      </c>
      <c r="QXY32" t="s">
        <v>251</v>
      </c>
      <c r="QXZ32" t="s">
        <v>1305</v>
      </c>
      <c r="QYA32" t="s">
        <v>251</v>
      </c>
      <c r="QYB32" t="s">
        <v>1305</v>
      </c>
      <c r="QYC32" t="s">
        <v>251</v>
      </c>
      <c r="QYD32" t="s">
        <v>1305</v>
      </c>
      <c r="QYE32" t="s">
        <v>251</v>
      </c>
      <c r="QYF32" t="s">
        <v>1305</v>
      </c>
      <c r="QYG32" t="s">
        <v>251</v>
      </c>
      <c r="QYH32" t="s">
        <v>1305</v>
      </c>
      <c r="QYI32" t="s">
        <v>251</v>
      </c>
      <c r="QYJ32" t="s">
        <v>1305</v>
      </c>
      <c r="QYK32" t="s">
        <v>251</v>
      </c>
      <c r="QYL32" t="s">
        <v>1305</v>
      </c>
      <c r="QYM32" t="s">
        <v>251</v>
      </c>
      <c r="QYN32" t="s">
        <v>1305</v>
      </c>
      <c r="QYO32" t="s">
        <v>251</v>
      </c>
      <c r="QYP32" t="s">
        <v>1305</v>
      </c>
      <c r="QYQ32" t="s">
        <v>251</v>
      </c>
      <c r="QYR32" t="s">
        <v>1305</v>
      </c>
      <c r="QYS32" t="s">
        <v>251</v>
      </c>
      <c r="QYT32" t="s">
        <v>1305</v>
      </c>
      <c r="QYU32" t="s">
        <v>251</v>
      </c>
      <c r="QYV32" t="s">
        <v>1305</v>
      </c>
      <c r="QYW32" t="s">
        <v>251</v>
      </c>
      <c r="QYX32" t="s">
        <v>1305</v>
      </c>
      <c r="QYY32" t="s">
        <v>251</v>
      </c>
      <c r="QYZ32" t="s">
        <v>1305</v>
      </c>
      <c r="QZA32" t="s">
        <v>251</v>
      </c>
      <c r="QZB32" t="s">
        <v>1305</v>
      </c>
      <c r="QZC32" t="s">
        <v>251</v>
      </c>
      <c r="QZD32" t="s">
        <v>1305</v>
      </c>
      <c r="QZE32" t="s">
        <v>251</v>
      </c>
      <c r="QZF32" t="s">
        <v>1305</v>
      </c>
      <c r="QZG32" t="s">
        <v>251</v>
      </c>
      <c r="QZH32" t="s">
        <v>1305</v>
      </c>
      <c r="QZI32" t="s">
        <v>251</v>
      </c>
      <c r="QZJ32" t="s">
        <v>1305</v>
      </c>
      <c r="QZK32" t="s">
        <v>251</v>
      </c>
      <c r="QZL32" t="s">
        <v>1305</v>
      </c>
      <c r="QZM32" t="s">
        <v>251</v>
      </c>
      <c r="QZN32" t="s">
        <v>1305</v>
      </c>
      <c r="QZO32" t="s">
        <v>251</v>
      </c>
      <c r="QZP32" t="s">
        <v>1305</v>
      </c>
      <c r="QZQ32" t="s">
        <v>251</v>
      </c>
      <c r="QZR32" t="s">
        <v>1305</v>
      </c>
      <c r="QZS32" t="s">
        <v>251</v>
      </c>
      <c r="QZT32" t="s">
        <v>1305</v>
      </c>
      <c r="QZU32" t="s">
        <v>251</v>
      </c>
      <c r="QZV32" t="s">
        <v>1305</v>
      </c>
      <c r="QZW32" t="s">
        <v>251</v>
      </c>
      <c r="QZX32" t="s">
        <v>1305</v>
      </c>
      <c r="QZY32" t="s">
        <v>251</v>
      </c>
      <c r="QZZ32" t="s">
        <v>1305</v>
      </c>
      <c r="RAA32" t="s">
        <v>251</v>
      </c>
      <c r="RAB32" t="s">
        <v>1305</v>
      </c>
      <c r="RAC32" t="s">
        <v>251</v>
      </c>
      <c r="RAD32" t="s">
        <v>1305</v>
      </c>
      <c r="RAE32" t="s">
        <v>251</v>
      </c>
      <c r="RAF32" t="s">
        <v>1305</v>
      </c>
      <c r="RAG32" t="s">
        <v>251</v>
      </c>
      <c r="RAH32" t="s">
        <v>1305</v>
      </c>
      <c r="RAI32" t="s">
        <v>251</v>
      </c>
      <c r="RAJ32" t="s">
        <v>1305</v>
      </c>
      <c r="RAK32" t="s">
        <v>251</v>
      </c>
      <c r="RAL32" t="s">
        <v>1305</v>
      </c>
      <c r="RAM32" t="s">
        <v>251</v>
      </c>
      <c r="RAN32" t="s">
        <v>1305</v>
      </c>
      <c r="RAO32" t="s">
        <v>251</v>
      </c>
      <c r="RAP32" t="s">
        <v>1305</v>
      </c>
      <c r="RAQ32" t="s">
        <v>251</v>
      </c>
      <c r="RAR32" t="s">
        <v>1305</v>
      </c>
      <c r="RAS32" t="s">
        <v>251</v>
      </c>
      <c r="RAT32" t="s">
        <v>1305</v>
      </c>
      <c r="RAU32" t="s">
        <v>251</v>
      </c>
      <c r="RAV32" t="s">
        <v>1305</v>
      </c>
      <c r="RAW32" t="s">
        <v>251</v>
      </c>
      <c r="RAX32" t="s">
        <v>1305</v>
      </c>
      <c r="RAY32" t="s">
        <v>251</v>
      </c>
      <c r="RAZ32" t="s">
        <v>1305</v>
      </c>
      <c r="RBA32" t="s">
        <v>251</v>
      </c>
      <c r="RBB32" t="s">
        <v>1305</v>
      </c>
      <c r="RBC32" t="s">
        <v>251</v>
      </c>
      <c r="RBD32" t="s">
        <v>1305</v>
      </c>
      <c r="RBE32" t="s">
        <v>251</v>
      </c>
      <c r="RBF32" t="s">
        <v>1305</v>
      </c>
      <c r="RBG32" t="s">
        <v>251</v>
      </c>
      <c r="RBH32" t="s">
        <v>1305</v>
      </c>
      <c r="RBI32" t="s">
        <v>251</v>
      </c>
      <c r="RBJ32" t="s">
        <v>1305</v>
      </c>
      <c r="RBK32" t="s">
        <v>251</v>
      </c>
      <c r="RBL32" t="s">
        <v>1305</v>
      </c>
      <c r="RBM32" t="s">
        <v>251</v>
      </c>
      <c r="RBN32" t="s">
        <v>1305</v>
      </c>
      <c r="RBO32" t="s">
        <v>251</v>
      </c>
      <c r="RBP32" t="s">
        <v>1305</v>
      </c>
      <c r="RBQ32" t="s">
        <v>251</v>
      </c>
      <c r="RBR32" t="s">
        <v>1305</v>
      </c>
      <c r="RBS32" t="s">
        <v>251</v>
      </c>
      <c r="RBT32" t="s">
        <v>1305</v>
      </c>
      <c r="RBU32" t="s">
        <v>251</v>
      </c>
      <c r="RBV32" t="s">
        <v>1305</v>
      </c>
      <c r="RBW32" t="s">
        <v>251</v>
      </c>
      <c r="RBX32" t="s">
        <v>1305</v>
      </c>
      <c r="RBY32" t="s">
        <v>251</v>
      </c>
      <c r="RBZ32" t="s">
        <v>1305</v>
      </c>
      <c r="RCA32" t="s">
        <v>251</v>
      </c>
      <c r="RCB32" t="s">
        <v>1305</v>
      </c>
      <c r="RCC32" t="s">
        <v>251</v>
      </c>
      <c r="RCD32" t="s">
        <v>1305</v>
      </c>
      <c r="RCE32" t="s">
        <v>251</v>
      </c>
      <c r="RCF32" t="s">
        <v>1305</v>
      </c>
      <c r="RCG32" t="s">
        <v>251</v>
      </c>
      <c r="RCH32" t="s">
        <v>1305</v>
      </c>
      <c r="RCI32" t="s">
        <v>251</v>
      </c>
      <c r="RCJ32" t="s">
        <v>1305</v>
      </c>
      <c r="RCK32" t="s">
        <v>251</v>
      </c>
      <c r="RCL32" t="s">
        <v>1305</v>
      </c>
      <c r="RCM32" t="s">
        <v>251</v>
      </c>
      <c r="RCN32" t="s">
        <v>1305</v>
      </c>
      <c r="RCO32" t="s">
        <v>251</v>
      </c>
      <c r="RCP32" t="s">
        <v>1305</v>
      </c>
      <c r="RCQ32" t="s">
        <v>251</v>
      </c>
      <c r="RCR32" t="s">
        <v>1305</v>
      </c>
      <c r="RCS32" t="s">
        <v>251</v>
      </c>
      <c r="RCT32" t="s">
        <v>1305</v>
      </c>
      <c r="RCU32" t="s">
        <v>251</v>
      </c>
      <c r="RCV32" t="s">
        <v>1305</v>
      </c>
      <c r="RCW32" t="s">
        <v>251</v>
      </c>
      <c r="RCX32" t="s">
        <v>1305</v>
      </c>
      <c r="RCY32" t="s">
        <v>251</v>
      </c>
      <c r="RCZ32" t="s">
        <v>1305</v>
      </c>
      <c r="RDA32" t="s">
        <v>251</v>
      </c>
      <c r="RDB32" t="s">
        <v>1305</v>
      </c>
      <c r="RDC32" t="s">
        <v>251</v>
      </c>
      <c r="RDD32" t="s">
        <v>1305</v>
      </c>
      <c r="RDE32" t="s">
        <v>251</v>
      </c>
      <c r="RDF32" t="s">
        <v>1305</v>
      </c>
      <c r="RDG32" t="s">
        <v>251</v>
      </c>
      <c r="RDH32" t="s">
        <v>1305</v>
      </c>
      <c r="RDI32" t="s">
        <v>251</v>
      </c>
      <c r="RDJ32" t="s">
        <v>1305</v>
      </c>
      <c r="RDK32" t="s">
        <v>251</v>
      </c>
      <c r="RDL32" t="s">
        <v>1305</v>
      </c>
      <c r="RDM32" t="s">
        <v>251</v>
      </c>
      <c r="RDN32" t="s">
        <v>1305</v>
      </c>
      <c r="RDO32" t="s">
        <v>251</v>
      </c>
      <c r="RDP32" t="s">
        <v>1305</v>
      </c>
      <c r="RDQ32" t="s">
        <v>251</v>
      </c>
      <c r="RDR32" t="s">
        <v>1305</v>
      </c>
      <c r="RDS32" t="s">
        <v>251</v>
      </c>
      <c r="RDT32" t="s">
        <v>1305</v>
      </c>
      <c r="RDU32" t="s">
        <v>251</v>
      </c>
      <c r="RDV32" t="s">
        <v>1305</v>
      </c>
      <c r="RDW32" t="s">
        <v>251</v>
      </c>
      <c r="RDX32" t="s">
        <v>1305</v>
      </c>
      <c r="RDY32" t="s">
        <v>251</v>
      </c>
      <c r="RDZ32" t="s">
        <v>1305</v>
      </c>
      <c r="REA32" t="s">
        <v>251</v>
      </c>
      <c r="REB32" t="s">
        <v>1305</v>
      </c>
      <c r="REC32" t="s">
        <v>251</v>
      </c>
      <c r="RED32" t="s">
        <v>1305</v>
      </c>
      <c r="REE32" t="s">
        <v>251</v>
      </c>
      <c r="REF32" t="s">
        <v>1305</v>
      </c>
      <c r="REG32" t="s">
        <v>251</v>
      </c>
      <c r="REH32" t="s">
        <v>1305</v>
      </c>
      <c r="REI32" t="s">
        <v>251</v>
      </c>
      <c r="REJ32" t="s">
        <v>1305</v>
      </c>
      <c r="REK32" t="s">
        <v>251</v>
      </c>
      <c r="REL32" t="s">
        <v>1305</v>
      </c>
      <c r="REM32" t="s">
        <v>251</v>
      </c>
      <c r="REN32" t="s">
        <v>1305</v>
      </c>
      <c r="REO32" t="s">
        <v>251</v>
      </c>
      <c r="REP32" t="s">
        <v>1305</v>
      </c>
      <c r="REQ32" t="s">
        <v>251</v>
      </c>
      <c r="RER32" t="s">
        <v>1305</v>
      </c>
      <c r="RES32" t="s">
        <v>251</v>
      </c>
      <c r="RET32" t="s">
        <v>1305</v>
      </c>
      <c r="REU32" t="s">
        <v>251</v>
      </c>
      <c r="REV32" t="s">
        <v>1305</v>
      </c>
      <c r="REW32" t="s">
        <v>251</v>
      </c>
      <c r="REX32" t="s">
        <v>1305</v>
      </c>
      <c r="REY32" t="s">
        <v>251</v>
      </c>
      <c r="REZ32" t="s">
        <v>1305</v>
      </c>
      <c r="RFA32" t="s">
        <v>251</v>
      </c>
      <c r="RFB32" t="s">
        <v>1305</v>
      </c>
      <c r="RFC32" t="s">
        <v>251</v>
      </c>
      <c r="RFD32" t="s">
        <v>1305</v>
      </c>
      <c r="RFE32" t="s">
        <v>251</v>
      </c>
      <c r="RFF32" t="s">
        <v>1305</v>
      </c>
      <c r="RFG32" t="s">
        <v>251</v>
      </c>
      <c r="RFH32" t="s">
        <v>1305</v>
      </c>
      <c r="RFI32" t="s">
        <v>251</v>
      </c>
      <c r="RFJ32" t="s">
        <v>1305</v>
      </c>
      <c r="RFK32" t="s">
        <v>251</v>
      </c>
      <c r="RFL32" t="s">
        <v>1305</v>
      </c>
      <c r="RFM32" t="s">
        <v>251</v>
      </c>
      <c r="RFN32" t="s">
        <v>1305</v>
      </c>
      <c r="RFO32" t="s">
        <v>251</v>
      </c>
      <c r="RFP32" t="s">
        <v>1305</v>
      </c>
      <c r="RFQ32" t="s">
        <v>251</v>
      </c>
      <c r="RFR32" t="s">
        <v>1305</v>
      </c>
      <c r="RFS32" t="s">
        <v>251</v>
      </c>
      <c r="RFT32" t="s">
        <v>1305</v>
      </c>
      <c r="RFU32" t="s">
        <v>251</v>
      </c>
      <c r="RFV32" t="s">
        <v>1305</v>
      </c>
      <c r="RFW32" t="s">
        <v>251</v>
      </c>
      <c r="RFX32" t="s">
        <v>1305</v>
      </c>
      <c r="RFY32" t="s">
        <v>251</v>
      </c>
      <c r="RFZ32" t="s">
        <v>1305</v>
      </c>
      <c r="RGA32" t="s">
        <v>251</v>
      </c>
      <c r="RGB32" t="s">
        <v>1305</v>
      </c>
      <c r="RGC32" t="s">
        <v>251</v>
      </c>
      <c r="RGD32" t="s">
        <v>1305</v>
      </c>
      <c r="RGE32" t="s">
        <v>251</v>
      </c>
      <c r="RGF32" t="s">
        <v>1305</v>
      </c>
      <c r="RGG32" t="s">
        <v>251</v>
      </c>
      <c r="RGH32" t="s">
        <v>1305</v>
      </c>
      <c r="RGI32" t="s">
        <v>251</v>
      </c>
      <c r="RGJ32" t="s">
        <v>1305</v>
      </c>
      <c r="RGK32" t="s">
        <v>251</v>
      </c>
      <c r="RGL32" t="s">
        <v>1305</v>
      </c>
      <c r="RGM32" t="s">
        <v>251</v>
      </c>
      <c r="RGN32" t="s">
        <v>1305</v>
      </c>
      <c r="RGO32" t="s">
        <v>251</v>
      </c>
      <c r="RGP32" t="s">
        <v>1305</v>
      </c>
      <c r="RGQ32" t="s">
        <v>251</v>
      </c>
      <c r="RGR32" t="s">
        <v>1305</v>
      </c>
      <c r="RGS32" t="s">
        <v>251</v>
      </c>
      <c r="RGT32" t="s">
        <v>1305</v>
      </c>
      <c r="RGU32" t="s">
        <v>251</v>
      </c>
      <c r="RGV32" t="s">
        <v>1305</v>
      </c>
      <c r="RGW32" t="s">
        <v>251</v>
      </c>
      <c r="RGX32" t="s">
        <v>1305</v>
      </c>
      <c r="RGY32" t="s">
        <v>251</v>
      </c>
      <c r="RGZ32" t="s">
        <v>1305</v>
      </c>
      <c r="RHA32" t="s">
        <v>251</v>
      </c>
      <c r="RHB32" t="s">
        <v>1305</v>
      </c>
      <c r="RHC32" t="s">
        <v>251</v>
      </c>
      <c r="RHD32" t="s">
        <v>1305</v>
      </c>
      <c r="RHE32" t="s">
        <v>251</v>
      </c>
      <c r="RHF32" t="s">
        <v>1305</v>
      </c>
      <c r="RHG32" t="s">
        <v>251</v>
      </c>
      <c r="RHH32" t="s">
        <v>1305</v>
      </c>
      <c r="RHI32" t="s">
        <v>251</v>
      </c>
      <c r="RHJ32" t="s">
        <v>1305</v>
      </c>
      <c r="RHK32" t="s">
        <v>251</v>
      </c>
      <c r="RHL32" t="s">
        <v>1305</v>
      </c>
      <c r="RHM32" t="s">
        <v>251</v>
      </c>
      <c r="RHN32" t="s">
        <v>1305</v>
      </c>
      <c r="RHO32" t="s">
        <v>251</v>
      </c>
      <c r="RHP32" t="s">
        <v>1305</v>
      </c>
      <c r="RHQ32" t="s">
        <v>251</v>
      </c>
      <c r="RHR32" t="s">
        <v>1305</v>
      </c>
      <c r="RHS32" t="s">
        <v>251</v>
      </c>
      <c r="RHT32" t="s">
        <v>1305</v>
      </c>
      <c r="RHU32" t="s">
        <v>251</v>
      </c>
      <c r="RHV32" t="s">
        <v>1305</v>
      </c>
      <c r="RHW32" t="s">
        <v>251</v>
      </c>
      <c r="RHX32" t="s">
        <v>1305</v>
      </c>
      <c r="RHY32" t="s">
        <v>251</v>
      </c>
      <c r="RHZ32" t="s">
        <v>1305</v>
      </c>
      <c r="RIA32" t="s">
        <v>251</v>
      </c>
      <c r="RIB32" t="s">
        <v>1305</v>
      </c>
      <c r="RIC32" t="s">
        <v>251</v>
      </c>
      <c r="RID32" t="s">
        <v>1305</v>
      </c>
      <c r="RIE32" t="s">
        <v>251</v>
      </c>
      <c r="RIF32" t="s">
        <v>1305</v>
      </c>
      <c r="RIG32" t="s">
        <v>251</v>
      </c>
      <c r="RIH32" t="s">
        <v>1305</v>
      </c>
      <c r="RII32" t="s">
        <v>251</v>
      </c>
      <c r="RIJ32" t="s">
        <v>1305</v>
      </c>
      <c r="RIK32" t="s">
        <v>251</v>
      </c>
      <c r="RIL32" t="s">
        <v>1305</v>
      </c>
      <c r="RIM32" t="s">
        <v>251</v>
      </c>
      <c r="RIN32" t="s">
        <v>1305</v>
      </c>
      <c r="RIO32" t="s">
        <v>251</v>
      </c>
      <c r="RIP32" t="s">
        <v>1305</v>
      </c>
      <c r="RIQ32" t="s">
        <v>251</v>
      </c>
      <c r="RIR32" t="s">
        <v>1305</v>
      </c>
      <c r="RIS32" t="s">
        <v>251</v>
      </c>
      <c r="RIT32" t="s">
        <v>1305</v>
      </c>
      <c r="RIU32" t="s">
        <v>251</v>
      </c>
      <c r="RIV32" t="s">
        <v>1305</v>
      </c>
      <c r="RIW32" t="s">
        <v>251</v>
      </c>
      <c r="RIX32" t="s">
        <v>1305</v>
      </c>
      <c r="RIY32" t="s">
        <v>251</v>
      </c>
      <c r="RIZ32" t="s">
        <v>1305</v>
      </c>
      <c r="RJA32" t="s">
        <v>251</v>
      </c>
      <c r="RJB32" t="s">
        <v>1305</v>
      </c>
      <c r="RJC32" t="s">
        <v>251</v>
      </c>
      <c r="RJD32" t="s">
        <v>1305</v>
      </c>
      <c r="RJE32" t="s">
        <v>251</v>
      </c>
      <c r="RJF32" t="s">
        <v>1305</v>
      </c>
      <c r="RJG32" t="s">
        <v>251</v>
      </c>
      <c r="RJH32" t="s">
        <v>1305</v>
      </c>
      <c r="RJI32" t="s">
        <v>251</v>
      </c>
      <c r="RJJ32" t="s">
        <v>1305</v>
      </c>
      <c r="RJK32" t="s">
        <v>251</v>
      </c>
      <c r="RJL32" t="s">
        <v>1305</v>
      </c>
      <c r="RJM32" t="s">
        <v>251</v>
      </c>
      <c r="RJN32" t="s">
        <v>1305</v>
      </c>
      <c r="RJO32" t="s">
        <v>251</v>
      </c>
      <c r="RJP32" t="s">
        <v>1305</v>
      </c>
      <c r="RJQ32" t="s">
        <v>251</v>
      </c>
      <c r="RJR32" t="s">
        <v>1305</v>
      </c>
      <c r="RJS32" t="s">
        <v>251</v>
      </c>
      <c r="RJT32" t="s">
        <v>1305</v>
      </c>
      <c r="RJU32" t="s">
        <v>251</v>
      </c>
      <c r="RJV32" t="s">
        <v>1305</v>
      </c>
      <c r="RJW32" t="s">
        <v>251</v>
      </c>
      <c r="RJX32" t="s">
        <v>1305</v>
      </c>
      <c r="RJY32" t="s">
        <v>251</v>
      </c>
      <c r="RJZ32" t="s">
        <v>1305</v>
      </c>
      <c r="RKA32" t="s">
        <v>251</v>
      </c>
      <c r="RKB32" t="s">
        <v>1305</v>
      </c>
      <c r="RKC32" t="s">
        <v>251</v>
      </c>
      <c r="RKD32" t="s">
        <v>1305</v>
      </c>
      <c r="RKE32" t="s">
        <v>251</v>
      </c>
      <c r="RKF32" t="s">
        <v>1305</v>
      </c>
      <c r="RKG32" t="s">
        <v>251</v>
      </c>
      <c r="RKH32" t="s">
        <v>1305</v>
      </c>
      <c r="RKI32" t="s">
        <v>251</v>
      </c>
      <c r="RKJ32" t="s">
        <v>1305</v>
      </c>
      <c r="RKK32" t="s">
        <v>251</v>
      </c>
      <c r="RKL32" t="s">
        <v>1305</v>
      </c>
      <c r="RKM32" t="s">
        <v>251</v>
      </c>
      <c r="RKN32" t="s">
        <v>1305</v>
      </c>
      <c r="RKO32" t="s">
        <v>251</v>
      </c>
      <c r="RKP32" t="s">
        <v>1305</v>
      </c>
      <c r="RKQ32" t="s">
        <v>251</v>
      </c>
      <c r="RKR32" t="s">
        <v>1305</v>
      </c>
      <c r="RKS32" t="s">
        <v>251</v>
      </c>
      <c r="RKT32" t="s">
        <v>1305</v>
      </c>
      <c r="RKU32" t="s">
        <v>251</v>
      </c>
      <c r="RKV32" t="s">
        <v>1305</v>
      </c>
      <c r="RKW32" t="s">
        <v>251</v>
      </c>
      <c r="RKX32" t="s">
        <v>1305</v>
      </c>
      <c r="RKY32" t="s">
        <v>251</v>
      </c>
      <c r="RKZ32" t="s">
        <v>1305</v>
      </c>
      <c r="RLA32" t="s">
        <v>251</v>
      </c>
      <c r="RLB32" t="s">
        <v>1305</v>
      </c>
      <c r="RLC32" t="s">
        <v>251</v>
      </c>
      <c r="RLD32" t="s">
        <v>1305</v>
      </c>
      <c r="RLE32" t="s">
        <v>251</v>
      </c>
      <c r="RLF32" t="s">
        <v>1305</v>
      </c>
      <c r="RLG32" t="s">
        <v>251</v>
      </c>
      <c r="RLH32" t="s">
        <v>1305</v>
      </c>
      <c r="RLI32" t="s">
        <v>251</v>
      </c>
      <c r="RLJ32" t="s">
        <v>1305</v>
      </c>
      <c r="RLK32" t="s">
        <v>251</v>
      </c>
      <c r="RLL32" t="s">
        <v>1305</v>
      </c>
      <c r="RLM32" t="s">
        <v>251</v>
      </c>
      <c r="RLN32" t="s">
        <v>1305</v>
      </c>
      <c r="RLO32" t="s">
        <v>251</v>
      </c>
      <c r="RLP32" t="s">
        <v>1305</v>
      </c>
      <c r="RLQ32" t="s">
        <v>251</v>
      </c>
      <c r="RLR32" t="s">
        <v>1305</v>
      </c>
      <c r="RLS32" t="s">
        <v>251</v>
      </c>
      <c r="RLT32" t="s">
        <v>1305</v>
      </c>
      <c r="RLU32" t="s">
        <v>251</v>
      </c>
      <c r="RLV32" t="s">
        <v>1305</v>
      </c>
      <c r="RLW32" t="s">
        <v>251</v>
      </c>
      <c r="RLX32" t="s">
        <v>1305</v>
      </c>
      <c r="RLY32" t="s">
        <v>251</v>
      </c>
      <c r="RLZ32" t="s">
        <v>1305</v>
      </c>
      <c r="RMA32" t="s">
        <v>251</v>
      </c>
      <c r="RMB32" t="s">
        <v>1305</v>
      </c>
      <c r="RMC32" t="s">
        <v>251</v>
      </c>
      <c r="RMD32" t="s">
        <v>1305</v>
      </c>
      <c r="RME32" t="s">
        <v>251</v>
      </c>
      <c r="RMF32" t="s">
        <v>1305</v>
      </c>
      <c r="RMG32" t="s">
        <v>251</v>
      </c>
      <c r="RMH32" t="s">
        <v>1305</v>
      </c>
      <c r="RMI32" t="s">
        <v>251</v>
      </c>
      <c r="RMJ32" t="s">
        <v>1305</v>
      </c>
      <c r="RMK32" t="s">
        <v>251</v>
      </c>
      <c r="RML32" t="s">
        <v>1305</v>
      </c>
      <c r="RMM32" t="s">
        <v>251</v>
      </c>
      <c r="RMN32" t="s">
        <v>1305</v>
      </c>
      <c r="RMO32" t="s">
        <v>251</v>
      </c>
      <c r="RMP32" t="s">
        <v>1305</v>
      </c>
      <c r="RMQ32" t="s">
        <v>251</v>
      </c>
      <c r="RMR32" t="s">
        <v>1305</v>
      </c>
      <c r="RMS32" t="s">
        <v>251</v>
      </c>
      <c r="RMT32" t="s">
        <v>1305</v>
      </c>
      <c r="RMU32" t="s">
        <v>251</v>
      </c>
      <c r="RMV32" t="s">
        <v>1305</v>
      </c>
      <c r="RMW32" t="s">
        <v>251</v>
      </c>
      <c r="RMX32" t="s">
        <v>1305</v>
      </c>
      <c r="RMY32" t="s">
        <v>251</v>
      </c>
      <c r="RMZ32" t="s">
        <v>1305</v>
      </c>
      <c r="RNA32" t="s">
        <v>251</v>
      </c>
      <c r="RNB32" t="s">
        <v>1305</v>
      </c>
      <c r="RNC32" t="s">
        <v>251</v>
      </c>
      <c r="RND32" t="s">
        <v>1305</v>
      </c>
      <c r="RNE32" t="s">
        <v>251</v>
      </c>
      <c r="RNF32" t="s">
        <v>1305</v>
      </c>
      <c r="RNG32" t="s">
        <v>251</v>
      </c>
      <c r="RNH32" t="s">
        <v>1305</v>
      </c>
      <c r="RNI32" t="s">
        <v>251</v>
      </c>
      <c r="RNJ32" t="s">
        <v>1305</v>
      </c>
      <c r="RNK32" t="s">
        <v>251</v>
      </c>
      <c r="RNL32" t="s">
        <v>1305</v>
      </c>
      <c r="RNM32" t="s">
        <v>251</v>
      </c>
      <c r="RNN32" t="s">
        <v>1305</v>
      </c>
      <c r="RNO32" t="s">
        <v>251</v>
      </c>
      <c r="RNP32" t="s">
        <v>1305</v>
      </c>
      <c r="RNQ32" t="s">
        <v>251</v>
      </c>
      <c r="RNR32" t="s">
        <v>1305</v>
      </c>
      <c r="RNS32" t="s">
        <v>251</v>
      </c>
      <c r="RNT32" t="s">
        <v>1305</v>
      </c>
      <c r="RNU32" t="s">
        <v>251</v>
      </c>
      <c r="RNV32" t="s">
        <v>1305</v>
      </c>
      <c r="RNW32" t="s">
        <v>251</v>
      </c>
      <c r="RNX32" t="s">
        <v>1305</v>
      </c>
      <c r="RNY32" t="s">
        <v>251</v>
      </c>
      <c r="RNZ32" t="s">
        <v>1305</v>
      </c>
      <c r="ROA32" t="s">
        <v>251</v>
      </c>
      <c r="ROB32" t="s">
        <v>1305</v>
      </c>
      <c r="ROC32" t="s">
        <v>251</v>
      </c>
      <c r="ROD32" t="s">
        <v>1305</v>
      </c>
      <c r="ROE32" t="s">
        <v>251</v>
      </c>
      <c r="ROF32" t="s">
        <v>1305</v>
      </c>
      <c r="ROG32" t="s">
        <v>251</v>
      </c>
      <c r="ROH32" t="s">
        <v>1305</v>
      </c>
      <c r="ROI32" t="s">
        <v>251</v>
      </c>
      <c r="ROJ32" t="s">
        <v>1305</v>
      </c>
      <c r="ROK32" t="s">
        <v>251</v>
      </c>
      <c r="ROL32" t="s">
        <v>1305</v>
      </c>
      <c r="ROM32" t="s">
        <v>251</v>
      </c>
      <c r="RON32" t="s">
        <v>1305</v>
      </c>
      <c r="ROO32" t="s">
        <v>251</v>
      </c>
      <c r="ROP32" t="s">
        <v>1305</v>
      </c>
      <c r="ROQ32" t="s">
        <v>251</v>
      </c>
      <c r="ROR32" t="s">
        <v>1305</v>
      </c>
      <c r="ROS32" t="s">
        <v>251</v>
      </c>
      <c r="ROT32" t="s">
        <v>1305</v>
      </c>
      <c r="ROU32" t="s">
        <v>251</v>
      </c>
      <c r="ROV32" t="s">
        <v>1305</v>
      </c>
      <c r="ROW32" t="s">
        <v>251</v>
      </c>
      <c r="ROX32" t="s">
        <v>1305</v>
      </c>
      <c r="ROY32" t="s">
        <v>251</v>
      </c>
      <c r="ROZ32" t="s">
        <v>1305</v>
      </c>
      <c r="RPA32" t="s">
        <v>251</v>
      </c>
      <c r="RPB32" t="s">
        <v>1305</v>
      </c>
      <c r="RPC32" t="s">
        <v>251</v>
      </c>
      <c r="RPD32" t="s">
        <v>1305</v>
      </c>
      <c r="RPE32" t="s">
        <v>251</v>
      </c>
      <c r="RPF32" t="s">
        <v>1305</v>
      </c>
      <c r="RPG32" t="s">
        <v>251</v>
      </c>
      <c r="RPH32" t="s">
        <v>1305</v>
      </c>
      <c r="RPI32" t="s">
        <v>251</v>
      </c>
      <c r="RPJ32" t="s">
        <v>1305</v>
      </c>
      <c r="RPK32" t="s">
        <v>251</v>
      </c>
      <c r="RPL32" t="s">
        <v>1305</v>
      </c>
      <c r="RPM32" t="s">
        <v>251</v>
      </c>
      <c r="RPN32" t="s">
        <v>1305</v>
      </c>
      <c r="RPO32" t="s">
        <v>251</v>
      </c>
      <c r="RPP32" t="s">
        <v>1305</v>
      </c>
      <c r="RPQ32" t="s">
        <v>251</v>
      </c>
      <c r="RPR32" t="s">
        <v>1305</v>
      </c>
      <c r="RPS32" t="s">
        <v>251</v>
      </c>
      <c r="RPT32" t="s">
        <v>1305</v>
      </c>
      <c r="RPU32" t="s">
        <v>251</v>
      </c>
      <c r="RPV32" t="s">
        <v>1305</v>
      </c>
      <c r="RPW32" t="s">
        <v>251</v>
      </c>
      <c r="RPX32" t="s">
        <v>1305</v>
      </c>
      <c r="RPY32" t="s">
        <v>251</v>
      </c>
      <c r="RPZ32" t="s">
        <v>1305</v>
      </c>
      <c r="RQA32" t="s">
        <v>251</v>
      </c>
      <c r="RQB32" t="s">
        <v>1305</v>
      </c>
      <c r="RQC32" t="s">
        <v>251</v>
      </c>
      <c r="RQD32" t="s">
        <v>1305</v>
      </c>
      <c r="RQE32" t="s">
        <v>251</v>
      </c>
      <c r="RQF32" t="s">
        <v>1305</v>
      </c>
      <c r="RQG32" t="s">
        <v>251</v>
      </c>
      <c r="RQH32" t="s">
        <v>1305</v>
      </c>
      <c r="RQI32" t="s">
        <v>251</v>
      </c>
      <c r="RQJ32" t="s">
        <v>1305</v>
      </c>
      <c r="RQK32" t="s">
        <v>251</v>
      </c>
      <c r="RQL32" t="s">
        <v>1305</v>
      </c>
      <c r="RQM32" t="s">
        <v>251</v>
      </c>
      <c r="RQN32" t="s">
        <v>1305</v>
      </c>
      <c r="RQO32" t="s">
        <v>251</v>
      </c>
      <c r="RQP32" t="s">
        <v>1305</v>
      </c>
      <c r="RQQ32" t="s">
        <v>251</v>
      </c>
      <c r="RQR32" t="s">
        <v>1305</v>
      </c>
      <c r="RQS32" t="s">
        <v>251</v>
      </c>
      <c r="RQT32" t="s">
        <v>1305</v>
      </c>
      <c r="RQU32" t="s">
        <v>251</v>
      </c>
      <c r="RQV32" t="s">
        <v>1305</v>
      </c>
      <c r="RQW32" t="s">
        <v>251</v>
      </c>
      <c r="RQX32" t="s">
        <v>1305</v>
      </c>
      <c r="RQY32" t="s">
        <v>251</v>
      </c>
      <c r="RQZ32" t="s">
        <v>1305</v>
      </c>
      <c r="RRA32" t="s">
        <v>251</v>
      </c>
      <c r="RRB32" t="s">
        <v>1305</v>
      </c>
      <c r="RRC32" t="s">
        <v>251</v>
      </c>
      <c r="RRD32" t="s">
        <v>1305</v>
      </c>
      <c r="RRE32" t="s">
        <v>251</v>
      </c>
      <c r="RRF32" t="s">
        <v>1305</v>
      </c>
      <c r="RRG32" t="s">
        <v>251</v>
      </c>
      <c r="RRH32" t="s">
        <v>1305</v>
      </c>
      <c r="RRI32" t="s">
        <v>251</v>
      </c>
      <c r="RRJ32" t="s">
        <v>1305</v>
      </c>
      <c r="RRK32" t="s">
        <v>251</v>
      </c>
      <c r="RRL32" t="s">
        <v>1305</v>
      </c>
      <c r="RRM32" t="s">
        <v>251</v>
      </c>
      <c r="RRN32" t="s">
        <v>1305</v>
      </c>
      <c r="RRO32" t="s">
        <v>251</v>
      </c>
      <c r="RRP32" t="s">
        <v>1305</v>
      </c>
      <c r="RRQ32" t="s">
        <v>251</v>
      </c>
      <c r="RRR32" t="s">
        <v>1305</v>
      </c>
      <c r="RRS32" t="s">
        <v>251</v>
      </c>
      <c r="RRT32" t="s">
        <v>1305</v>
      </c>
      <c r="RRU32" t="s">
        <v>251</v>
      </c>
      <c r="RRV32" t="s">
        <v>1305</v>
      </c>
      <c r="RRW32" t="s">
        <v>251</v>
      </c>
      <c r="RRX32" t="s">
        <v>1305</v>
      </c>
      <c r="RRY32" t="s">
        <v>251</v>
      </c>
      <c r="RRZ32" t="s">
        <v>1305</v>
      </c>
      <c r="RSA32" t="s">
        <v>251</v>
      </c>
      <c r="RSB32" t="s">
        <v>1305</v>
      </c>
      <c r="RSC32" t="s">
        <v>251</v>
      </c>
      <c r="RSD32" t="s">
        <v>1305</v>
      </c>
      <c r="RSE32" t="s">
        <v>251</v>
      </c>
      <c r="RSF32" t="s">
        <v>1305</v>
      </c>
      <c r="RSG32" t="s">
        <v>251</v>
      </c>
      <c r="RSH32" t="s">
        <v>1305</v>
      </c>
      <c r="RSI32" t="s">
        <v>251</v>
      </c>
      <c r="RSJ32" t="s">
        <v>1305</v>
      </c>
      <c r="RSK32" t="s">
        <v>251</v>
      </c>
      <c r="RSL32" t="s">
        <v>1305</v>
      </c>
      <c r="RSM32" t="s">
        <v>251</v>
      </c>
      <c r="RSN32" t="s">
        <v>1305</v>
      </c>
      <c r="RSO32" t="s">
        <v>251</v>
      </c>
      <c r="RSP32" t="s">
        <v>1305</v>
      </c>
      <c r="RSQ32" t="s">
        <v>251</v>
      </c>
      <c r="RSR32" t="s">
        <v>1305</v>
      </c>
      <c r="RSS32" t="s">
        <v>251</v>
      </c>
      <c r="RST32" t="s">
        <v>1305</v>
      </c>
      <c r="RSU32" t="s">
        <v>251</v>
      </c>
      <c r="RSV32" t="s">
        <v>1305</v>
      </c>
      <c r="RSW32" t="s">
        <v>251</v>
      </c>
      <c r="RSX32" t="s">
        <v>1305</v>
      </c>
      <c r="RSY32" t="s">
        <v>251</v>
      </c>
      <c r="RSZ32" t="s">
        <v>1305</v>
      </c>
      <c r="RTA32" t="s">
        <v>251</v>
      </c>
      <c r="RTB32" t="s">
        <v>1305</v>
      </c>
      <c r="RTC32" t="s">
        <v>251</v>
      </c>
      <c r="RTD32" t="s">
        <v>1305</v>
      </c>
      <c r="RTE32" t="s">
        <v>251</v>
      </c>
      <c r="RTF32" t="s">
        <v>1305</v>
      </c>
      <c r="RTG32" t="s">
        <v>251</v>
      </c>
      <c r="RTH32" t="s">
        <v>1305</v>
      </c>
      <c r="RTI32" t="s">
        <v>251</v>
      </c>
      <c r="RTJ32" t="s">
        <v>1305</v>
      </c>
      <c r="RTK32" t="s">
        <v>251</v>
      </c>
      <c r="RTL32" t="s">
        <v>1305</v>
      </c>
      <c r="RTM32" t="s">
        <v>251</v>
      </c>
      <c r="RTN32" t="s">
        <v>1305</v>
      </c>
      <c r="RTO32" t="s">
        <v>251</v>
      </c>
      <c r="RTP32" t="s">
        <v>1305</v>
      </c>
      <c r="RTQ32" t="s">
        <v>251</v>
      </c>
      <c r="RTR32" t="s">
        <v>1305</v>
      </c>
      <c r="RTS32" t="s">
        <v>251</v>
      </c>
      <c r="RTT32" t="s">
        <v>1305</v>
      </c>
      <c r="RTU32" t="s">
        <v>251</v>
      </c>
      <c r="RTV32" t="s">
        <v>1305</v>
      </c>
      <c r="RTW32" t="s">
        <v>251</v>
      </c>
      <c r="RTX32" t="s">
        <v>1305</v>
      </c>
      <c r="RTY32" t="s">
        <v>251</v>
      </c>
      <c r="RTZ32" t="s">
        <v>1305</v>
      </c>
      <c r="RUA32" t="s">
        <v>251</v>
      </c>
      <c r="RUB32" t="s">
        <v>1305</v>
      </c>
      <c r="RUC32" t="s">
        <v>251</v>
      </c>
      <c r="RUD32" t="s">
        <v>1305</v>
      </c>
      <c r="RUE32" t="s">
        <v>251</v>
      </c>
      <c r="RUF32" t="s">
        <v>1305</v>
      </c>
      <c r="RUG32" t="s">
        <v>251</v>
      </c>
      <c r="RUH32" t="s">
        <v>1305</v>
      </c>
      <c r="RUI32" t="s">
        <v>251</v>
      </c>
      <c r="RUJ32" t="s">
        <v>1305</v>
      </c>
      <c r="RUK32" t="s">
        <v>251</v>
      </c>
      <c r="RUL32" t="s">
        <v>1305</v>
      </c>
      <c r="RUM32" t="s">
        <v>251</v>
      </c>
      <c r="RUN32" t="s">
        <v>1305</v>
      </c>
      <c r="RUO32" t="s">
        <v>251</v>
      </c>
      <c r="RUP32" t="s">
        <v>1305</v>
      </c>
      <c r="RUQ32" t="s">
        <v>251</v>
      </c>
      <c r="RUR32" t="s">
        <v>1305</v>
      </c>
      <c r="RUS32" t="s">
        <v>251</v>
      </c>
      <c r="RUT32" t="s">
        <v>1305</v>
      </c>
      <c r="RUU32" t="s">
        <v>251</v>
      </c>
      <c r="RUV32" t="s">
        <v>1305</v>
      </c>
      <c r="RUW32" t="s">
        <v>251</v>
      </c>
      <c r="RUX32" t="s">
        <v>1305</v>
      </c>
      <c r="RUY32" t="s">
        <v>251</v>
      </c>
      <c r="RUZ32" t="s">
        <v>1305</v>
      </c>
      <c r="RVA32" t="s">
        <v>251</v>
      </c>
      <c r="RVB32" t="s">
        <v>1305</v>
      </c>
      <c r="RVC32" t="s">
        <v>251</v>
      </c>
      <c r="RVD32" t="s">
        <v>1305</v>
      </c>
      <c r="RVE32" t="s">
        <v>251</v>
      </c>
      <c r="RVF32" t="s">
        <v>1305</v>
      </c>
      <c r="RVG32" t="s">
        <v>251</v>
      </c>
      <c r="RVH32" t="s">
        <v>1305</v>
      </c>
      <c r="RVI32" t="s">
        <v>251</v>
      </c>
      <c r="RVJ32" t="s">
        <v>1305</v>
      </c>
      <c r="RVK32" t="s">
        <v>251</v>
      </c>
      <c r="RVL32" t="s">
        <v>1305</v>
      </c>
      <c r="RVM32" t="s">
        <v>251</v>
      </c>
      <c r="RVN32" t="s">
        <v>1305</v>
      </c>
      <c r="RVO32" t="s">
        <v>251</v>
      </c>
      <c r="RVP32" t="s">
        <v>1305</v>
      </c>
      <c r="RVQ32" t="s">
        <v>251</v>
      </c>
      <c r="RVR32" t="s">
        <v>1305</v>
      </c>
      <c r="RVS32" t="s">
        <v>251</v>
      </c>
      <c r="RVT32" t="s">
        <v>1305</v>
      </c>
      <c r="RVU32" t="s">
        <v>251</v>
      </c>
      <c r="RVV32" t="s">
        <v>1305</v>
      </c>
      <c r="RVW32" t="s">
        <v>251</v>
      </c>
      <c r="RVX32" t="s">
        <v>1305</v>
      </c>
      <c r="RVY32" t="s">
        <v>251</v>
      </c>
      <c r="RVZ32" t="s">
        <v>1305</v>
      </c>
      <c r="RWA32" t="s">
        <v>251</v>
      </c>
      <c r="RWB32" t="s">
        <v>1305</v>
      </c>
      <c r="RWC32" t="s">
        <v>251</v>
      </c>
      <c r="RWD32" t="s">
        <v>1305</v>
      </c>
      <c r="RWE32" t="s">
        <v>251</v>
      </c>
      <c r="RWF32" t="s">
        <v>1305</v>
      </c>
      <c r="RWG32" t="s">
        <v>251</v>
      </c>
      <c r="RWH32" t="s">
        <v>1305</v>
      </c>
      <c r="RWI32" t="s">
        <v>251</v>
      </c>
      <c r="RWJ32" t="s">
        <v>1305</v>
      </c>
      <c r="RWK32" t="s">
        <v>251</v>
      </c>
      <c r="RWL32" t="s">
        <v>1305</v>
      </c>
      <c r="RWM32" t="s">
        <v>251</v>
      </c>
      <c r="RWN32" t="s">
        <v>1305</v>
      </c>
      <c r="RWO32" t="s">
        <v>251</v>
      </c>
      <c r="RWP32" t="s">
        <v>1305</v>
      </c>
      <c r="RWQ32" t="s">
        <v>251</v>
      </c>
      <c r="RWR32" t="s">
        <v>1305</v>
      </c>
      <c r="RWS32" t="s">
        <v>251</v>
      </c>
      <c r="RWT32" t="s">
        <v>1305</v>
      </c>
      <c r="RWU32" t="s">
        <v>251</v>
      </c>
      <c r="RWV32" t="s">
        <v>1305</v>
      </c>
      <c r="RWW32" t="s">
        <v>251</v>
      </c>
      <c r="RWX32" t="s">
        <v>1305</v>
      </c>
      <c r="RWY32" t="s">
        <v>251</v>
      </c>
      <c r="RWZ32" t="s">
        <v>1305</v>
      </c>
      <c r="RXA32" t="s">
        <v>251</v>
      </c>
      <c r="RXB32" t="s">
        <v>1305</v>
      </c>
      <c r="RXC32" t="s">
        <v>251</v>
      </c>
      <c r="RXD32" t="s">
        <v>1305</v>
      </c>
      <c r="RXE32" t="s">
        <v>251</v>
      </c>
      <c r="RXF32" t="s">
        <v>1305</v>
      </c>
      <c r="RXG32" t="s">
        <v>251</v>
      </c>
      <c r="RXH32" t="s">
        <v>1305</v>
      </c>
      <c r="RXI32" t="s">
        <v>251</v>
      </c>
      <c r="RXJ32" t="s">
        <v>1305</v>
      </c>
      <c r="RXK32" t="s">
        <v>251</v>
      </c>
      <c r="RXL32" t="s">
        <v>1305</v>
      </c>
      <c r="RXM32" t="s">
        <v>251</v>
      </c>
      <c r="RXN32" t="s">
        <v>1305</v>
      </c>
      <c r="RXO32" t="s">
        <v>251</v>
      </c>
      <c r="RXP32" t="s">
        <v>1305</v>
      </c>
      <c r="RXQ32" t="s">
        <v>251</v>
      </c>
      <c r="RXR32" t="s">
        <v>1305</v>
      </c>
      <c r="RXS32" t="s">
        <v>251</v>
      </c>
      <c r="RXT32" t="s">
        <v>1305</v>
      </c>
      <c r="RXU32" t="s">
        <v>251</v>
      </c>
      <c r="RXV32" t="s">
        <v>1305</v>
      </c>
      <c r="RXW32" t="s">
        <v>251</v>
      </c>
      <c r="RXX32" t="s">
        <v>1305</v>
      </c>
      <c r="RXY32" t="s">
        <v>251</v>
      </c>
      <c r="RXZ32" t="s">
        <v>1305</v>
      </c>
      <c r="RYA32" t="s">
        <v>251</v>
      </c>
      <c r="RYB32" t="s">
        <v>1305</v>
      </c>
      <c r="RYC32" t="s">
        <v>251</v>
      </c>
      <c r="RYD32" t="s">
        <v>1305</v>
      </c>
      <c r="RYE32" t="s">
        <v>251</v>
      </c>
      <c r="RYF32" t="s">
        <v>1305</v>
      </c>
      <c r="RYG32" t="s">
        <v>251</v>
      </c>
      <c r="RYH32" t="s">
        <v>1305</v>
      </c>
      <c r="RYI32" t="s">
        <v>251</v>
      </c>
      <c r="RYJ32" t="s">
        <v>1305</v>
      </c>
      <c r="RYK32" t="s">
        <v>251</v>
      </c>
      <c r="RYL32" t="s">
        <v>1305</v>
      </c>
      <c r="RYM32" t="s">
        <v>251</v>
      </c>
      <c r="RYN32" t="s">
        <v>1305</v>
      </c>
      <c r="RYO32" t="s">
        <v>251</v>
      </c>
      <c r="RYP32" t="s">
        <v>1305</v>
      </c>
      <c r="RYQ32" t="s">
        <v>251</v>
      </c>
      <c r="RYR32" t="s">
        <v>1305</v>
      </c>
      <c r="RYS32" t="s">
        <v>251</v>
      </c>
      <c r="RYT32" t="s">
        <v>1305</v>
      </c>
      <c r="RYU32" t="s">
        <v>251</v>
      </c>
      <c r="RYV32" t="s">
        <v>1305</v>
      </c>
      <c r="RYW32" t="s">
        <v>251</v>
      </c>
      <c r="RYX32" t="s">
        <v>1305</v>
      </c>
      <c r="RYY32" t="s">
        <v>251</v>
      </c>
      <c r="RYZ32" t="s">
        <v>1305</v>
      </c>
      <c r="RZA32" t="s">
        <v>251</v>
      </c>
      <c r="RZB32" t="s">
        <v>1305</v>
      </c>
      <c r="RZC32" t="s">
        <v>251</v>
      </c>
      <c r="RZD32" t="s">
        <v>1305</v>
      </c>
      <c r="RZE32" t="s">
        <v>251</v>
      </c>
      <c r="RZF32" t="s">
        <v>1305</v>
      </c>
      <c r="RZG32" t="s">
        <v>251</v>
      </c>
      <c r="RZH32" t="s">
        <v>1305</v>
      </c>
      <c r="RZI32" t="s">
        <v>251</v>
      </c>
      <c r="RZJ32" t="s">
        <v>1305</v>
      </c>
      <c r="RZK32" t="s">
        <v>251</v>
      </c>
      <c r="RZL32" t="s">
        <v>1305</v>
      </c>
      <c r="RZM32" t="s">
        <v>251</v>
      </c>
      <c r="RZN32" t="s">
        <v>1305</v>
      </c>
      <c r="RZO32" t="s">
        <v>251</v>
      </c>
      <c r="RZP32" t="s">
        <v>1305</v>
      </c>
      <c r="RZQ32" t="s">
        <v>251</v>
      </c>
      <c r="RZR32" t="s">
        <v>1305</v>
      </c>
      <c r="RZS32" t="s">
        <v>251</v>
      </c>
      <c r="RZT32" t="s">
        <v>1305</v>
      </c>
      <c r="RZU32" t="s">
        <v>251</v>
      </c>
      <c r="RZV32" t="s">
        <v>1305</v>
      </c>
      <c r="RZW32" t="s">
        <v>251</v>
      </c>
      <c r="RZX32" t="s">
        <v>1305</v>
      </c>
      <c r="RZY32" t="s">
        <v>251</v>
      </c>
      <c r="RZZ32" t="s">
        <v>1305</v>
      </c>
      <c r="SAA32" t="s">
        <v>251</v>
      </c>
      <c r="SAB32" t="s">
        <v>1305</v>
      </c>
      <c r="SAC32" t="s">
        <v>251</v>
      </c>
      <c r="SAD32" t="s">
        <v>1305</v>
      </c>
      <c r="SAE32" t="s">
        <v>251</v>
      </c>
      <c r="SAF32" t="s">
        <v>1305</v>
      </c>
      <c r="SAG32" t="s">
        <v>251</v>
      </c>
      <c r="SAH32" t="s">
        <v>1305</v>
      </c>
      <c r="SAI32" t="s">
        <v>251</v>
      </c>
      <c r="SAJ32" t="s">
        <v>1305</v>
      </c>
      <c r="SAK32" t="s">
        <v>251</v>
      </c>
      <c r="SAL32" t="s">
        <v>1305</v>
      </c>
      <c r="SAM32" t="s">
        <v>251</v>
      </c>
      <c r="SAN32" t="s">
        <v>1305</v>
      </c>
      <c r="SAO32" t="s">
        <v>251</v>
      </c>
      <c r="SAP32" t="s">
        <v>1305</v>
      </c>
      <c r="SAQ32" t="s">
        <v>251</v>
      </c>
      <c r="SAR32" t="s">
        <v>1305</v>
      </c>
      <c r="SAS32" t="s">
        <v>251</v>
      </c>
      <c r="SAT32" t="s">
        <v>1305</v>
      </c>
      <c r="SAU32" t="s">
        <v>251</v>
      </c>
      <c r="SAV32" t="s">
        <v>1305</v>
      </c>
      <c r="SAW32" t="s">
        <v>251</v>
      </c>
      <c r="SAX32" t="s">
        <v>1305</v>
      </c>
      <c r="SAY32" t="s">
        <v>251</v>
      </c>
      <c r="SAZ32" t="s">
        <v>1305</v>
      </c>
      <c r="SBA32" t="s">
        <v>251</v>
      </c>
      <c r="SBB32" t="s">
        <v>1305</v>
      </c>
      <c r="SBC32" t="s">
        <v>251</v>
      </c>
      <c r="SBD32" t="s">
        <v>1305</v>
      </c>
      <c r="SBE32" t="s">
        <v>251</v>
      </c>
      <c r="SBF32" t="s">
        <v>1305</v>
      </c>
      <c r="SBG32" t="s">
        <v>251</v>
      </c>
      <c r="SBH32" t="s">
        <v>1305</v>
      </c>
      <c r="SBI32" t="s">
        <v>251</v>
      </c>
      <c r="SBJ32" t="s">
        <v>1305</v>
      </c>
      <c r="SBK32" t="s">
        <v>251</v>
      </c>
      <c r="SBL32" t="s">
        <v>1305</v>
      </c>
      <c r="SBM32" t="s">
        <v>251</v>
      </c>
      <c r="SBN32" t="s">
        <v>1305</v>
      </c>
      <c r="SBO32" t="s">
        <v>251</v>
      </c>
      <c r="SBP32" t="s">
        <v>1305</v>
      </c>
      <c r="SBQ32" t="s">
        <v>251</v>
      </c>
      <c r="SBR32" t="s">
        <v>1305</v>
      </c>
      <c r="SBS32" t="s">
        <v>251</v>
      </c>
      <c r="SBT32" t="s">
        <v>1305</v>
      </c>
      <c r="SBU32" t="s">
        <v>251</v>
      </c>
      <c r="SBV32" t="s">
        <v>1305</v>
      </c>
      <c r="SBW32" t="s">
        <v>251</v>
      </c>
      <c r="SBX32" t="s">
        <v>1305</v>
      </c>
      <c r="SBY32" t="s">
        <v>251</v>
      </c>
      <c r="SBZ32" t="s">
        <v>1305</v>
      </c>
      <c r="SCA32" t="s">
        <v>251</v>
      </c>
      <c r="SCB32" t="s">
        <v>1305</v>
      </c>
      <c r="SCC32" t="s">
        <v>251</v>
      </c>
      <c r="SCD32" t="s">
        <v>1305</v>
      </c>
      <c r="SCE32" t="s">
        <v>251</v>
      </c>
      <c r="SCF32" t="s">
        <v>1305</v>
      </c>
      <c r="SCG32" t="s">
        <v>251</v>
      </c>
      <c r="SCH32" t="s">
        <v>1305</v>
      </c>
      <c r="SCI32" t="s">
        <v>251</v>
      </c>
      <c r="SCJ32" t="s">
        <v>1305</v>
      </c>
      <c r="SCK32" t="s">
        <v>251</v>
      </c>
      <c r="SCL32" t="s">
        <v>1305</v>
      </c>
      <c r="SCM32" t="s">
        <v>251</v>
      </c>
      <c r="SCN32" t="s">
        <v>1305</v>
      </c>
      <c r="SCO32" t="s">
        <v>251</v>
      </c>
      <c r="SCP32" t="s">
        <v>1305</v>
      </c>
      <c r="SCQ32" t="s">
        <v>251</v>
      </c>
      <c r="SCR32" t="s">
        <v>1305</v>
      </c>
      <c r="SCS32" t="s">
        <v>251</v>
      </c>
      <c r="SCT32" t="s">
        <v>1305</v>
      </c>
      <c r="SCU32" t="s">
        <v>251</v>
      </c>
      <c r="SCV32" t="s">
        <v>1305</v>
      </c>
      <c r="SCW32" t="s">
        <v>251</v>
      </c>
      <c r="SCX32" t="s">
        <v>1305</v>
      </c>
      <c r="SCY32" t="s">
        <v>251</v>
      </c>
      <c r="SCZ32" t="s">
        <v>1305</v>
      </c>
      <c r="SDA32" t="s">
        <v>251</v>
      </c>
      <c r="SDB32" t="s">
        <v>1305</v>
      </c>
      <c r="SDC32" t="s">
        <v>251</v>
      </c>
      <c r="SDD32" t="s">
        <v>1305</v>
      </c>
      <c r="SDE32" t="s">
        <v>251</v>
      </c>
      <c r="SDF32" t="s">
        <v>1305</v>
      </c>
      <c r="SDG32" t="s">
        <v>251</v>
      </c>
      <c r="SDH32" t="s">
        <v>1305</v>
      </c>
      <c r="SDI32" t="s">
        <v>251</v>
      </c>
      <c r="SDJ32" t="s">
        <v>1305</v>
      </c>
      <c r="SDK32" t="s">
        <v>251</v>
      </c>
      <c r="SDL32" t="s">
        <v>1305</v>
      </c>
      <c r="SDM32" t="s">
        <v>251</v>
      </c>
      <c r="SDN32" t="s">
        <v>1305</v>
      </c>
      <c r="SDO32" t="s">
        <v>251</v>
      </c>
      <c r="SDP32" t="s">
        <v>1305</v>
      </c>
      <c r="SDQ32" t="s">
        <v>251</v>
      </c>
      <c r="SDR32" t="s">
        <v>1305</v>
      </c>
      <c r="SDS32" t="s">
        <v>251</v>
      </c>
      <c r="SDT32" t="s">
        <v>1305</v>
      </c>
      <c r="SDU32" t="s">
        <v>251</v>
      </c>
      <c r="SDV32" t="s">
        <v>1305</v>
      </c>
      <c r="SDW32" t="s">
        <v>251</v>
      </c>
      <c r="SDX32" t="s">
        <v>1305</v>
      </c>
      <c r="SDY32" t="s">
        <v>251</v>
      </c>
      <c r="SDZ32" t="s">
        <v>1305</v>
      </c>
      <c r="SEA32" t="s">
        <v>251</v>
      </c>
      <c r="SEB32" t="s">
        <v>1305</v>
      </c>
      <c r="SEC32" t="s">
        <v>251</v>
      </c>
      <c r="SED32" t="s">
        <v>1305</v>
      </c>
      <c r="SEE32" t="s">
        <v>251</v>
      </c>
      <c r="SEF32" t="s">
        <v>1305</v>
      </c>
      <c r="SEG32" t="s">
        <v>251</v>
      </c>
      <c r="SEH32" t="s">
        <v>1305</v>
      </c>
      <c r="SEI32" t="s">
        <v>251</v>
      </c>
      <c r="SEJ32" t="s">
        <v>1305</v>
      </c>
      <c r="SEK32" t="s">
        <v>251</v>
      </c>
      <c r="SEL32" t="s">
        <v>1305</v>
      </c>
      <c r="SEM32" t="s">
        <v>251</v>
      </c>
      <c r="SEN32" t="s">
        <v>1305</v>
      </c>
      <c r="SEO32" t="s">
        <v>251</v>
      </c>
      <c r="SEP32" t="s">
        <v>1305</v>
      </c>
      <c r="SEQ32" t="s">
        <v>251</v>
      </c>
      <c r="SER32" t="s">
        <v>1305</v>
      </c>
      <c r="SES32" t="s">
        <v>251</v>
      </c>
      <c r="SET32" t="s">
        <v>1305</v>
      </c>
      <c r="SEU32" t="s">
        <v>251</v>
      </c>
      <c r="SEV32" t="s">
        <v>1305</v>
      </c>
      <c r="SEW32" t="s">
        <v>251</v>
      </c>
      <c r="SEX32" t="s">
        <v>1305</v>
      </c>
      <c r="SEY32" t="s">
        <v>251</v>
      </c>
      <c r="SEZ32" t="s">
        <v>1305</v>
      </c>
      <c r="SFA32" t="s">
        <v>251</v>
      </c>
      <c r="SFB32" t="s">
        <v>1305</v>
      </c>
      <c r="SFC32" t="s">
        <v>251</v>
      </c>
      <c r="SFD32" t="s">
        <v>1305</v>
      </c>
      <c r="SFE32" t="s">
        <v>251</v>
      </c>
      <c r="SFF32" t="s">
        <v>1305</v>
      </c>
      <c r="SFG32" t="s">
        <v>251</v>
      </c>
      <c r="SFH32" t="s">
        <v>1305</v>
      </c>
      <c r="SFI32" t="s">
        <v>251</v>
      </c>
      <c r="SFJ32" t="s">
        <v>1305</v>
      </c>
      <c r="SFK32" t="s">
        <v>251</v>
      </c>
      <c r="SFL32" t="s">
        <v>1305</v>
      </c>
      <c r="SFM32" t="s">
        <v>251</v>
      </c>
      <c r="SFN32" t="s">
        <v>1305</v>
      </c>
      <c r="SFO32" t="s">
        <v>251</v>
      </c>
      <c r="SFP32" t="s">
        <v>1305</v>
      </c>
      <c r="SFQ32" t="s">
        <v>251</v>
      </c>
      <c r="SFR32" t="s">
        <v>1305</v>
      </c>
      <c r="SFS32" t="s">
        <v>251</v>
      </c>
      <c r="SFT32" t="s">
        <v>1305</v>
      </c>
      <c r="SFU32" t="s">
        <v>251</v>
      </c>
      <c r="SFV32" t="s">
        <v>1305</v>
      </c>
      <c r="SFW32" t="s">
        <v>251</v>
      </c>
      <c r="SFX32" t="s">
        <v>1305</v>
      </c>
      <c r="SFY32" t="s">
        <v>251</v>
      </c>
      <c r="SFZ32" t="s">
        <v>1305</v>
      </c>
      <c r="SGA32" t="s">
        <v>251</v>
      </c>
      <c r="SGB32" t="s">
        <v>1305</v>
      </c>
      <c r="SGC32" t="s">
        <v>251</v>
      </c>
      <c r="SGD32" t="s">
        <v>1305</v>
      </c>
      <c r="SGE32" t="s">
        <v>251</v>
      </c>
      <c r="SGF32" t="s">
        <v>1305</v>
      </c>
      <c r="SGG32" t="s">
        <v>251</v>
      </c>
      <c r="SGH32" t="s">
        <v>1305</v>
      </c>
      <c r="SGI32" t="s">
        <v>251</v>
      </c>
      <c r="SGJ32" t="s">
        <v>1305</v>
      </c>
      <c r="SGK32" t="s">
        <v>251</v>
      </c>
      <c r="SGL32" t="s">
        <v>1305</v>
      </c>
      <c r="SGM32" t="s">
        <v>251</v>
      </c>
      <c r="SGN32" t="s">
        <v>1305</v>
      </c>
      <c r="SGO32" t="s">
        <v>251</v>
      </c>
      <c r="SGP32" t="s">
        <v>1305</v>
      </c>
      <c r="SGQ32" t="s">
        <v>251</v>
      </c>
      <c r="SGR32" t="s">
        <v>1305</v>
      </c>
      <c r="SGS32" t="s">
        <v>251</v>
      </c>
      <c r="SGT32" t="s">
        <v>1305</v>
      </c>
      <c r="SGU32" t="s">
        <v>251</v>
      </c>
      <c r="SGV32" t="s">
        <v>1305</v>
      </c>
      <c r="SGW32" t="s">
        <v>251</v>
      </c>
      <c r="SGX32" t="s">
        <v>1305</v>
      </c>
      <c r="SGY32" t="s">
        <v>251</v>
      </c>
      <c r="SGZ32" t="s">
        <v>1305</v>
      </c>
      <c r="SHA32" t="s">
        <v>251</v>
      </c>
      <c r="SHB32" t="s">
        <v>1305</v>
      </c>
      <c r="SHC32" t="s">
        <v>251</v>
      </c>
      <c r="SHD32" t="s">
        <v>1305</v>
      </c>
      <c r="SHE32" t="s">
        <v>251</v>
      </c>
      <c r="SHF32" t="s">
        <v>1305</v>
      </c>
      <c r="SHG32" t="s">
        <v>251</v>
      </c>
      <c r="SHH32" t="s">
        <v>1305</v>
      </c>
      <c r="SHI32" t="s">
        <v>251</v>
      </c>
      <c r="SHJ32" t="s">
        <v>1305</v>
      </c>
      <c r="SHK32" t="s">
        <v>251</v>
      </c>
      <c r="SHL32" t="s">
        <v>1305</v>
      </c>
      <c r="SHM32" t="s">
        <v>251</v>
      </c>
      <c r="SHN32" t="s">
        <v>1305</v>
      </c>
      <c r="SHO32" t="s">
        <v>251</v>
      </c>
      <c r="SHP32" t="s">
        <v>1305</v>
      </c>
      <c r="SHQ32" t="s">
        <v>251</v>
      </c>
      <c r="SHR32" t="s">
        <v>1305</v>
      </c>
      <c r="SHS32" t="s">
        <v>251</v>
      </c>
      <c r="SHT32" t="s">
        <v>1305</v>
      </c>
      <c r="SHU32" t="s">
        <v>251</v>
      </c>
      <c r="SHV32" t="s">
        <v>1305</v>
      </c>
      <c r="SHW32" t="s">
        <v>251</v>
      </c>
      <c r="SHX32" t="s">
        <v>1305</v>
      </c>
      <c r="SHY32" t="s">
        <v>251</v>
      </c>
      <c r="SHZ32" t="s">
        <v>1305</v>
      </c>
      <c r="SIA32" t="s">
        <v>251</v>
      </c>
      <c r="SIB32" t="s">
        <v>1305</v>
      </c>
      <c r="SIC32" t="s">
        <v>251</v>
      </c>
      <c r="SID32" t="s">
        <v>1305</v>
      </c>
      <c r="SIE32" t="s">
        <v>251</v>
      </c>
      <c r="SIF32" t="s">
        <v>1305</v>
      </c>
      <c r="SIG32" t="s">
        <v>251</v>
      </c>
      <c r="SIH32" t="s">
        <v>1305</v>
      </c>
      <c r="SII32" t="s">
        <v>251</v>
      </c>
      <c r="SIJ32" t="s">
        <v>1305</v>
      </c>
      <c r="SIK32" t="s">
        <v>251</v>
      </c>
      <c r="SIL32" t="s">
        <v>1305</v>
      </c>
      <c r="SIM32" t="s">
        <v>251</v>
      </c>
      <c r="SIN32" t="s">
        <v>1305</v>
      </c>
      <c r="SIO32" t="s">
        <v>251</v>
      </c>
      <c r="SIP32" t="s">
        <v>1305</v>
      </c>
      <c r="SIQ32" t="s">
        <v>251</v>
      </c>
      <c r="SIR32" t="s">
        <v>1305</v>
      </c>
      <c r="SIS32" t="s">
        <v>251</v>
      </c>
      <c r="SIT32" t="s">
        <v>1305</v>
      </c>
      <c r="SIU32" t="s">
        <v>251</v>
      </c>
      <c r="SIV32" t="s">
        <v>1305</v>
      </c>
      <c r="SIW32" t="s">
        <v>251</v>
      </c>
      <c r="SIX32" t="s">
        <v>1305</v>
      </c>
      <c r="SIY32" t="s">
        <v>251</v>
      </c>
      <c r="SIZ32" t="s">
        <v>1305</v>
      </c>
      <c r="SJA32" t="s">
        <v>251</v>
      </c>
      <c r="SJB32" t="s">
        <v>1305</v>
      </c>
      <c r="SJC32" t="s">
        <v>251</v>
      </c>
      <c r="SJD32" t="s">
        <v>1305</v>
      </c>
      <c r="SJE32" t="s">
        <v>251</v>
      </c>
      <c r="SJF32" t="s">
        <v>1305</v>
      </c>
      <c r="SJG32" t="s">
        <v>251</v>
      </c>
      <c r="SJH32" t="s">
        <v>1305</v>
      </c>
      <c r="SJI32" t="s">
        <v>251</v>
      </c>
      <c r="SJJ32" t="s">
        <v>1305</v>
      </c>
      <c r="SJK32" t="s">
        <v>251</v>
      </c>
      <c r="SJL32" t="s">
        <v>1305</v>
      </c>
      <c r="SJM32" t="s">
        <v>251</v>
      </c>
      <c r="SJN32" t="s">
        <v>1305</v>
      </c>
      <c r="SJO32" t="s">
        <v>251</v>
      </c>
      <c r="SJP32" t="s">
        <v>1305</v>
      </c>
      <c r="SJQ32" t="s">
        <v>251</v>
      </c>
      <c r="SJR32" t="s">
        <v>1305</v>
      </c>
      <c r="SJS32" t="s">
        <v>251</v>
      </c>
      <c r="SJT32" t="s">
        <v>1305</v>
      </c>
      <c r="SJU32" t="s">
        <v>251</v>
      </c>
      <c r="SJV32" t="s">
        <v>1305</v>
      </c>
      <c r="SJW32" t="s">
        <v>251</v>
      </c>
      <c r="SJX32" t="s">
        <v>1305</v>
      </c>
      <c r="SJY32" t="s">
        <v>251</v>
      </c>
      <c r="SJZ32" t="s">
        <v>1305</v>
      </c>
      <c r="SKA32" t="s">
        <v>251</v>
      </c>
      <c r="SKB32" t="s">
        <v>1305</v>
      </c>
      <c r="SKC32" t="s">
        <v>251</v>
      </c>
      <c r="SKD32" t="s">
        <v>1305</v>
      </c>
      <c r="SKE32" t="s">
        <v>251</v>
      </c>
      <c r="SKF32" t="s">
        <v>1305</v>
      </c>
      <c r="SKG32" t="s">
        <v>251</v>
      </c>
      <c r="SKH32" t="s">
        <v>1305</v>
      </c>
      <c r="SKI32" t="s">
        <v>251</v>
      </c>
      <c r="SKJ32" t="s">
        <v>1305</v>
      </c>
      <c r="SKK32" t="s">
        <v>251</v>
      </c>
      <c r="SKL32" t="s">
        <v>1305</v>
      </c>
      <c r="SKM32" t="s">
        <v>251</v>
      </c>
      <c r="SKN32" t="s">
        <v>1305</v>
      </c>
      <c r="SKO32" t="s">
        <v>251</v>
      </c>
      <c r="SKP32" t="s">
        <v>1305</v>
      </c>
      <c r="SKQ32" t="s">
        <v>251</v>
      </c>
      <c r="SKR32" t="s">
        <v>1305</v>
      </c>
      <c r="SKS32" t="s">
        <v>251</v>
      </c>
      <c r="SKT32" t="s">
        <v>1305</v>
      </c>
      <c r="SKU32" t="s">
        <v>251</v>
      </c>
      <c r="SKV32" t="s">
        <v>1305</v>
      </c>
      <c r="SKW32" t="s">
        <v>251</v>
      </c>
      <c r="SKX32" t="s">
        <v>1305</v>
      </c>
      <c r="SKY32" t="s">
        <v>251</v>
      </c>
      <c r="SKZ32" t="s">
        <v>1305</v>
      </c>
      <c r="SLA32" t="s">
        <v>251</v>
      </c>
      <c r="SLB32" t="s">
        <v>1305</v>
      </c>
      <c r="SLC32" t="s">
        <v>251</v>
      </c>
      <c r="SLD32" t="s">
        <v>1305</v>
      </c>
      <c r="SLE32" t="s">
        <v>251</v>
      </c>
      <c r="SLF32" t="s">
        <v>1305</v>
      </c>
      <c r="SLG32" t="s">
        <v>251</v>
      </c>
      <c r="SLH32" t="s">
        <v>1305</v>
      </c>
      <c r="SLI32" t="s">
        <v>251</v>
      </c>
      <c r="SLJ32" t="s">
        <v>1305</v>
      </c>
      <c r="SLK32" t="s">
        <v>251</v>
      </c>
      <c r="SLL32" t="s">
        <v>1305</v>
      </c>
      <c r="SLM32" t="s">
        <v>251</v>
      </c>
      <c r="SLN32" t="s">
        <v>1305</v>
      </c>
      <c r="SLO32" t="s">
        <v>251</v>
      </c>
      <c r="SLP32" t="s">
        <v>1305</v>
      </c>
      <c r="SLQ32" t="s">
        <v>251</v>
      </c>
      <c r="SLR32" t="s">
        <v>1305</v>
      </c>
      <c r="SLS32" t="s">
        <v>251</v>
      </c>
      <c r="SLT32" t="s">
        <v>1305</v>
      </c>
      <c r="SLU32" t="s">
        <v>251</v>
      </c>
      <c r="SLV32" t="s">
        <v>1305</v>
      </c>
      <c r="SLW32" t="s">
        <v>251</v>
      </c>
      <c r="SLX32" t="s">
        <v>1305</v>
      </c>
      <c r="SLY32" t="s">
        <v>251</v>
      </c>
      <c r="SLZ32" t="s">
        <v>1305</v>
      </c>
      <c r="SMA32" t="s">
        <v>251</v>
      </c>
      <c r="SMB32" t="s">
        <v>1305</v>
      </c>
      <c r="SMC32" t="s">
        <v>251</v>
      </c>
      <c r="SMD32" t="s">
        <v>1305</v>
      </c>
      <c r="SME32" t="s">
        <v>251</v>
      </c>
      <c r="SMF32" t="s">
        <v>1305</v>
      </c>
      <c r="SMG32" t="s">
        <v>251</v>
      </c>
      <c r="SMH32" t="s">
        <v>1305</v>
      </c>
      <c r="SMI32" t="s">
        <v>251</v>
      </c>
      <c r="SMJ32" t="s">
        <v>1305</v>
      </c>
      <c r="SMK32" t="s">
        <v>251</v>
      </c>
      <c r="SML32" t="s">
        <v>1305</v>
      </c>
      <c r="SMM32" t="s">
        <v>251</v>
      </c>
      <c r="SMN32" t="s">
        <v>1305</v>
      </c>
      <c r="SMO32" t="s">
        <v>251</v>
      </c>
      <c r="SMP32" t="s">
        <v>1305</v>
      </c>
      <c r="SMQ32" t="s">
        <v>251</v>
      </c>
      <c r="SMR32" t="s">
        <v>1305</v>
      </c>
      <c r="SMS32" t="s">
        <v>251</v>
      </c>
      <c r="SMT32" t="s">
        <v>1305</v>
      </c>
      <c r="SMU32" t="s">
        <v>251</v>
      </c>
      <c r="SMV32" t="s">
        <v>1305</v>
      </c>
      <c r="SMW32" t="s">
        <v>251</v>
      </c>
      <c r="SMX32" t="s">
        <v>1305</v>
      </c>
      <c r="SMY32" t="s">
        <v>251</v>
      </c>
      <c r="SMZ32" t="s">
        <v>1305</v>
      </c>
      <c r="SNA32" t="s">
        <v>251</v>
      </c>
      <c r="SNB32" t="s">
        <v>1305</v>
      </c>
      <c r="SNC32" t="s">
        <v>251</v>
      </c>
      <c r="SND32" t="s">
        <v>1305</v>
      </c>
      <c r="SNE32" t="s">
        <v>251</v>
      </c>
      <c r="SNF32" t="s">
        <v>1305</v>
      </c>
      <c r="SNG32" t="s">
        <v>251</v>
      </c>
      <c r="SNH32" t="s">
        <v>1305</v>
      </c>
      <c r="SNI32" t="s">
        <v>251</v>
      </c>
      <c r="SNJ32" t="s">
        <v>1305</v>
      </c>
      <c r="SNK32" t="s">
        <v>251</v>
      </c>
      <c r="SNL32" t="s">
        <v>1305</v>
      </c>
      <c r="SNM32" t="s">
        <v>251</v>
      </c>
      <c r="SNN32" t="s">
        <v>1305</v>
      </c>
      <c r="SNO32" t="s">
        <v>251</v>
      </c>
      <c r="SNP32" t="s">
        <v>1305</v>
      </c>
      <c r="SNQ32" t="s">
        <v>251</v>
      </c>
      <c r="SNR32" t="s">
        <v>1305</v>
      </c>
      <c r="SNS32" t="s">
        <v>251</v>
      </c>
      <c r="SNT32" t="s">
        <v>1305</v>
      </c>
      <c r="SNU32" t="s">
        <v>251</v>
      </c>
      <c r="SNV32" t="s">
        <v>1305</v>
      </c>
      <c r="SNW32" t="s">
        <v>251</v>
      </c>
      <c r="SNX32" t="s">
        <v>1305</v>
      </c>
      <c r="SNY32" t="s">
        <v>251</v>
      </c>
      <c r="SNZ32" t="s">
        <v>1305</v>
      </c>
      <c r="SOA32" t="s">
        <v>251</v>
      </c>
      <c r="SOB32" t="s">
        <v>1305</v>
      </c>
      <c r="SOC32" t="s">
        <v>251</v>
      </c>
      <c r="SOD32" t="s">
        <v>1305</v>
      </c>
      <c r="SOE32" t="s">
        <v>251</v>
      </c>
      <c r="SOF32" t="s">
        <v>1305</v>
      </c>
      <c r="SOG32" t="s">
        <v>251</v>
      </c>
      <c r="SOH32" t="s">
        <v>1305</v>
      </c>
      <c r="SOI32" t="s">
        <v>251</v>
      </c>
      <c r="SOJ32" t="s">
        <v>1305</v>
      </c>
      <c r="SOK32" t="s">
        <v>251</v>
      </c>
      <c r="SOL32" t="s">
        <v>1305</v>
      </c>
      <c r="SOM32" t="s">
        <v>251</v>
      </c>
      <c r="SON32" t="s">
        <v>1305</v>
      </c>
      <c r="SOO32" t="s">
        <v>251</v>
      </c>
      <c r="SOP32" t="s">
        <v>1305</v>
      </c>
      <c r="SOQ32" t="s">
        <v>251</v>
      </c>
      <c r="SOR32" t="s">
        <v>1305</v>
      </c>
      <c r="SOS32" t="s">
        <v>251</v>
      </c>
      <c r="SOT32" t="s">
        <v>1305</v>
      </c>
      <c r="SOU32" t="s">
        <v>251</v>
      </c>
      <c r="SOV32" t="s">
        <v>1305</v>
      </c>
      <c r="SOW32" t="s">
        <v>251</v>
      </c>
      <c r="SOX32" t="s">
        <v>1305</v>
      </c>
      <c r="SOY32" t="s">
        <v>251</v>
      </c>
      <c r="SOZ32" t="s">
        <v>1305</v>
      </c>
      <c r="SPA32" t="s">
        <v>251</v>
      </c>
      <c r="SPB32" t="s">
        <v>1305</v>
      </c>
      <c r="SPC32" t="s">
        <v>251</v>
      </c>
      <c r="SPD32" t="s">
        <v>1305</v>
      </c>
      <c r="SPE32" t="s">
        <v>251</v>
      </c>
      <c r="SPF32" t="s">
        <v>1305</v>
      </c>
      <c r="SPG32" t="s">
        <v>251</v>
      </c>
      <c r="SPH32" t="s">
        <v>1305</v>
      </c>
      <c r="SPI32" t="s">
        <v>251</v>
      </c>
      <c r="SPJ32" t="s">
        <v>1305</v>
      </c>
      <c r="SPK32" t="s">
        <v>251</v>
      </c>
      <c r="SPL32" t="s">
        <v>1305</v>
      </c>
      <c r="SPM32" t="s">
        <v>251</v>
      </c>
      <c r="SPN32" t="s">
        <v>1305</v>
      </c>
      <c r="SPO32" t="s">
        <v>251</v>
      </c>
      <c r="SPP32" t="s">
        <v>1305</v>
      </c>
      <c r="SPQ32" t="s">
        <v>251</v>
      </c>
      <c r="SPR32" t="s">
        <v>1305</v>
      </c>
      <c r="SPS32" t="s">
        <v>251</v>
      </c>
      <c r="SPT32" t="s">
        <v>1305</v>
      </c>
      <c r="SPU32" t="s">
        <v>251</v>
      </c>
      <c r="SPV32" t="s">
        <v>1305</v>
      </c>
      <c r="SPW32" t="s">
        <v>251</v>
      </c>
      <c r="SPX32" t="s">
        <v>1305</v>
      </c>
      <c r="SPY32" t="s">
        <v>251</v>
      </c>
      <c r="SPZ32" t="s">
        <v>1305</v>
      </c>
      <c r="SQA32" t="s">
        <v>251</v>
      </c>
      <c r="SQB32" t="s">
        <v>1305</v>
      </c>
      <c r="SQC32" t="s">
        <v>251</v>
      </c>
      <c r="SQD32" t="s">
        <v>1305</v>
      </c>
      <c r="SQE32" t="s">
        <v>251</v>
      </c>
      <c r="SQF32" t="s">
        <v>1305</v>
      </c>
      <c r="SQG32" t="s">
        <v>251</v>
      </c>
      <c r="SQH32" t="s">
        <v>1305</v>
      </c>
      <c r="SQI32" t="s">
        <v>251</v>
      </c>
      <c r="SQJ32" t="s">
        <v>1305</v>
      </c>
      <c r="SQK32" t="s">
        <v>251</v>
      </c>
      <c r="SQL32" t="s">
        <v>1305</v>
      </c>
      <c r="SQM32" t="s">
        <v>251</v>
      </c>
      <c r="SQN32" t="s">
        <v>1305</v>
      </c>
      <c r="SQO32" t="s">
        <v>251</v>
      </c>
      <c r="SQP32" t="s">
        <v>1305</v>
      </c>
      <c r="SQQ32" t="s">
        <v>251</v>
      </c>
      <c r="SQR32" t="s">
        <v>1305</v>
      </c>
      <c r="SQS32" t="s">
        <v>251</v>
      </c>
      <c r="SQT32" t="s">
        <v>1305</v>
      </c>
      <c r="SQU32" t="s">
        <v>251</v>
      </c>
      <c r="SQV32" t="s">
        <v>1305</v>
      </c>
      <c r="SQW32" t="s">
        <v>251</v>
      </c>
      <c r="SQX32" t="s">
        <v>1305</v>
      </c>
      <c r="SQY32" t="s">
        <v>251</v>
      </c>
      <c r="SQZ32" t="s">
        <v>1305</v>
      </c>
      <c r="SRA32" t="s">
        <v>251</v>
      </c>
      <c r="SRB32" t="s">
        <v>1305</v>
      </c>
      <c r="SRC32" t="s">
        <v>251</v>
      </c>
      <c r="SRD32" t="s">
        <v>1305</v>
      </c>
      <c r="SRE32" t="s">
        <v>251</v>
      </c>
      <c r="SRF32" t="s">
        <v>1305</v>
      </c>
      <c r="SRG32" t="s">
        <v>251</v>
      </c>
      <c r="SRH32" t="s">
        <v>1305</v>
      </c>
      <c r="SRI32" t="s">
        <v>251</v>
      </c>
      <c r="SRJ32" t="s">
        <v>1305</v>
      </c>
      <c r="SRK32" t="s">
        <v>251</v>
      </c>
      <c r="SRL32" t="s">
        <v>1305</v>
      </c>
      <c r="SRM32" t="s">
        <v>251</v>
      </c>
      <c r="SRN32" t="s">
        <v>1305</v>
      </c>
      <c r="SRO32" t="s">
        <v>251</v>
      </c>
      <c r="SRP32" t="s">
        <v>1305</v>
      </c>
      <c r="SRQ32" t="s">
        <v>251</v>
      </c>
      <c r="SRR32" t="s">
        <v>1305</v>
      </c>
      <c r="SRS32" t="s">
        <v>251</v>
      </c>
      <c r="SRT32" t="s">
        <v>1305</v>
      </c>
      <c r="SRU32" t="s">
        <v>251</v>
      </c>
      <c r="SRV32" t="s">
        <v>1305</v>
      </c>
      <c r="SRW32" t="s">
        <v>251</v>
      </c>
      <c r="SRX32" t="s">
        <v>1305</v>
      </c>
      <c r="SRY32" t="s">
        <v>251</v>
      </c>
      <c r="SRZ32" t="s">
        <v>1305</v>
      </c>
      <c r="SSA32" t="s">
        <v>251</v>
      </c>
      <c r="SSB32" t="s">
        <v>1305</v>
      </c>
      <c r="SSC32" t="s">
        <v>251</v>
      </c>
      <c r="SSD32" t="s">
        <v>1305</v>
      </c>
      <c r="SSE32" t="s">
        <v>251</v>
      </c>
      <c r="SSF32" t="s">
        <v>1305</v>
      </c>
      <c r="SSG32" t="s">
        <v>251</v>
      </c>
      <c r="SSH32" t="s">
        <v>1305</v>
      </c>
      <c r="SSI32" t="s">
        <v>251</v>
      </c>
      <c r="SSJ32" t="s">
        <v>1305</v>
      </c>
      <c r="SSK32" t="s">
        <v>251</v>
      </c>
      <c r="SSL32" t="s">
        <v>1305</v>
      </c>
      <c r="SSM32" t="s">
        <v>251</v>
      </c>
      <c r="SSN32" t="s">
        <v>1305</v>
      </c>
      <c r="SSO32" t="s">
        <v>251</v>
      </c>
      <c r="SSP32" t="s">
        <v>1305</v>
      </c>
      <c r="SSQ32" t="s">
        <v>251</v>
      </c>
      <c r="SSR32" t="s">
        <v>1305</v>
      </c>
      <c r="SSS32" t="s">
        <v>251</v>
      </c>
      <c r="SST32" t="s">
        <v>1305</v>
      </c>
      <c r="SSU32" t="s">
        <v>251</v>
      </c>
      <c r="SSV32" t="s">
        <v>1305</v>
      </c>
      <c r="SSW32" t="s">
        <v>251</v>
      </c>
      <c r="SSX32" t="s">
        <v>1305</v>
      </c>
      <c r="SSY32" t="s">
        <v>251</v>
      </c>
      <c r="SSZ32" t="s">
        <v>1305</v>
      </c>
      <c r="STA32" t="s">
        <v>251</v>
      </c>
      <c r="STB32" t="s">
        <v>1305</v>
      </c>
      <c r="STC32" t="s">
        <v>251</v>
      </c>
      <c r="STD32" t="s">
        <v>1305</v>
      </c>
      <c r="STE32" t="s">
        <v>251</v>
      </c>
      <c r="STF32" t="s">
        <v>1305</v>
      </c>
      <c r="STG32" t="s">
        <v>251</v>
      </c>
      <c r="STH32" t="s">
        <v>1305</v>
      </c>
      <c r="STI32" t="s">
        <v>251</v>
      </c>
      <c r="STJ32" t="s">
        <v>1305</v>
      </c>
      <c r="STK32" t="s">
        <v>251</v>
      </c>
      <c r="STL32" t="s">
        <v>1305</v>
      </c>
      <c r="STM32" t="s">
        <v>251</v>
      </c>
      <c r="STN32" t="s">
        <v>1305</v>
      </c>
      <c r="STO32" t="s">
        <v>251</v>
      </c>
      <c r="STP32" t="s">
        <v>1305</v>
      </c>
      <c r="STQ32" t="s">
        <v>251</v>
      </c>
      <c r="STR32" t="s">
        <v>1305</v>
      </c>
      <c r="STS32" t="s">
        <v>251</v>
      </c>
      <c r="STT32" t="s">
        <v>1305</v>
      </c>
      <c r="STU32" t="s">
        <v>251</v>
      </c>
      <c r="STV32" t="s">
        <v>1305</v>
      </c>
      <c r="STW32" t="s">
        <v>251</v>
      </c>
      <c r="STX32" t="s">
        <v>1305</v>
      </c>
      <c r="STY32" t="s">
        <v>251</v>
      </c>
      <c r="STZ32" t="s">
        <v>1305</v>
      </c>
      <c r="SUA32" t="s">
        <v>251</v>
      </c>
      <c r="SUB32" t="s">
        <v>1305</v>
      </c>
      <c r="SUC32" t="s">
        <v>251</v>
      </c>
      <c r="SUD32" t="s">
        <v>1305</v>
      </c>
      <c r="SUE32" t="s">
        <v>251</v>
      </c>
      <c r="SUF32" t="s">
        <v>1305</v>
      </c>
      <c r="SUG32" t="s">
        <v>251</v>
      </c>
      <c r="SUH32" t="s">
        <v>1305</v>
      </c>
      <c r="SUI32" t="s">
        <v>251</v>
      </c>
      <c r="SUJ32" t="s">
        <v>1305</v>
      </c>
      <c r="SUK32" t="s">
        <v>251</v>
      </c>
      <c r="SUL32" t="s">
        <v>1305</v>
      </c>
      <c r="SUM32" t="s">
        <v>251</v>
      </c>
      <c r="SUN32" t="s">
        <v>1305</v>
      </c>
      <c r="SUO32" t="s">
        <v>251</v>
      </c>
      <c r="SUP32" t="s">
        <v>1305</v>
      </c>
      <c r="SUQ32" t="s">
        <v>251</v>
      </c>
      <c r="SUR32" t="s">
        <v>1305</v>
      </c>
      <c r="SUS32" t="s">
        <v>251</v>
      </c>
      <c r="SUT32" t="s">
        <v>1305</v>
      </c>
      <c r="SUU32" t="s">
        <v>251</v>
      </c>
      <c r="SUV32" t="s">
        <v>1305</v>
      </c>
      <c r="SUW32" t="s">
        <v>251</v>
      </c>
      <c r="SUX32" t="s">
        <v>1305</v>
      </c>
      <c r="SUY32" t="s">
        <v>251</v>
      </c>
      <c r="SUZ32" t="s">
        <v>1305</v>
      </c>
      <c r="SVA32" t="s">
        <v>251</v>
      </c>
      <c r="SVB32" t="s">
        <v>1305</v>
      </c>
      <c r="SVC32" t="s">
        <v>251</v>
      </c>
      <c r="SVD32" t="s">
        <v>1305</v>
      </c>
      <c r="SVE32" t="s">
        <v>251</v>
      </c>
      <c r="SVF32" t="s">
        <v>1305</v>
      </c>
      <c r="SVG32" t="s">
        <v>251</v>
      </c>
      <c r="SVH32" t="s">
        <v>1305</v>
      </c>
      <c r="SVI32" t="s">
        <v>251</v>
      </c>
      <c r="SVJ32" t="s">
        <v>1305</v>
      </c>
      <c r="SVK32" t="s">
        <v>251</v>
      </c>
      <c r="SVL32" t="s">
        <v>1305</v>
      </c>
      <c r="SVM32" t="s">
        <v>251</v>
      </c>
      <c r="SVN32" t="s">
        <v>1305</v>
      </c>
      <c r="SVO32" t="s">
        <v>251</v>
      </c>
      <c r="SVP32" t="s">
        <v>1305</v>
      </c>
      <c r="SVQ32" t="s">
        <v>251</v>
      </c>
      <c r="SVR32" t="s">
        <v>1305</v>
      </c>
      <c r="SVS32" t="s">
        <v>251</v>
      </c>
      <c r="SVT32" t="s">
        <v>1305</v>
      </c>
      <c r="SVU32" t="s">
        <v>251</v>
      </c>
      <c r="SVV32" t="s">
        <v>1305</v>
      </c>
      <c r="SVW32" t="s">
        <v>251</v>
      </c>
      <c r="SVX32" t="s">
        <v>1305</v>
      </c>
      <c r="SVY32" t="s">
        <v>251</v>
      </c>
      <c r="SVZ32" t="s">
        <v>1305</v>
      </c>
      <c r="SWA32" t="s">
        <v>251</v>
      </c>
      <c r="SWB32" t="s">
        <v>1305</v>
      </c>
      <c r="SWC32" t="s">
        <v>251</v>
      </c>
      <c r="SWD32" t="s">
        <v>1305</v>
      </c>
      <c r="SWE32" t="s">
        <v>251</v>
      </c>
      <c r="SWF32" t="s">
        <v>1305</v>
      </c>
      <c r="SWG32" t="s">
        <v>251</v>
      </c>
      <c r="SWH32" t="s">
        <v>1305</v>
      </c>
      <c r="SWI32" t="s">
        <v>251</v>
      </c>
      <c r="SWJ32" t="s">
        <v>1305</v>
      </c>
      <c r="SWK32" t="s">
        <v>251</v>
      </c>
      <c r="SWL32" t="s">
        <v>1305</v>
      </c>
      <c r="SWM32" t="s">
        <v>251</v>
      </c>
      <c r="SWN32" t="s">
        <v>1305</v>
      </c>
      <c r="SWO32" t="s">
        <v>251</v>
      </c>
      <c r="SWP32" t="s">
        <v>1305</v>
      </c>
      <c r="SWQ32" t="s">
        <v>251</v>
      </c>
      <c r="SWR32" t="s">
        <v>1305</v>
      </c>
      <c r="SWS32" t="s">
        <v>251</v>
      </c>
      <c r="SWT32" t="s">
        <v>1305</v>
      </c>
      <c r="SWU32" t="s">
        <v>251</v>
      </c>
      <c r="SWV32" t="s">
        <v>1305</v>
      </c>
      <c r="SWW32" t="s">
        <v>251</v>
      </c>
      <c r="SWX32" t="s">
        <v>1305</v>
      </c>
      <c r="SWY32" t="s">
        <v>251</v>
      </c>
      <c r="SWZ32" t="s">
        <v>1305</v>
      </c>
      <c r="SXA32" t="s">
        <v>251</v>
      </c>
      <c r="SXB32" t="s">
        <v>1305</v>
      </c>
      <c r="SXC32" t="s">
        <v>251</v>
      </c>
      <c r="SXD32" t="s">
        <v>1305</v>
      </c>
      <c r="SXE32" t="s">
        <v>251</v>
      </c>
      <c r="SXF32" t="s">
        <v>1305</v>
      </c>
      <c r="SXG32" t="s">
        <v>251</v>
      </c>
      <c r="SXH32" t="s">
        <v>1305</v>
      </c>
      <c r="SXI32" t="s">
        <v>251</v>
      </c>
      <c r="SXJ32" t="s">
        <v>1305</v>
      </c>
      <c r="SXK32" t="s">
        <v>251</v>
      </c>
      <c r="SXL32" t="s">
        <v>1305</v>
      </c>
      <c r="SXM32" t="s">
        <v>251</v>
      </c>
      <c r="SXN32" t="s">
        <v>1305</v>
      </c>
      <c r="SXO32" t="s">
        <v>251</v>
      </c>
      <c r="SXP32" t="s">
        <v>1305</v>
      </c>
      <c r="SXQ32" t="s">
        <v>251</v>
      </c>
      <c r="SXR32" t="s">
        <v>1305</v>
      </c>
      <c r="SXS32" t="s">
        <v>251</v>
      </c>
      <c r="SXT32" t="s">
        <v>1305</v>
      </c>
      <c r="SXU32" t="s">
        <v>251</v>
      </c>
      <c r="SXV32" t="s">
        <v>1305</v>
      </c>
      <c r="SXW32" t="s">
        <v>251</v>
      </c>
      <c r="SXX32" t="s">
        <v>1305</v>
      </c>
      <c r="SXY32" t="s">
        <v>251</v>
      </c>
      <c r="SXZ32" t="s">
        <v>1305</v>
      </c>
      <c r="SYA32" t="s">
        <v>251</v>
      </c>
      <c r="SYB32" t="s">
        <v>1305</v>
      </c>
      <c r="SYC32" t="s">
        <v>251</v>
      </c>
      <c r="SYD32" t="s">
        <v>1305</v>
      </c>
      <c r="SYE32" t="s">
        <v>251</v>
      </c>
      <c r="SYF32" t="s">
        <v>1305</v>
      </c>
      <c r="SYG32" t="s">
        <v>251</v>
      </c>
      <c r="SYH32" t="s">
        <v>1305</v>
      </c>
      <c r="SYI32" t="s">
        <v>251</v>
      </c>
      <c r="SYJ32" t="s">
        <v>1305</v>
      </c>
      <c r="SYK32" t="s">
        <v>251</v>
      </c>
      <c r="SYL32" t="s">
        <v>1305</v>
      </c>
      <c r="SYM32" t="s">
        <v>251</v>
      </c>
      <c r="SYN32" t="s">
        <v>1305</v>
      </c>
      <c r="SYO32" t="s">
        <v>251</v>
      </c>
      <c r="SYP32" t="s">
        <v>1305</v>
      </c>
      <c r="SYQ32" t="s">
        <v>251</v>
      </c>
      <c r="SYR32" t="s">
        <v>1305</v>
      </c>
      <c r="SYS32" t="s">
        <v>251</v>
      </c>
      <c r="SYT32" t="s">
        <v>1305</v>
      </c>
      <c r="SYU32" t="s">
        <v>251</v>
      </c>
      <c r="SYV32" t="s">
        <v>1305</v>
      </c>
      <c r="SYW32" t="s">
        <v>251</v>
      </c>
      <c r="SYX32" t="s">
        <v>1305</v>
      </c>
      <c r="SYY32" t="s">
        <v>251</v>
      </c>
      <c r="SYZ32" t="s">
        <v>1305</v>
      </c>
      <c r="SZA32" t="s">
        <v>251</v>
      </c>
      <c r="SZB32" t="s">
        <v>1305</v>
      </c>
      <c r="SZC32" t="s">
        <v>251</v>
      </c>
      <c r="SZD32" t="s">
        <v>1305</v>
      </c>
      <c r="SZE32" t="s">
        <v>251</v>
      </c>
      <c r="SZF32" t="s">
        <v>1305</v>
      </c>
      <c r="SZG32" t="s">
        <v>251</v>
      </c>
      <c r="SZH32" t="s">
        <v>1305</v>
      </c>
      <c r="SZI32" t="s">
        <v>251</v>
      </c>
      <c r="SZJ32" t="s">
        <v>1305</v>
      </c>
      <c r="SZK32" t="s">
        <v>251</v>
      </c>
      <c r="SZL32" t="s">
        <v>1305</v>
      </c>
      <c r="SZM32" t="s">
        <v>251</v>
      </c>
      <c r="SZN32" t="s">
        <v>1305</v>
      </c>
      <c r="SZO32" t="s">
        <v>251</v>
      </c>
      <c r="SZP32" t="s">
        <v>1305</v>
      </c>
      <c r="SZQ32" t="s">
        <v>251</v>
      </c>
      <c r="SZR32" t="s">
        <v>1305</v>
      </c>
      <c r="SZS32" t="s">
        <v>251</v>
      </c>
      <c r="SZT32" t="s">
        <v>1305</v>
      </c>
      <c r="SZU32" t="s">
        <v>251</v>
      </c>
      <c r="SZV32" t="s">
        <v>1305</v>
      </c>
      <c r="SZW32" t="s">
        <v>251</v>
      </c>
      <c r="SZX32" t="s">
        <v>1305</v>
      </c>
      <c r="SZY32" t="s">
        <v>251</v>
      </c>
      <c r="SZZ32" t="s">
        <v>1305</v>
      </c>
      <c r="TAA32" t="s">
        <v>251</v>
      </c>
      <c r="TAB32" t="s">
        <v>1305</v>
      </c>
      <c r="TAC32" t="s">
        <v>251</v>
      </c>
      <c r="TAD32" t="s">
        <v>1305</v>
      </c>
      <c r="TAE32" t="s">
        <v>251</v>
      </c>
      <c r="TAF32" t="s">
        <v>1305</v>
      </c>
      <c r="TAG32" t="s">
        <v>251</v>
      </c>
      <c r="TAH32" t="s">
        <v>1305</v>
      </c>
      <c r="TAI32" t="s">
        <v>251</v>
      </c>
      <c r="TAJ32" t="s">
        <v>1305</v>
      </c>
      <c r="TAK32" t="s">
        <v>251</v>
      </c>
      <c r="TAL32" t="s">
        <v>1305</v>
      </c>
      <c r="TAM32" t="s">
        <v>251</v>
      </c>
      <c r="TAN32" t="s">
        <v>1305</v>
      </c>
      <c r="TAO32" t="s">
        <v>251</v>
      </c>
      <c r="TAP32" t="s">
        <v>1305</v>
      </c>
      <c r="TAQ32" t="s">
        <v>251</v>
      </c>
      <c r="TAR32" t="s">
        <v>1305</v>
      </c>
      <c r="TAS32" t="s">
        <v>251</v>
      </c>
      <c r="TAT32" t="s">
        <v>1305</v>
      </c>
      <c r="TAU32" t="s">
        <v>251</v>
      </c>
      <c r="TAV32" t="s">
        <v>1305</v>
      </c>
      <c r="TAW32" t="s">
        <v>251</v>
      </c>
      <c r="TAX32" t="s">
        <v>1305</v>
      </c>
      <c r="TAY32" t="s">
        <v>251</v>
      </c>
      <c r="TAZ32" t="s">
        <v>1305</v>
      </c>
      <c r="TBA32" t="s">
        <v>251</v>
      </c>
      <c r="TBB32" t="s">
        <v>1305</v>
      </c>
      <c r="TBC32" t="s">
        <v>251</v>
      </c>
      <c r="TBD32" t="s">
        <v>1305</v>
      </c>
      <c r="TBE32" t="s">
        <v>251</v>
      </c>
      <c r="TBF32" t="s">
        <v>1305</v>
      </c>
      <c r="TBG32" t="s">
        <v>251</v>
      </c>
      <c r="TBH32" t="s">
        <v>1305</v>
      </c>
      <c r="TBI32" t="s">
        <v>251</v>
      </c>
      <c r="TBJ32" t="s">
        <v>1305</v>
      </c>
      <c r="TBK32" t="s">
        <v>251</v>
      </c>
      <c r="TBL32" t="s">
        <v>1305</v>
      </c>
      <c r="TBM32" t="s">
        <v>251</v>
      </c>
      <c r="TBN32" t="s">
        <v>1305</v>
      </c>
      <c r="TBO32" t="s">
        <v>251</v>
      </c>
      <c r="TBP32" t="s">
        <v>1305</v>
      </c>
      <c r="TBQ32" t="s">
        <v>251</v>
      </c>
      <c r="TBR32" t="s">
        <v>1305</v>
      </c>
      <c r="TBS32" t="s">
        <v>251</v>
      </c>
      <c r="TBT32" t="s">
        <v>1305</v>
      </c>
      <c r="TBU32" t="s">
        <v>251</v>
      </c>
      <c r="TBV32" t="s">
        <v>1305</v>
      </c>
      <c r="TBW32" t="s">
        <v>251</v>
      </c>
      <c r="TBX32" t="s">
        <v>1305</v>
      </c>
      <c r="TBY32" t="s">
        <v>251</v>
      </c>
      <c r="TBZ32" t="s">
        <v>1305</v>
      </c>
      <c r="TCA32" t="s">
        <v>251</v>
      </c>
      <c r="TCB32" t="s">
        <v>1305</v>
      </c>
      <c r="TCC32" t="s">
        <v>251</v>
      </c>
      <c r="TCD32" t="s">
        <v>1305</v>
      </c>
      <c r="TCE32" t="s">
        <v>251</v>
      </c>
      <c r="TCF32" t="s">
        <v>1305</v>
      </c>
      <c r="TCG32" t="s">
        <v>251</v>
      </c>
      <c r="TCH32" t="s">
        <v>1305</v>
      </c>
      <c r="TCI32" t="s">
        <v>251</v>
      </c>
      <c r="TCJ32" t="s">
        <v>1305</v>
      </c>
      <c r="TCK32" t="s">
        <v>251</v>
      </c>
      <c r="TCL32" t="s">
        <v>1305</v>
      </c>
      <c r="TCM32" t="s">
        <v>251</v>
      </c>
      <c r="TCN32" t="s">
        <v>1305</v>
      </c>
      <c r="TCO32" t="s">
        <v>251</v>
      </c>
      <c r="TCP32" t="s">
        <v>1305</v>
      </c>
      <c r="TCQ32" t="s">
        <v>251</v>
      </c>
      <c r="TCR32" t="s">
        <v>1305</v>
      </c>
      <c r="TCS32" t="s">
        <v>251</v>
      </c>
      <c r="TCT32" t="s">
        <v>1305</v>
      </c>
      <c r="TCU32" t="s">
        <v>251</v>
      </c>
      <c r="TCV32" t="s">
        <v>1305</v>
      </c>
      <c r="TCW32" t="s">
        <v>251</v>
      </c>
      <c r="TCX32" t="s">
        <v>1305</v>
      </c>
      <c r="TCY32" t="s">
        <v>251</v>
      </c>
      <c r="TCZ32" t="s">
        <v>1305</v>
      </c>
      <c r="TDA32" t="s">
        <v>251</v>
      </c>
      <c r="TDB32" t="s">
        <v>1305</v>
      </c>
      <c r="TDC32" t="s">
        <v>251</v>
      </c>
      <c r="TDD32" t="s">
        <v>1305</v>
      </c>
      <c r="TDE32" t="s">
        <v>251</v>
      </c>
      <c r="TDF32" t="s">
        <v>1305</v>
      </c>
      <c r="TDG32" t="s">
        <v>251</v>
      </c>
      <c r="TDH32" t="s">
        <v>1305</v>
      </c>
      <c r="TDI32" t="s">
        <v>251</v>
      </c>
      <c r="TDJ32" t="s">
        <v>1305</v>
      </c>
      <c r="TDK32" t="s">
        <v>251</v>
      </c>
      <c r="TDL32" t="s">
        <v>1305</v>
      </c>
      <c r="TDM32" t="s">
        <v>251</v>
      </c>
      <c r="TDN32" t="s">
        <v>1305</v>
      </c>
      <c r="TDO32" t="s">
        <v>251</v>
      </c>
      <c r="TDP32" t="s">
        <v>1305</v>
      </c>
      <c r="TDQ32" t="s">
        <v>251</v>
      </c>
      <c r="TDR32" t="s">
        <v>1305</v>
      </c>
      <c r="TDS32" t="s">
        <v>251</v>
      </c>
      <c r="TDT32" t="s">
        <v>1305</v>
      </c>
      <c r="TDU32" t="s">
        <v>251</v>
      </c>
      <c r="TDV32" t="s">
        <v>1305</v>
      </c>
      <c r="TDW32" t="s">
        <v>251</v>
      </c>
      <c r="TDX32" t="s">
        <v>1305</v>
      </c>
      <c r="TDY32" t="s">
        <v>251</v>
      </c>
      <c r="TDZ32" t="s">
        <v>1305</v>
      </c>
      <c r="TEA32" t="s">
        <v>251</v>
      </c>
      <c r="TEB32" t="s">
        <v>1305</v>
      </c>
      <c r="TEC32" t="s">
        <v>251</v>
      </c>
      <c r="TED32" t="s">
        <v>1305</v>
      </c>
      <c r="TEE32" t="s">
        <v>251</v>
      </c>
      <c r="TEF32" t="s">
        <v>1305</v>
      </c>
      <c r="TEG32" t="s">
        <v>251</v>
      </c>
      <c r="TEH32" t="s">
        <v>1305</v>
      </c>
      <c r="TEI32" t="s">
        <v>251</v>
      </c>
      <c r="TEJ32" t="s">
        <v>1305</v>
      </c>
      <c r="TEK32" t="s">
        <v>251</v>
      </c>
      <c r="TEL32" t="s">
        <v>1305</v>
      </c>
      <c r="TEM32" t="s">
        <v>251</v>
      </c>
      <c r="TEN32" t="s">
        <v>1305</v>
      </c>
      <c r="TEO32" t="s">
        <v>251</v>
      </c>
      <c r="TEP32" t="s">
        <v>1305</v>
      </c>
      <c r="TEQ32" t="s">
        <v>251</v>
      </c>
      <c r="TER32" t="s">
        <v>1305</v>
      </c>
      <c r="TES32" t="s">
        <v>251</v>
      </c>
      <c r="TET32" t="s">
        <v>1305</v>
      </c>
      <c r="TEU32" t="s">
        <v>251</v>
      </c>
      <c r="TEV32" t="s">
        <v>1305</v>
      </c>
      <c r="TEW32" t="s">
        <v>251</v>
      </c>
      <c r="TEX32" t="s">
        <v>1305</v>
      </c>
      <c r="TEY32" t="s">
        <v>251</v>
      </c>
      <c r="TEZ32" t="s">
        <v>1305</v>
      </c>
      <c r="TFA32" t="s">
        <v>251</v>
      </c>
      <c r="TFB32" t="s">
        <v>1305</v>
      </c>
      <c r="TFC32" t="s">
        <v>251</v>
      </c>
      <c r="TFD32" t="s">
        <v>1305</v>
      </c>
      <c r="TFE32" t="s">
        <v>251</v>
      </c>
      <c r="TFF32" t="s">
        <v>1305</v>
      </c>
      <c r="TFG32" t="s">
        <v>251</v>
      </c>
      <c r="TFH32" t="s">
        <v>1305</v>
      </c>
      <c r="TFI32" t="s">
        <v>251</v>
      </c>
      <c r="TFJ32" t="s">
        <v>1305</v>
      </c>
      <c r="TFK32" t="s">
        <v>251</v>
      </c>
      <c r="TFL32" t="s">
        <v>1305</v>
      </c>
      <c r="TFM32" t="s">
        <v>251</v>
      </c>
      <c r="TFN32" t="s">
        <v>1305</v>
      </c>
      <c r="TFO32" t="s">
        <v>251</v>
      </c>
      <c r="TFP32" t="s">
        <v>1305</v>
      </c>
      <c r="TFQ32" t="s">
        <v>251</v>
      </c>
      <c r="TFR32" t="s">
        <v>1305</v>
      </c>
      <c r="TFS32" t="s">
        <v>251</v>
      </c>
      <c r="TFT32" t="s">
        <v>1305</v>
      </c>
      <c r="TFU32" t="s">
        <v>251</v>
      </c>
      <c r="TFV32" t="s">
        <v>1305</v>
      </c>
      <c r="TFW32" t="s">
        <v>251</v>
      </c>
      <c r="TFX32" t="s">
        <v>1305</v>
      </c>
      <c r="TFY32" t="s">
        <v>251</v>
      </c>
      <c r="TFZ32" t="s">
        <v>1305</v>
      </c>
      <c r="TGA32" t="s">
        <v>251</v>
      </c>
      <c r="TGB32" t="s">
        <v>1305</v>
      </c>
      <c r="TGC32" t="s">
        <v>251</v>
      </c>
      <c r="TGD32" t="s">
        <v>1305</v>
      </c>
      <c r="TGE32" t="s">
        <v>251</v>
      </c>
      <c r="TGF32" t="s">
        <v>1305</v>
      </c>
      <c r="TGG32" t="s">
        <v>251</v>
      </c>
      <c r="TGH32" t="s">
        <v>1305</v>
      </c>
      <c r="TGI32" t="s">
        <v>251</v>
      </c>
      <c r="TGJ32" t="s">
        <v>1305</v>
      </c>
      <c r="TGK32" t="s">
        <v>251</v>
      </c>
      <c r="TGL32" t="s">
        <v>1305</v>
      </c>
      <c r="TGM32" t="s">
        <v>251</v>
      </c>
      <c r="TGN32" t="s">
        <v>1305</v>
      </c>
      <c r="TGO32" t="s">
        <v>251</v>
      </c>
      <c r="TGP32" t="s">
        <v>1305</v>
      </c>
      <c r="TGQ32" t="s">
        <v>251</v>
      </c>
      <c r="TGR32" t="s">
        <v>1305</v>
      </c>
      <c r="TGS32" t="s">
        <v>251</v>
      </c>
      <c r="TGT32" t="s">
        <v>1305</v>
      </c>
      <c r="TGU32" t="s">
        <v>251</v>
      </c>
      <c r="TGV32" t="s">
        <v>1305</v>
      </c>
      <c r="TGW32" t="s">
        <v>251</v>
      </c>
      <c r="TGX32" t="s">
        <v>1305</v>
      </c>
      <c r="TGY32" t="s">
        <v>251</v>
      </c>
      <c r="TGZ32" t="s">
        <v>1305</v>
      </c>
      <c r="THA32" t="s">
        <v>251</v>
      </c>
      <c r="THB32" t="s">
        <v>1305</v>
      </c>
      <c r="THC32" t="s">
        <v>251</v>
      </c>
      <c r="THD32" t="s">
        <v>1305</v>
      </c>
      <c r="THE32" t="s">
        <v>251</v>
      </c>
      <c r="THF32" t="s">
        <v>1305</v>
      </c>
      <c r="THG32" t="s">
        <v>251</v>
      </c>
      <c r="THH32" t="s">
        <v>1305</v>
      </c>
      <c r="THI32" t="s">
        <v>251</v>
      </c>
      <c r="THJ32" t="s">
        <v>1305</v>
      </c>
      <c r="THK32" t="s">
        <v>251</v>
      </c>
      <c r="THL32" t="s">
        <v>1305</v>
      </c>
      <c r="THM32" t="s">
        <v>251</v>
      </c>
      <c r="THN32" t="s">
        <v>1305</v>
      </c>
      <c r="THO32" t="s">
        <v>251</v>
      </c>
      <c r="THP32" t="s">
        <v>1305</v>
      </c>
      <c r="THQ32" t="s">
        <v>251</v>
      </c>
      <c r="THR32" t="s">
        <v>1305</v>
      </c>
      <c r="THS32" t="s">
        <v>251</v>
      </c>
      <c r="THT32" t="s">
        <v>1305</v>
      </c>
      <c r="THU32" t="s">
        <v>251</v>
      </c>
      <c r="THV32" t="s">
        <v>1305</v>
      </c>
      <c r="THW32" t="s">
        <v>251</v>
      </c>
      <c r="THX32" t="s">
        <v>1305</v>
      </c>
      <c r="THY32" t="s">
        <v>251</v>
      </c>
      <c r="THZ32" t="s">
        <v>1305</v>
      </c>
      <c r="TIA32" t="s">
        <v>251</v>
      </c>
      <c r="TIB32" t="s">
        <v>1305</v>
      </c>
      <c r="TIC32" t="s">
        <v>251</v>
      </c>
      <c r="TID32" t="s">
        <v>1305</v>
      </c>
      <c r="TIE32" t="s">
        <v>251</v>
      </c>
      <c r="TIF32" t="s">
        <v>1305</v>
      </c>
      <c r="TIG32" t="s">
        <v>251</v>
      </c>
      <c r="TIH32" t="s">
        <v>1305</v>
      </c>
      <c r="TII32" t="s">
        <v>251</v>
      </c>
      <c r="TIJ32" t="s">
        <v>1305</v>
      </c>
      <c r="TIK32" t="s">
        <v>251</v>
      </c>
      <c r="TIL32" t="s">
        <v>1305</v>
      </c>
      <c r="TIM32" t="s">
        <v>251</v>
      </c>
      <c r="TIN32" t="s">
        <v>1305</v>
      </c>
      <c r="TIO32" t="s">
        <v>251</v>
      </c>
      <c r="TIP32" t="s">
        <v>1305</v>
      </c>
      <c r="TIQ32" t="s">
        <v>251</v>
      </c>
      <c r="TIR32" t="s">
        <v>1305</v>
      </c>
      <c r="TIS32" t="s">
        <v>251</v>
      </c>
      <c r="TIT32" t="s">
        <v>1305</v>
      </c>
      <c r="TIU32" t="s">
        <v>251</v>
      </c>
      <c r="TIV32" t="s">
        <v>1305</v>
      </c>
      <c r="TIW32" t="s">
        <v>251</v>
      </c>
      <c r="TIX32" t="s">
        <v>1305</v>
      </c>
      <c r="TIY32" t="s">
        <v>251</v>
      </c>
      <c r="TIZ32" t="s">
        <v>1305</v>
      </c>
      <c r="TJA32" t="s">
        <v>251</v>
      </c>
      <c r="TJB32" t="s">
        <v>1305</v>
      </c>
      <c r="TJC32" t="s">
        <v>251</v>
      </c>
      <c r="TJD32" t="s">
        <v>1305</v>
      </c>
      <c r="TJE32" t="s">
        <v>251</v>
      </c>
      <c r="TJF32" t="s">
        <v>1305</v>
      </c>
      <c r="TJG32" t="s">
        <v>251</v>
      </c>
      <c r="TJH32" t="s">
        <v>1305</v>
      </c>
      <c r="TJI32" t="s">
        <v>251</v>
      </c>
      <c r="TJJ32" t="s">
        <v>1305</v>
      </c>
      <c r="TJK32" t="s">
        <v>251</v>
      </c>
      <c r="TJL32" t="s">
        <v>1305</v>
      </c>
      <c r="TJM32" t="s">
        <v>251</v>
      </c>
      <c r="TJN32" t="s">
        <v>1305</v>
      </c>
      <c r="TJO32" t="s">
        <v>251</v>
      </c>
      <c r="TJP32" t="s">
        <v>1305</v>
      </c>
      <c r="TJQ32" t="s">
        <v>251</v>
      </c>
      <c r="TJR32" t="s">
        <v>1305</v>
      </c>
      <c r="TJS32" t="s">
        <v>251</v>
      </c>
      <c r="TJT32" t="s">
        <v>1305</v>
      </c>
      <c r="TJU32" t="s">
        <v>251</v>
      </c>
      <c r="TJV32" t="s">
        <v>1305</v>
      </c>
      <c r="TJW32" t="s">
        <v>251</v>
      </c>
      <c r="TJX32" t="s">
        <v>1305</v>
      </c>
      <c r="TJY32" t="s">
        <v>251</v>
      </c>
      <c r="TJZ32" t="s">
        <v>1305</v>
      </c>
      <c r="TKA32" t="s">
        <v>251</v>
      </c>
      <c r="TKB32" t="s">
        <v>1305</v>
      </c>
      <c r="TKC32" t="s">
        <v>251</v>
      </c>
      <c r="TKD32" t="s">
        <v>1305</v>
      </c>
      <c r="TKE32" t="s">
        <v>251</v>
      </c>
      <c r="TKF32" t="s">
        <v>1305</v>
      </c>
      <c r="TKG32" t="s">
        <v>251</v>
      </c>
      <c r="TKH32" t="s">
        <v>1305</v>
      </c>
      <c r="TKI32" t="s">
        <v>251</v>
      </c>
      <c r="TKJ32" t="s">
        <v>1305</v>
      </c>
      <c r="TKK32" t="s">
        <v>251</v>
      </c>
      <c r="TKL32" t="s">
        <v>1305</v>
      </c>
      <c r="TKM32" t="s">
        <v>251</v>
      </c>
      <c r="TKN32" t="s">
        <v>1305</v>
      </c>
      <c r="TKO32" t="s">
        <v>251</v>
      </c>
      <c r="TKP32" t="s">
        <v>1305</v>
      </c>
      <c r="TKQ32" t="s">
        <v>251</v>
      </c>
      <c r="TKR32" t="s">
        <v>1305</v>
      </c>
      <c r="TKS32" t="s">
        <v>251</v>
      </c>
      <c r="TKT32" t="s">
        <v>1305</v>
      </c>
      <c r="TKU32" t="s">
        <v>251</v>
      </c>
      <c r="TKV32" t="s">
        <v>1305</v>
      </c>
      <c r="TKW32" t="s">
        <v>251</v>
      </c>
      <c r="TKX32" t="s">
        <v>1305</v>
      </c>
      <c r="TKY32" t="s">
        <v>251</v>
      </c>
      <c r="TKZ32" t="s">
        <v>1305</v>
      </c>
      <c r="TLA32" t="s">
        <v>251</v>
      </c>
      <c r="TLB32" t="s">
        <v>1305</v>
      </c>
      <c r="TLC32" t="s">
        <v>251</v>
      </c>
      <c r="TLD32" t="s">
        <v>1305</v>
      </c>
      <c r="TLE32" t="s">
        <v>251</v>
      </c>
      <c r="TLF32" t="s">
        <v>1305</v>
      </c>
      <c r="TLG32" t="s">
        <v>251</v>
      </c>
      <c r="TLH32" t="s">
        <v>1305</v>
      </c>
      <c r="TLI32" t="s">
        <v>251</v>
      </c>
      <c r="TLJ32" t="s">
        <v>1305</v>
      </c>
      <c r="TLK32" t="s">
        <v>251</v>
      </c>
      <c r="TLL32" t="s">
        <v>1305</v>
      </c>
      <c r="TLM32" t="s">
        <v>251</v>
      </c>
      <c r="TLN32" t="s">
        <v>1305</v>
      </c>
      <c r="TLO32" t="s">
        <v>251</v>
      </c>
      <c r="TLP32" t="s">
        <v>1305</v>
      </c>
      <c r="TLQ32" t="s">
        <v>251</v>
      </c>
      <c r="TLR32" t="s">
        <v>1305</v>
      </c>
      <c r="TLS32" t="s">
        <v>251</v>
      </c>
      <c r="TLT32" t="s">
        <v>1305</v>
      </c>
      <c r="TLU32" t="s">
        <v>251</v>
      </c>
      <c r="TLV32" t="s">
        <v>1305</v>
      </c>
      <c r="TLW32" t="s">
        <v>251</v>
      </c>
      <c r="TLX32" t="s">
        <v>1305</v>
      </c>
      <c r="TLY32" t="s">
        <v>251</v>
      </c>
      <c r="TLZ32" t="s">
        <v>1305</v>
      </c>
      <c r="TMA32" t="s">
        <v>251</v>
      </c>
      <c r="TMB32" t="s">
        <v>1305</v>
      </c>
      <c r="TMC32" t="s">
        <v>251</v>
      </c>
      <c r="TMD32" t="s">
        <v>1305</v>
      </c>
      <c r="TME32" t="s">
        <v>251</v>
      </c>
      <c r="TMF32" t="s">
        <v>1305</v>
      </c>
      <c r="TMG32" t="s">
        <v>251</v>
      </c>
      <c r="TMH32" t="s">
        <v>1305</v>
      </c>
      <c r="TMI32" t="s">
        <v>251</v>
      </c>
      <c r="TMJ32" t="s">
        <v>1305</v>
      </c>
      <c r="TMK32" t="s">
        <v>251</v>
      </c>
      <c r="TML32" t="s">
        <v>1305</v>
      </c>
      <c r="TMM32" t="s">
        <v>251</v>
      </c>
      <c r="TMN32" t="s">
        <v>1305</v>
      </c>
      <c r="TMO32" t="s">
        <v>251</v>
      </c>
      <c r="TMP32" t="s">
        <v>1305</v>
      </c>
      <c r="TMQ32" t="s">
        <v>251</v>
      </c>
      <c r="TMR32" t="s">
        <v>1305</v>
      </c>
      <c r="TMS32" t="s">
        <v>251</v>
      </c>
      <c r="TMT32" t="s">
        <v>1305</v>
      </c>
      <c r="TMU32" t="s">
        <v>251</v>
      </c>
      <c r="TMV32" t="s">
        <v>1305</v>
      </c>
      <c r="TMW32" t="s">
        <v>251</v>
      </c>
      <c r="TMX32" t="s">
        <v>1305</v>
      </c>
      <c r="TMY32" t="s">
        <v>251</v>
      </c>
      <c r="TMZ32" t="s">
        <v>1305</v>
      </c>
      <c r="TNA32" t="s">
        <v>251</v>
      </c>
      <c r="TNB32" t="s">
        <v>1305</v>
      </c>
      <c r="TNC32" t="s">
        <v>251</v>
      </c>
      <c r="TND32" t="s">
        <v>1305</v>
      </c>
      <c r="TNE32" t="s">
        <v>251</v>
      </c>
      <c r="TNF32" t="s">
        <v>1305</v>
      </c>
      <c r="TNG32" t="s">
        <v>251</v>
      </c>
      <c r="TNH32" t="s">
        <v>1305</v>
      </c>
      <c r="TNI32" t="s">
        <v>251</v>
      </c>
      <c r="TNJ32" t="s">
        <v>1305</v>
      </c>
      <c r="TNK32" t="s">
        <v>251</v>
      </c>
      <c r="TNL32" t="s">
        <v>1305</v>
      </c>
      <c r="TNM32" t="s">
        <v>251</v>
      </c>
      <c r="TNN32" t="s">
        <v>1305</v>
      </c>
      <c r="TNO32" t="s">
        <v>251</v>
      </c>
      <c r="TNP32" t="s">
        <v>1305</v>
      </c>
      <c r="TNQ32" t="s">
        <v>251</v>
      </c>
      <c r="TNR32" t="s">
        <v>1305</v>
      </c>
      <c r="TNS32" t="s">
        <v>251</v>
      </c>
      <c r="TNT32" t="s">
        <v>1305</v>
      </c>
      <c r="TNU32" t="s">
        <v>251</v>
      </c>
      <c r="TNV32" t="s">
        <v>1305</v>
      </c>
      <c r="TNW32" t="s">
        <v>251</v>
      </c>
      <c r="TNX32" t="s">
        <v>1305</v>
      </c>
      <c r="TNY32" t="s">
        <v>251</v>
      </c>
      <c r="TNZ32" t="s">
        <v>1305</v>
      </c>
      <c r="TOA32" t="s">
        <v>251</v>
      </c>
      <c r="TOB32" t="s">
        <v>1305</v>
      </c>
      <c r="TOC32" t="s">
        <v>251</v>
      </c>
      <c r="TOD32" t="s">
        <v>1305</v>
      </c>
      <c r="TOE32" t="s">
        <v>251</v>
      </c>
      <c r="TOF32" t="s">
        <v>1305</v>
      </c>
      <c r="TOG32" t="s">
        <v>251</v>
      </c>
      <c r="TOH32" t="s">
        <v>1305</v>
      </c>
      <c r="TOI32" t="s">
        <v>251</v>
      </c>
      <c r="TOJ32" t="s">
        <v>1305</v>
      </c>
      <c r="TOK32" t="s">
        <v>251</v>
      </c>
      <c r="TOL32" t="s">
        <v>1305</v>
      </c>
      <c r="TOM32" t="s">
        <v>251</v>
      </c>
      <c r="TON32" t="s">
        <v>1305</v>
      </c>
      <c r="TOO32" t="s">
        <v>251</v>
      </c>
      <c r="TOP32" t="s">
        <v>1305</v>
      </c>
      <c r="TOQ32" t="s">
        <v>251</v>
      </c>
      <c r="TOR32" t="s">
        <v>1305</v>
      </c>
      <c r="TOS32" t="s">
        <v>251</v>
      </c>
      <c r="TOT32" t="s">
        <v>1305</v>
      </c>
      <c r="TOU32" t="s">
        <v>251</v>
      </c>
      <c r="TOV32" t="s">
        <v>1305</v>
      </c>
      <c r="TOW32" t="s">
        <v>251</v>
      </c>
      <c r="TOX32" t="s">
        <v>1305</v>
      </c>
      <c r="TOY32" t="s">
        <v>251</v>
      </c>
      <c r="TOZ32" t="s">
        <v>1305</v>
      </c>
      <c r="TPA32" t="s">
        <v>251</v>
      </c>
      <c r="TPB32" t="s">
        <v>1305</v>
      </c>
      <c r="TPC32" t="s">
        <v>251</v>
      </c>
      <c r="TPD32" t="s">
        <v>1305</v>
      </c>
      <c r="TPE32" t="s">
        <v>251</v>
      </c>
      <c r="TPF32" t="s">
        <v>1305</v>
      </c>
      <c r="TPG32" t="s">
        <v>251</v>
      </c>
      <c r="TPH32" t="s">
        <v>1305</v>
      </c>
      <c r="TPI32" t="s">
        <v>251</v>
      </c>
      <c r="TPJ32" t="s">
        <v>1305</v>
      </c>
      <c r="TPK32" t="s">
        <v>251</v>
      </c>
      <c r="TPL32" t="s">
        <v>1305</v>
      </c>
      <c r="TPM32" t="s">
        <v>251</v>
      </c>
      <c r="TPN32" t="s">
        <v>1305</v>
      </c>
      <c r="TPO32" t="s">
        <v>251</v>
      </c>
      <c r="TPP32" t="s">
        <v>1305</v>
      </c>
      <c r="TPQ32" t="s">
        <v>251</v>
      </c>
      <c r="TPR32" t="s">
        <v>1305</v>
      </c>
      <c r="TPS32" t="s">
        <v>251</v>
      </c>
      <c r="TPT32" t="s">
        <v>1305</v>
      </c>
      <c r="TPU32" t="s">
        <v>251</v>
      </c>
      <c r="TPV32" t="s">
        <v>1305</v>
      </c>
      <c r="TPW32" t="s">
        <v>251</v>
      </c>
      <c r="TPX32" t="s">
        <v>1305</v>
      </c>
      <c r="TPY32" t="s">
        <v>251</v>
      </c>
      <c r="TPZ32" t="s">
        <v>1305</v>
      </c>
      <c r="TQA32" t="s">
        <v>251</v>
      </c>
      <c r="TQB32" t="s">
        <v>1305</v>
      </c>
      <c r="TQC32" t="s">
        <v>251</v>
      </c>
      <c r="TQD32" t="s">
        <v>1305</v>
      </c>
      <c r="TQE32" t="s">
        <v>251</v>
      </c>
      <c r="TQF32" t="s">
        <v>1305</v>
      </c>
      <c r="TQG32" t="s">
        <v>251</v>
      </c>
      <c r="TQH32" t="s">
        <v>1305</v>
      </c>
      <c r="TQI32" t="s">
        <v>251</v>
      </c>
      <c r="TQJ32" t="s">
        <v>1305</v>
      </c>
      <c r="TQK32" t="s">
        <v>251</v>
      </c>
      <c r="TQL32" t="s">
        <v>1305</v>
      </c>
      <c r="TQM32" t="s">
        <v>251</v>
      </c>
      <c r="TQN32" t="s">
        <v>1305</v>
      </c>
      <c r="TQO32" t="s">
        <v>251</v>
      </c>
      <c r="TQP32" t="s">
        <v>1305</v>
      </c>
      <c r="TQQ32" t="s">
        <v>251</v>
      </c>
      <c r="TQR32" t="s">
        <v>1305</v>
      </c>
      <c r="TQS32" t="s">
        <v>251</v>
      </c>
      <c r="TQT32" t="s">
        <v>1305</v>
      </c>
      <c r="TQU32" t="s">
        <v>251</v>
      </c>
      <c r="TQV32" t="s">
        <v>1305</v>
      </c>
      <c r="TQW32" t="s">
        <v>251</v>
      </c>
      <c r="TQX32" t="s">
        <v>1305</v>
      </c>
      <c r="TQY32" t="s">
        <v>251</v>
      </c>
      <c r="TQZ32" t="s">
        <v>1305</v>
      </c>
      <c r="TRA32" t="s">
        <v>251</v>
      </c>
      <c r="TRB32" t="s">
        <v>1305</v>
      </c>
      <c r="TRC32" t="s">
        <v>251</v>
      </c>
      <c r="TRD32" t="s">
        <v>1305</v>
      </c>
      <c r="TRE32" t="s">
        <v>251</v>
      </c>
      <c r="TRF32" t="s">
        <v>1305</v>
      </c>
      <c r="TRG32" t="s">
        <v>251</v>
      </c>
      <c r="TRH32" t="s">
        <v>1305</v>
      </c>
      <c r="TRI32" t="s">
        <v>251</v>
      </c>
      <c r="TRJ32" t="s">
        <v>1305</v>
      </c>
      <c r="TRK32" t="s">
        <v>251</v>
      </c>
      <c r="TRL32" t="s">
        <v>1305</v>
      </c>
      <c r="TRM32" t="s">
        <v>251</v>
      </c>
      <c r="TRN32" t="s">
        <v>1305</v>
      </c>
      <c r="TRO32" t="s">
        <v>251</v>
      </c>
      <c r="TRP32" t="s">
        <v>1305</v>
      </c>
      <c r="TRQ32" t="s">
        <v>251</v>
      </c>
      <c r="TRR32" t="s">
        <v>1305</v>
      </c>
      <c r="TRS32" t="s">
        <v>251</v>
      </c>
      <c r="TRT32" t="s">
        <v>1305</v>
      </c>
      <c r="TRU32" t="s">
        <v>251</v>
      </c>
      <c r="TRV32" t="s">
        <v>1305</v>
      </c>
      <c r="TRW32" t="s">
        <v>251</v>
      </c>
      <c r="TRX32" t="s">
        <v>1305</v>
      </c>
      <c r="TRY32" t="s">
        <v>251</v>
      </c>
      <c r="TRZ32" t="s">
        <v>1305</v>
      </c>
      <c r="TSA32" t="s">
        <v>251</v>
      </c>
      <c r="TSB32" t="s">
        <v>1305</v>
      </c>
      <c r="TSC32" t="s">
        <v>251</v>
      </c>
      <c r="TSD32" t="s">
        <v>1305</v>
      </c>
      <c r="TSE32" t="s">
        <v>251</v>
      </c>
      <c r="TSF32" t="s">
        <v>1305</v>
      </c>
      <c r="TSG32" t="s">
        <v>251</v>
      </c>
      <c r="TSH32" t="s">
        <v>1305</v>
      </c>
      <c r="TSI32" t="s">
        <v>251</v>
      </c>
      <c r="TSJ32" t="s">
        <v>1305</v>
      </c>
      <c r="TSK32" t="s">
        <v>251</v>
      </c>
      <c r="TSL32" t="s">
        <v>1305</v>
      </c>
      <c r="TSM32" t="s">
        <v>251</v>
      </c>
      <c r="TSN32" t="s">
        <v>1305</v>
      </c>
      <c r="TSO32" t="s">
        <v>251</v>
      </c>
      <c r="TSP32" t="s">
        <v>1305</v>
      </c>
      <c r="TSQ32" t="s">
        <v>251</v>
      </c>
      <c r="TSR32" t="s">
        <v>1305</v>
      </c>
      <c r="TSS32" t="s">
        <v>251</v>
      </c>
      <c r="TST32" t="s">
        <v>1305</v>
      </c>
      <c r="TSU32" t="s">
        <v>251</v>
      </c>
      <c r="TSV32" t="s">
        <v>1305</v>
      </c>
      <c r="TSW32" t="s">
        <v>251</v>
      </c>
      <c r="TSX32" t="s">
        <v>1305</v>
      </c>
      <c r="TSY32" t="s">
        <v>251</v>
      </c>
      <c r="TSZ32" t="s">
        <v>1305</v>
      </c>
      <c r="TTA32" t="s">
        <v>251</v>
      </c>
      <c r="TTB32" t="s">
        <v>1305</v>
      </c>
      <c r="TTC32" t="s">
        <v>251</v>
      </c>
      <c r="TTD32" t="s">
        <v>1305</v>
      </c>
      <c r="TTE32" t="s">
        <v>251</v>
      </c>
      <c r="TTF32" t="s">
        <v>1305</v>
      </c>
      <c r="TTG32" t="s">
        <v>251</v>
      </c>
      <c r="TTH32" t="s">
        <v>1305</v>
      </c>
      <c r="TTI32" t="s">
        <v>251</v>
      </c>
      <c r="TTJ32" t="s">
        <v>1305</v>
      </c>
      <c r="TTK32" t="s">
        <v>251</v>
      </c>
      <c r="TTL32" t="s">
        <v>1305</v>
      </c>
      <c r="TTM32" t="s">
        <v>251</v>
      </c>
      <c r="TTN32" t="s">
        <v>1305</v>
      </c>
      <c r="TTO32" t="s">
        <v>251</v>
      </c>
      <c r="TTP32" t="s">
        <v>1305</v>
      </c>
      <c r="TTQ32" t="s">
        <v>251</v>
      </c>
      <c r="TTR32" t="s">
        <v>1305</v>
      </c>
      <c r="TTS32" t="s">
        <v>251</v>
      </c>
      <c r="TTT32" t="s">
        <v>1305</v>
      </c>
      <c r="TTU32" t="s">
        <v>251</v>
      </c>
      <c r="TTV32" t="s">
        <v>1305</v>
      </c>
      <c r="TTW32" t="s">
        <v>251</v>
      </c>
      <c r="TTX32" t="s">
        <v>1305</v>
      </c>
      <c r="TTY32" t="s">
        <v>251</v>
      </c>
      <c r="TTZ32" t="s">
        <v>1305</v>
      </c>
      <c r="TUA32" t="s">
        <v>251</v>
      </c>
      <c r="TUB32" t="s">
        <v>1305</v>
      </c>
      <c r="TUC32" t="s">
        <v>251</v>
      </c>
      <c r="TUD32" t="s">
        <v>1305</v>
      </c>
      <c r="TUE32" t="s">
        <v>251</v>
      </c>
      <c r="TUF32" t="s">
        <v>1305</v>
      </c>
      <c r="TUG32" t="s">
        <v>251</v>
      </c>
      <c r="TUH32" t="s">
        <v>1305</v>
      </c>
      <c r="TUI32" t="s">
        <v>251</v>
      </c>
      <c r="TUJ32" t="s">
        <v>1305</v>
      </c>
      <c r="TUK32" t="s">
        <v>251</v>
      </c>
      <c r="TUL32" t="s">
        <v>1305</v>
      </c>
      <c r="TUM32" t="s">
        <v>251</v>
      </c>
      <c r="TUN32" t="s">
        <v>1305</v>
      </c>
      <c r="TUO32" t="s">
        <v>251</v>
      </c>
      <c r="TUP32" t="s">
        <v>1305</v>
      </c>
      <c r="TUQ32" t="s">
        <v>251</v>
      </c>
      <c r="TUR32" t="s">
        <v>1305</v>
      </c>
      <c r="TUS32" t="s">
        <v>251</v>
      </c>
      <c r="TUT32" t="s">
        <v>1305</v>
      </c>
      <c r="TUU32" t="s">
        <v>251</v>
      </c>
      <c r="TUV32" t="s">
        <v>1305</v>
      </c>
      <c r="TUW32" t="s">
        <v>251</v>
      </c>
      <c r="TUX32" t="s">
        <v>1305</v>
      </c>
      <c r="TUY32" t="s">
        <v>251</v>
      </c>
      <c r="TUZ32" t="s">
        <v>1305</v>
      </c>
      <c r="TVA32" t="s">
        <v>251</v>
      </c>
      <c r="TVB32" t="s">
        <v>1305</v>
      </c>
      <c r="TVC32" t="s">
        <v>251</v>
      </c>
      <c r="TVD32" t="s">
        <v>1305</v>
      </c>
      <c r="TVE32" t="s">
        <v>251</v>
      </c>
      <c r="TVF32" t="s">
        <v>1305</v>
      </c>
      <c r="TVG32" t="s">
        <v>251</v>
      </c>
      <c r="TVH32" t="s">
        <v>1305</v>
      </c>
      <c r="TVI32" t="s">
        <v>251</v>
      </c>
      <c r="TVJ32" t="s">
        <v>1305</v>
      </c>
      <c r="TVK32" t="s">
        <v>251</v>
      </c>
      <c r="TVL32" t="s">
        <v>1305</v>
      </c>
      <c r="TVM32" t="s">
        <v>251</v>
      </c>
      <c r="TVN32" t="s">
        <v>1305</v>
      </c>
      <c r="TVO32" t="s">
        <v>251</v>
      </c>
      <c r="TVP32" t="s">
        <v>1305</v>
      </c>
      <c r="TVQ32" t="s">
        <v>251</v>
      </c>
      <c r="TVR32" t="s">
        <v>1305</v>
      </c>
      <c r="TVS32" t="s">
        <v>251</v>
      </c>
      <c r="TVT32" t="s">
        <v>1305</v>
      </c>
      <c r="TVU32" t="s">
        <v>251</v>
      </c>
      <c r="TVV32" t="s">
        <v>1305</v>
      </c>
      <c r="TVW32" t="s">
        <v>251</v>
      </c>
      <c r="TVX32" t="s">
        <v>1305</v>
      </c>
      <c r="TVY32" t="s">
        <v>251</v>
      </c>
      <c r="TVZ32" t="s">
        <v>1305</v>
      </c>
      <c r="TWA32" t="s">
        <v>251</v>
      </c>
      <c r="TWB32" t="s">
        <v>1305</v>
      </c>
      <c r="TWC32" t="s">
        <v>251</v>
      </c>
      <c r="TWD32" t="s">
        <v>1305</v>
      </c>
      <c r="TWE32" t="s">
        <v>251</v>
      </c>
      <c r="TWF32" t="s">
        <v>1305</v>
      </c>
      <c r="TWG32" t="s">
        <v>251</v>
      </c>
      <c r="TWH32" t="s">
        <v>1305</v>
      </c>
      <c r="TWI32" t="s">
        <v>251</v>
      </c>
      <c r="TWJ32" t="s">
        <v>1305</v>
      </c>
      <c r="TWK32" t="s">
        <v>251</v>
      </c>
      <c r="TWL32" t="s">
        <v>1305</v>
      </c>
      <c r="TWM32" t="s">
        <v>251</v>
      </c>
      <c r="TWN32" t="s">
        <v>1305</v>
      </c>
      <c r="TWO32" t="s">
        <v>251</v>
      </c>
      <c r="TWP32" t="s">
        <v>1305</v>
      </c>
      <c r="TWQ32" t="s">
        <v>251</v>
      </c>
      <c r="TWR32" t="s">
        <v>1305</v>
      </c>
      <c r="TWS32" t="s">
        <v>251</v>
      </c>
      <c r="TWT32" t="s">
        <v>1305</v>
      </c>
      <c r="TWU32" t="s">
        <v>251</v>
      </c>
      <c r="TWV32" t="s">
        <v>1305</v>
      </c>
      <c r="TWW32" t="s">
        <v>251</v>
      </c>
      <c r="TWX32" t="s">
        <v>1305</v>
      </c>
      <c r="TWY32" t="s">
        <v>251</v>
      </c>
      <c r="TWZ32" t="s">
        <v>1305</v>
      </c>
      <c r="TXA32" t="s">
        <v>251</v>
      </c>
      <c r="TXB32" t="s">
        <v>1305</v>
      </c>
      <c r="TXC32" t="s">
        <v>251</v>
      </c>
      <c r="TXD32" t="s">
        <v>1305</v>
      </c>
      <c r="TXE32" t="s">
        <v>251</v>
      </c>
      <c r="TXF32" t="s">
        <v>1305</v>
      </c>
      <c r="TXG32" t="s">
        <v>251</v>
      </c>
      <c r="TXH32" t="s">
        <v>1305</v>
      </c>
      <c r="TXI32" t="s">
        <v>251</v>
      </c>
      <c r="TXJ32" t="s">
        <v>1305</v>
      </c>
      <c r="TXK32" t="s">
        <v>251</v>
      </c>
      <c r="TXL32" t="s">
        <v>1305</v>
      </c>
      <c r="TXM32" t="s">
        <v>251</v>
      </c>
      <c r="TXN32" t="s">
        <v>1305</v>
      </c>
      <c r="TXO32" t="s">
        <v>251</v>
      </c>
      <c r="TXP32" t="s">
        <v>1305</v>
      </c>
      <c r="TXQ32" t="s">
        <v>251</v>
      </c>
      <c r="TXR32" t="s">
        <v>1305</v>
      </c>
      <c r="TXS32" t="s">
        <v>251</v>
      </c>
      <c r="TXT32" t="s">
        <v>1305</v>
      </c>
      <c r="TXU32" t="s">
        <v>251</v>
      </c>
      <c r="TXV32" t="s">
        <v>1305</v>
      </c>
      <c r="TXW32" t="s">
        <v>251</v>
      </c>
      <c r="TXX32" t="s">
        <v>1305</v>
      </c>
      <c r="TXY32" t="s">
        <v>251</v>
      </c>
      <c r="TXZ32" t="s">
        <v>1305</v>
      </c>
      <c r="TYA32" t="s">
        <v>251</v>
      </c>
      <c r="TYB32" t="s">
        <v>1305</v>
      </c>
      <c r="TYC32" t="s">
        <v>251</v>
      </c>
      <c r="TYD32" t="s">
        <v>1305</v>
      </c>
      <c r="TYE32" t="s">
        <v>251</v>
      </c>
      <c r="TYF32" t="s">
        <v>1305</v>
      </c>
      <c r="TYG32" t="s">
        <v>251</v>
      </c>
      <c r="TYH32" t="s">
        <v>1305</v>
      </c>
      <c r="TYI32" t="s">
        <v>251</v>
      </c>
      <c r="TYJ32" t="s">
        <v>1305</v>
      </c>
      <c r="TYK32" t="s">
        <v>251</v>
      </c>
      <c r="TYL32" t="s">
        <v>1305</v>
      </c>
      <c r="TYM32" t="s">
        <v>251</v>
      </c>
      <c r="TYN32" t="s">
        <v>1305</v>
      </c>
      <c r="TYO32" t="s">
        <v>251</v>
      </c>
      <c r="TYP32" t="s">
        <v>1305</v>
      </c>
      <c r="TYQ32" t="s">
        <v>251</v>
      </c>
      <c r="TYR32" t="s">
        <v>1305</v>
      </c>
      <c r="TYS32" t="s">
        <v>251</v>
      </c>
      <c r="TYT32" t="s">
        <v>1305</v>
      </c>
      <c r="TYU32" t="s">
        <v>251</v>
      </c>
      <c r="TYV32" t="s">
        <v>1305</v>
      </c>
      <c r="TYW32" t="s">
        <v>251</v>
      </c>
      <c r="TYX32" t="s">
        <v>1305</v>
      </c>
      <c r="TYY32" t="s">
        <v>251</v>
      </c>
      <c r="TYZ32" t="s">
        <v>1305</v>
      </c>
      <c r="TZA32" t="s">
        <v>251</v>
      </c>
      <c r="TZB32" t="s">
        <v>1305</v>
      </c>
      <c r="TZC32" t="s">
        <v>251</v>
      </c>
      <c r="TZD32" t="s">
        <v>1305</v>
      </c>
      <c r="TZE32" t="s">
        <v>251</v>
      </c>
      <c r="TZF32" t="s">
        <v>1305</v>
      </c>
      <c r="TZG32" t="s">
        <v>251</v>
      </c>
      <c r="TZH32" t="s">
        <v>1305</v>
      </c>
      <c r="TZI32" t="s">
        <v>251</v>
      </c>
      <c r="TZJ32" t="s">
        <v>1305</v>
      </c>
      <c r="TZK32" t="s">
        <v>251</v>
      </c>
      <c r="TZL32" t="s">
        <v>1305</v>
      </c>
      <c r="TZM32" t="s">
        <v>251</v>
      </c>
      <c r="TZN32" t="s">
        <v>1305</v>
      </c>
      <c r="TZO32" t="s">
        <v>251</v>
      </c>
      <c r="TZP32" t="s">
        <v>1305</v>
      </c>
      <c r="TZQ32" t="s">
        <v>251</v>
      </c>
      <c r="TZR32" t="s">
        <v>1305</v>
      </c>
      <c r="TZS32" t="s">
        <v>251</v>
      </c>
      <c r="TZT32" t="s">
        <v>1305</v>
      </c>
      <c r="TZU32" t="s">
        <v>251</v>
      </c>
      <c r="TZV32" t="s">
        <v>1305</v>
      </c>
      <c r="TZW32" t="s">
        <v>251</v>
      </c>
      <c r="TZX32" t="s">
        <v>1305</v>
      </c>
      <c r="TZY32" t="s">
        <v>251</v>
      </c>
      <c r="TZZ32" t="s">
        <v>1305</v>
      </c>
      <c r="UAA32" t="s">
        <v>251</v>
      </c>
      <c r="UAB32" t="s">
        <v>1305</v>
      </c>
      <c r="UAC32" t="s">
        <v>251</v>
      </c>
      <c r="UAD32" t="s">
        <v>1305</v>
      </c>
      <c r="UAE32" t="s">
        <v>251</v>
      </c>
      <c r="UAF32" t="s">
        <v>1305</v>
      </c>
      <c r="UAG32" t="s">
        <v>251</v>
      </c>
      <c r="UAH32" t="s">
        <v>1305</v>
      </c>
      <c r="UAI32" t="s">
        <v>251</v>
      </c>
      <c r="UAJ32" t="s">
        <v>1305</v>
      </c>
      <c r="UAK32" t="s">
        <v>251</v>
      </c>
      <c r="UAL32" t="s">
        <v>1305</v>
      </c>
      <c r="UAM32" t="s">
        <v>251</v>
      </c>
      <c r="UAN32" t="s">
        <v>1305</v>
      </c>
      <c r="UAO32" t="s">
        <v>251</v>
      </c>
      <c r="UAP32" t="s">
        <v>1305</v>
      </c>
      <c r="UAQ32" t="s">
        <v>251</v>
      </c>
      <c r="UAR32" t="s">
        <v>1305</v>
      </c>
      <c r="UAS32" t="s">
        <v>251</v>
      </c>
      <c r="UAT32" t="s">
        <v>1305</v>
      </c>
      <c r="UAU32" t="s">
        <v>251</v>
      </c>
      <c r="UAV32" t="s">
        <v>1305</v>
      </c>
      <c r="UAW32" t="s">
        <v>251</v>
      </c>
      <c r="UAX32" t="s">
        <v>1305</v>
      </c>
      <c r="UAY32" t="s">
        <v>251</v>
      </c>
      <c r="UAZ32" t="s">
        <v>1305</v>
      </c>
      <c r="UBA32" t="s">
        <v>251</v>
      </c>
      <c r="UBB32" t="s">
        <v>1305</v>
      </c>
      <c r="UBC32" t="s">
        <v>251</v>
      </c>
      <c r="UBD32" t="s">
        <v>1305</v>
      </c>
      <c r="UBE32" t="s">
        <v>251</v>
      </c>
      <c r="UBF32" t="s">
        <v>1305</v>
      </c>
      <c r="UBG32" t="s">
        <v>251</v>
      </c>
      <c r="UBH32" t="s">
        <v>1305</v>
      </c>
      <c r="UBI32" t="s">
        <v>251</v>
      </c>
      <c r="UBJ32" t="s">
        <v>1305</v>
      </c>
      <c r="UBK32" t="s">
        <v>251</v>
      </c>
      <c r="UBL32" t="s">
        <v>1305</v>
      </c>
      <c r="UBM32" t="s">
        <v>251</v>
      </c>
      <c r="UBN32" t="s">
        <v>1305</v>
      </c>
      <c r="UBO32" t="s">
        <v>251</v>
      </c>
      <c r="UBP32" t="s">
        <v>1305</v>
      </c>
      <c r="UBQ32" t="s">
        <v>251</v>
      </c>
      <c r="UBR32" t="s">
        <v>1305</v>
      </c>
      <c r="UBS32" t="s">
        <v>251</v>
      </c>
      <c r="UBT32" t="s">
        <v>1305</v>
      </c>
      <c r="UBU32" t="s">
        <v>251</v>
      </c>
      <c r="UBV32" t="s">
        <v>1305</v>
      </c>
      <c r="UBW32" t="s">
        <v>251</v>
      </c>
      <c r="UBX32" t="s">
        <v>1305</v>
      </c>
      <c r="UBY32" t="s">
        <v>251</v>
      </c>
      <c r="UBZ32" t="s">
        <v>1305</v>
      </c>
      <c r="UCA32" t="s">
        <v>251</v>
      </c>
      <c r="UCB32" t="s">
        <v>1305</v>
      </c>
      <c r="UCC32" t="s">
        <v>251</v>
      </c>
      <c r="UCD32" t="s">
        <v>1305</v>
      </c>
      <c r="UCE32" t="s">
        <v>251</v>
      </c>
      <c r="UCF32" t="s">
        <v>1305</v>
      </c>
      <c r="UCG32" t="s">
        <v>251</v>
      </c>
      <c r="UCH32" t="s">
        <v>1305</v>
      </c>
      <c r="UCI32" t="s">
        <v>251</v>
      </c>
      <c r="UCJ32" t="s">
        <v>1305</v>
      </c>
      <c r="UCK32" t="s">
        <v>251</v>
      </c>
      <c r="UCL32" t="s">
        <v>1305</v>
      </c>
      <c r="UCM32" t="s">
        <v>251</v>
      </c>
      <c r="UCN32" t="s">
        <v>1305</v>
      </c>
      <c r="UCO32" t="s">
        <v>251</v>
      </c>
      <c r="UCP32" t="s">
        <v>1305</v>
      </c>
      <c r="UCQ32" t="s">
        <v>251</v>
      </c>
      <c r="UCR32" t="s">
        <v>1305</v>
      </c>
      <c r="UCS32" t="s">
        <v>251</v>
      </c>
      <c r="UCT32" t="s">
        <v>1305</v>
      </c>
      <c r="UCU32" t="s">
        <v>251</v>
      </c>
      <c r="UCV32" t="s">
        <v>1305</v>
      </c>
      <c r="UCW32" t="s">
        <v>251</v>
      </c>
      <c r="UCX32" t="s">
        <v>1305</v>
      </c>
      <c r="UCY32" t="s">
        <v>251</v>
      </c>
      <c r="UCZ32" t="s">
        <v>1305</v>
      </c>
      <c r="UDA32" t="s">
        <v>251</v>
      </c>
      <c r="UDB32" t="s">
        <v>1305</v>
      </c>
      <c r="UDC32" t="s">
        <v>251</v>
      </c>
      <c r="UDD32" t="s">
        <v>1305</v>
      </c>
      <c r="UDE32" t="s">
        <v>251</v>
      </c>
      <c r="UDF32" t="s">
        <v>1305</v>
      </c>
      <c r="UDG32" t="s">
        <v>251</v>
      </c>
      <c r="UDH32" t="s">
        <v>1305</v>
      </c>
      <c r="UDI32" t="s">
        <v>251</v>
      </c>
      <c r="UDJ32" t="s">
        <v>1305</v>
      </c>
      <c r="UDK32" t="s">
        <v>251</v>
      </c>
      <c r="UDL32" t="s">
        <v>1305</v>
      </c>
      <c r="UDM32" t="s">
        <v>251</v>
      </c>
      <c r="UDN32" t="s">
        <v>1305</v>
      </c>
      <c r="UDO32" t="s">
        <v>251</v>
      </c>
      <c r="UDP32" t="s">
        <v>1305</v>
      </c>
      <c r="UDQ32" t="s">
        <v>251</v>
      </c>
      <c r="UDR32" t="s">
        <v>1305</v>
      </c>
      <c r="UDS32" t="s">
        <v>251</v>
      </c>
      <c r="UDT32" t="s">
        <v>1305</v>
      </c>
      <c r="UDU32" t="s">
        <v>251</v>
      </c>
      <c r="UDV32" t="s">
        <v>1305</v>
      </c>
      <c r="UDW32" t="s">
        <v>251</v>
      </c>
      <c r="UDX32" t="s">
        <v>1305</v>
      </c>
      <c r="UDY32" t="s">
        <v>251</v>
      </c>
      <c r="UDZ32" t="s">
        <v>1305</v>
      </c>
      <c r="UEA32" t="s">
        <v>251</v>
      </c>
      <c r="UEB32" t="s">
        <v>1305</v>
      </c>
      <c r="UEC32" t="s">
        <v>251</v>
      </c>
      <c r="UED32" t="s">
        <v>1305</v>
      </c>
      <c r="UEE32" t="s">
        <v>251</v>
      </c>
      <c r="UEF32" t="s">
        <v>1305</v>
      </c>
      <c r="UEG32" t="s">
        <v>251</v>
      </c>
      <c r="UEH32" t="s">
        <v>1305</v>
      </c>
      <c r="UEI32" t="s">
        <v>251</v>
      </c>
      <c r="UEJ32" t="s">
        <v>1305</v>
      </c>
      <c r="UEK32" t="s">
        <v>251</v>
      </c>
      <c r="UEL32" t="s">
        <v>1305</v>
      </c>
      <c r="UEM32" t="s">
        <v>251</v>
      </c>
      <c r="UEN32" t="s">
        <v>1305</v>
      </c>
      <c r="UEO32" t="s">
        <v>251</v>
      </c>
      <c r="UEP32" t="s">
        <v>1305</v>
      </c>
      <c r="UEQ32" t="s">
        <v>251</v>
      </c>
      <c r="UER32" t="s">
        <v>1305</v>
      </c>
      <c r="UES32" t="s">
        <v>251</v>
      </c>
      <c r="UET32" t="s">
        <v>1305</v>
      </c>
      <c r="UEU32" t="s">
        <v>251</v>
      </c>
      <c r="UEV32" t="s">
        <v>1305</v>
      </c>
      <c r="UEW32" t="s">
        <v>251</v>
      </c>
      <c r="UEX32" t="s">
        <v>1305</v>
      </c>
      <c r="UEY32" t="s">
        <v>251</v>
      </c>
      <c r="UEZ32" t="s">
        <v>1305</v>
      </c>
      <c r="UFA32" t="s">
        <v>251</v>
      </c>
      <c r="UFB32" t="s">
        <v>1305</v>
      </c>
      <c r="UFC32" t="s">
        <v>251</v>
      </c>
      <c r="UFD32" t="s">
        <v>1305</v>
      </c>
      <c r="UFE32" t="s">
        <v>251</v>
      </c>
      <c r="UFF32" t="s">
        <v>1305</v>
      </c>
      <c r="UFG32" t="s">
        <v>251</v>
      </c>
      <c r="UFH32" t="s">
        <v>1305</v>
      </c>
      <c r="UFI32" t="s">
        <v>251</v>
      </c>
      <c r="UFJ32" t="s">
        <v>1305</v>
      </c>
      <c r="UFK32" t="s">
        <v>251</v>
      </c>
      <c r="UFL32" t="s">
        <v>1305</v>
      </c>
      <c r="UFM32" t="s">
        <v>251</v>
      </c>
      <c r="UFN32" t="s">
        <v>1305</v>
      </c>
      <c r="UFO32" t="s">
        <v>251</v>
      </c>
      <c r="UFP32" t="s">
        <v>1305</v>
      </c>
      <c r="UFQ32" t="s">
        <v>251</v>
      </c>
      <c r="UFR32" t="s">
        <v>1305</v>
      </c>
      <c r="UFS32" t="s">
        <v>251</v>
      </c>
      <c r="UFT32" t="s">
        <v>1305</v>
      </c>
      <c r="UFU32" t="s">
        <v>251</v>
      </c>
      <c r="UFV32" t="s">
        <v>1305</v>
      </c>
      <c r="UFW32" t="s">
        <v>251</v>
      </c>
      <c r="UFX32" t="s">
        <v>1305</v>
      </c>
      <c r="UFY32" t="s">
        <v>251</v>
      </c>
      <c r="UFZ32" t="s">
        <v>1305</v>
      </c>
      <c r="UGA32" t="s">
        <v>251</v>
      </c>
      <c r="UGB32" t="s">
        <v>1305</v>
      </c>
      <c r="UGC32" t="s">
        <v>251</v>
      </c>
      <c r="UGD32" t="s">
        <v>1305</v>
      </c>
      <c r="UGE32" t="s">
        <v>251</v>
      </c>
      <c r="UGF32" t="s">
        <v>1305</v>
      </c>
      <c r="UGG32" t="s">
        <v>251</v>
      </c>
      <c r="UGH32" t="s">
        <v>1305</v>
      </c>
      <c r="UGI32" t="s">
        <v>251</v>
      </c>
      <c r="UGJ32" t="s">
        <v>1305</v>
      </c>
      <c r="UGK32" t="s">
        <v>251</v>
      </c>
      <c r="UGL32" t="s">
        <v>1305</v>
      </c>
      <c r="UGM32" t="s">
        <v>251</v>
      </c>
      <c r="UGN32" t="s">
        <v>1305</v>
      </c>
      <c r="UGO32" t="s">
        <v>251</v>
      </c>
      <c r="UGP32" t="s">
        <v>1305</v>
      </c>
      <c r="UGQ32" t="s">
        <v>251</v>
      </c>
      <c r="UGR32" t="s">
        <v>1305</v>
      </c>
      <c r="UGS32" t="s">
        <v>251</v>
      </c>
      <c r="UGT32" t="s">
        <v>1305</v>
      </c>
      <c r="UGU32" t="s">
        <v>251</v>
      </c>
      <c r="UGV32" t="s">
        <v>1305</v>
      </c>
      <c r="UGW32" t="s">
        <v>251</v>
      </c>
      <c r="UGX32" t="s">
        <v>1305</v>
      </c>
      <c r="UGY32" t="s">
        <v>251</v>
      </c>
      <c r="UGZ32" t="s">
        <v>1305</v>
      </c>
      <c r="UHA32" t="s">
        <v>251</v>
      </c>
      <c r="UHB32" t="s">
        <v>1305</v>
      </c>
      <c r="UHC32" t="s">
        <v>251</v>
      </c>
      <c r="UHD32" t="s">
        <v>1305</v>
      </c>
      <c r="UHE32" t="s">
        <v>251</v>
      </c>
      <c r="UHF32" t="s">
        <v>1305</v>
      </c>
      <c r="UHG32" t="s">
        <v>251</v>
      </c>
      <c r="UHH32" t="s">
        <v>1305</v>
      </c>
      <c r="UHI32" t="s">
        <v>251</v>
      </c>
      <c r="UHJ32" t="s">
        <v>1305</v>
      </c>
      <c r="UHK32" t="s">
        <v>251</v>
      </c>
      <c r="UHL32" t="s">
        <v>1305</v>
      </c>
      <c r="UHM32" t="s">
        <v>251</v>
      </c>
      <c r="UHN32" t="s">
        <v>1305</v>
      </c>
      <c r="UHO32" t="s">
        <v>251</v>
      </c>
      <c r="UHP32" t="s">
        <v>1305</v>
      </c>
      <c r="UHQ32" t="s">
        <v>251</v>
      </c>
      <c r="UHR32" t="s">
        <v>1305</v>
      </c>
      <c r="UHS32" t="s">
        <v>251</v>
      </c>
      <c r="UHT32" t="s">
        <v>1305</v>
      </c>
      <c r="UHU32" t="s">
        <v>251</v>
      </c>
      <c r="UHV32" t="s">
        <v>1305</v>
      </c>
      <c r="UHW32" t="s">
        <v>251</v>
      </c>
      <c r="UHX32" t="s">
        <v>1305</v>
      </c>
      <c r="UHY32" t="s">
        <v>251</v>
      </c>
      <c r="UHZ32" t="s">
        <v>1305</v>
      </c>
      <c r="UIA32" t="s">
        <v>251</v>
      </c>
      <c r="UIB32" t="s">
        <v>1305</v>
      </c>
      <c r="UIC32" t="s">
        <v>251</v>
      </c>
      <c r="UID32" t="s">
        <v>1305</v>
      </c>
      <c r="UIE32" t="s">
        <v>251</v>
      </c>
      <c r="UIF32" t="s">
        <v>1305</v>
      </c>
      <c r="UIG32" t="s">
        <v>251</v>
      </c>
      <c r="UIH32" t="s">
        <v>1305</v>
      </c>
      <c r="UII32" t="s">
        <v>251</v>
      </c>
      <c r="UIJ32" t="s">
        <v>1305</v>
      </c>
      <c r="UIK32" t="s">
        <v>251</v>
      </c>
      <c r="UIL32" t="s">
        <v>1305</v>
      </c>
      <c r="UIM32" t="s">
        <v>251</v>
      </c>
      <c r="UIN32" t="s">
        <v>1305</v>
      </c>
      <c r="UIO32" t="s">
        <v>251</v>
      </c>
      <c r="UIP32" t="s">
        <v>1305</v>
      </c>
      <c r="UIQ32" t="s">
        <v>251</v>
      </c>
      <c r="UIR32" t="s">
        <v>1305</v>
      </c>
      <c r="UIS32" t="s">
        <v>251</v>
      </c>
      <c r="UIT32" t="s">
        <v>1305</v>
      </c>
      <c r="UIU32" t="s">
        <v>251</v>
      </c>
      <c r="UIV32" t="s">
        <v>1305</v>
      </c>
      <c r="UIW32" t="s">
        <v>251</v>
      </c>
      <c r="UIX32" t="s">
        <v>1305</v>
      </c>
      <c r="UIY32" t="s">
        <v>251</v>
      </c>
      <c r="UIZ32" t="s">
        <v>1305</v>
      </c>
      <c r="UJA32" t="s">
        <v>251</v>
      </c>
      <c r="UJB32" t="s">
        <v>1305</v>
      </c>
      <c r="UJC32" t="s">
        <v>251</v>
      </c>
      <c r="UJD32" t="s">
        <v>1305</v>
      </c>
      <c r="UJE32" t="s">
        <v>251</v>
      </c>
      <c r="UJF32" t="s">
        <v>1305</v>
      </c>
      <c r="UJG32" t="s">
        <v>251</v>
      </c>
      <c r="UJH32" t="s">
        <v>1305</v>
      </c>
      <c r="UJI32" t="s">
        <v>251</v>
      </c>
      <c r="UJJ32" t="s">
        <v>1305</v>
      </c>
      <c r="UJK32" t="s">
        <v>251</v>
      </c>
      <c r="UJL32" t="s">
        <v>1305</v>
      </c>
      <c r="UJM32" t="s">
        <v>251</v>
      </c>
      <c r="UJN32" t="s">
        <v>1305</v>
      </c>
      <c r="UJO32" t="s">
        <v>251</v>
      </c>
      <c r="UJP32" t="s">
        <v>1305</v>
      </c>
      <c r="UJQ32" t="s">
        <v>251</v>
      </c>
      <c r="UJR32" t="s">
        <v>1305</v>
      </c>
      <c r="UJS32" t="s">
        <v>251</v>
      </c>
      <c r="UJT32" t="s">
        <v>1305</v>
      </c>
      <c r="UJU32" t="s">
        <v>251</v>
      </c>
      <c r="UJV32" t="s">
        <v>1305</v>
      </c>
      <c r="UJW32" t="s">
        <v>251</v>
      </c>
      <c r="UJX32" t="s">
        <v>1305</v>
      </c>
      <c r="UJY32" t="s">
        <v>251</v>
      </c>
      <c r="UJZ32" t="s">
        <v>1305</v>
      </c>
      <c r="UKA32" t="s">
        <v>251</v>
      </c>
      <c r="UKB32" t="s">
        <v>1305</v>
      </c>
      <c r="UKC32" t="s">
        <v>251</v>
      </c>
      <c r="UKD32" t="s">
        <v>1305</v>
      </c>
      <c r="UKE32" t="s">
        <v>251</v>
      </c>
      <c r="UKF32" t="s">
        <v>1305</v>
      </c>
      <c r="UKG32" t="s">
        <v>251</v>
      </c>
      <c r="UKH32" t="s">
        <v>1305</v>
      </c>
      <c r="UKI32" t="s">
        <v>251</v>
      </c>
      <c r="UKJ32" t="s">
        <v>1305</v>
      </c>
      <c r="UKK32" t="s">
        <v>251</v>
      </c>
      <c r="UKL32" t="s">
        <v>1305</v>
      </c>
      <c r="UKM32" t="s">
        <v>251</v>
      </c>
      <c r="UKN32" t="s">
        <v>1305</v>
      </c>
      <c r="UKO32" t="s">
        <v>251</v>
      </c>
      <c r="UKP32" t="s">
        <v>1305</v>
      </c>
      <c r="UKQ32" t="s">
        <v>251</v>
      </c>
      <c r="UKR32" t="s">
        <v>1305</v>
      </c>
      <c r="UKS32" t="s">
        <v>251</v>
      </c>
      <c r="UKT32" t="s">
        <v>1305</v>
      </c>
      <c r="UKU32" t="s">
        <v>251</v>
      </c>
      <c r="UKV32" t="s">
        <v>1305</v>
      </c>
      <c r="UKW32" t="s">
        <v>251</v>
      </c>
      <c r="UKX32" t="s">
        <v>1305</v>
      </c>
      <c r="UKY32" t="s">
        <v>251</v>
      </c>
      <c r="UKZ32" t="s">
        <v>1305</v>
      </c>
      <c r="ULA32" t="s">
        <v>251</v>
      </c>
      <c r="ULB32" t="s">
        <v>1305</v>
      </c>
      <c r="ULC32" t="s">
        <v>251</v>
      </c>
      <c r="ULD32" t="s">
        <v>1305</v>
      </c>
      <c r="ULE32" t="s">
        <v>251</v>
      </c>
      <c r="ULF32" t="s">
        <v>1305</v>
      </c>
      <c r="ULG32" t="s">
        <v>251</v>
      </c>
      <c r="ULH32" t="s">
        <v>1305</v>
      </c>
      <c r="ULI32" t="s">
        <v>251</v>
      </c>
      <c r="ULJ32" t="s">
        <v>1305</v>
      </c>
      <c r="ULK32" t="s">
        <v>251</v>
      </c>
      <c r="ULL32" t="s">
        <v>1305</v>
      </c>
      <c r="ULM32" t="s">
        <v>251</v>
      </c>
      <c r="ULN32" t="s">
        <v>1305</v>
      </c>
      <c r="ULO32" t="s">
        <v>251</v>
      </c>
      <c r="ULP32" t="s">
        <v>1305</v>
      </c>
      <c r="ULQ32" t="s">
        <v>251</v>
      </c>
      <c r="ULR32" t="s">
        <v>1305</v>
      </c>
      <c r="ULS32" t="s">
        <v>251</v>
      </c>
      <c r="ULT32" t="s">
        <v>1305</v>
      </c>
      <c r="ULU32" t="s">
        <v>251</v>
      </c>
      <c r="ULV32" t="s">
        <v>1305</v>
      </c>
      <c r="ULW32" t="s">
        <v>251</v>
      </c>
      <c r="ULX32" t="s">
        <v>1305</v>
      </c>
      <c r="ULY32" t="s">
        <v>251</v>
      </c>
      <c r="ULZ32" t="s">
        <v>1305</v>
      </c>
      <c r="UMA32" t="s">
        <v>251</v>
      </c>
      <c r="UMB32" t="s">
        <v>1305</v>
      </c>
      <c r="UMC32" t="s">
        <v>251</v>
      </c>
      <c r="UMD32" t="s">
        <v>1305</v>
      </c>
      <c r="UME32" t="s">
        <v>251</v>
      </c>
      <c r="UMF32" t="s">
        <v>1305</v>
      </c>
      <c r="UMG32" t="s">
        <v>251</v>
      </c>
      <c r="UMH32" t="s">
        <v>1305</v>
      </c>
      <c r="UMI32" t="s">
        <v>251</v>
      </c>
      <c r="UMJ32" t="s">
        <v>1305</v>
      </c>
      <c r="UMK32" t="s">
        <v>251</v>
      </c>
      <c r="UML32" t="s">
        <v>1305</v>
      </c>
      <c r="UMM32" t="s">
        <v>251</v>
      </c>
      <c r="UMN32" t="s">
        <v>1305</v>
      </c>
      <c r="UMO32" t="s">
        <v>251</v>
      </c>
      <c r="UMP32" t="s">
        <v>1305</v>
      </c>
      <c r="UMQ32" t="s">
        <v>251</v>
      </c>
      <c r="UMR32" t="s">
        <v>1305</v>
      </c>
      <c r="UMS32" t="s">
        <v>251</v>
      </c>
      <c r="UMT32" t="s">
        <v>1305</v>
      </c>
      <c r="UMU32" t="s">
        <v>251</v>
      </c>
      <c r="UMV32" t="s">
        <v>1305</v>
      </c>
      <c r="UMW32" t="s">
        <v>251</v>
      </c>
      <c r="UMX32" t="s">
        <v>1305</v>
      </c>
      <c r="UMY32" t="s">
        <v>251</v>
      </c>
      <c r="UMZ32" t="s">
        <v>1305</v>
      </c>
      <c r="UNA32" t="s">
        <v>251</v>
      </c>
      <c r="UNB32" t="s">
        <v>1305</v>
      </c>
      <c r="UNC32" t="s">
        <v>251</v>
      </c>
      <c r="UND32" t="s">
        <v>1305</v>
      </c>
      <c r="UNE32" t="s">
        <v>251</v>
      </c>
      <c r="UNF32" t="s">
        <v>1305</v>
      </c>
      <c r="UNG32" t="s">
        <v>251</v>
      </c>
      <c r="UNH32" t="s">
        <v>1305</v>
      </c>
      <c r="UNI32" t="s">
        <v>251</v>
      </c>
      <c r="UNJ32" t="s">
        <v>1305</v>
      </c>
      <c r="UNK32" t="s">
        <v>251</v>
      </c>
      <c r="UNL32" t="s">
        <v>1305</v>
      </c>
      <c r="UNM32" t="s">
        <v>251</v>
      </c>
      <c r="UNN32" t="s">
        <v>1305</v>
      </c>
      <c r="UNO32" t="s">
        <v>251</v>
      </c>
      <c r="UNP32" t="s">
        <v>1305</v>
      </c>
      <c r="UNQ32" t="s">
        <v>251</v>
      </c>
      <c r="UNR32" t="s">
        <v>1305</v>
      </c>
      <c r="UNS32" t="s">
        <v>251</v>
      </c>
      <c r="UNT32" t="s">
        <v>1305</v>
      </c>
      <c r="UNU32" t="s">
        <v>251</v>
      </c>
      <c r="UNV32" t="s">
        <v>1305</v>
      </c>
      <c r="UNW32" t="s">
        <v>251</v>
      </c>
      <c r="UNX32" t="s">
        <v>1305</v>
      </c>
      <c r="UNY32" t="s">
        <v>251</v>
      </c>
      <c r="UNZ32" t="s">
        <v>1305</v>
      </c>
      <c r="UOA32" t="s">
        <v>251</v>
      </c>
      <c r="UOB32" t="s">
        <v>1305</v>
      </c>
      <c r="UOC32" t="s">
        <v>251</v>
      </c>
      <c r="UOD32" t="s">
        <v>1305</v>
      </c>
      <c r="UOE32" t="s">
        <v>251</v>
      </c>
      <c r="UOF32" t="s">
        <v>1305</v>
      </c>
      <c r="UOG32" t="s">
        <v>251</v>
      </c>
      <c r="UOH32" t="s">
        <v>1305</v>
      </c>
      <c r="UOI32" t="s">
        <v>251</v>
      </c>
      <c r="UOJ32" t="s">
        <v>1305</v>
      </c>
      <c r="UOK32" t="s">
        <v>251</v>
      </c>
      <c r="UOL32" t="s">
        <v>1305</v>
      </c>
      <c r="UOM32" t="s">
        <v>251</v>
      </c>
      <c r="UON32" t="s">
        <v>1305</v>
      </c>
      <c r="UOO32" t="s">
        <v>251</v>
      </c>
      <c r="UOP32" t="s">
        <v>1305</v>
      </c>
      <c r="UOQ32" t="s">
        <v>251</v>
      </c>
      <c r="UOR32" t="s">
        <v>1305</v>
      </c>
      <c r="UOS32" t="s">
        <v>251</v>
      </c>
      <c r="UOT32" t="s">
        <v>1305</v>
      </c>
      <c r="UOU32" t="s">
        <v>251</v>
      </c>
      <c r="UOV32" t="s">
        <v>1305</v>
      </c>
      <c r="UOW32" t="s">
        <v>251</v>
      </c>
      <c r="UOX32" t="s">
        <v>1305</v>
      </c>
      <c r="UOY32" t="s">
        <v>251</v>
      </c>
      <c r="UOZ32" t="s">
        <v>1305</v>
      </c>
      <c r="UPA32" t="s">
        <v>251</v>
      </c>
      <c r="UPB32" t="s">
        <v>1305</v>
      </c>
      <c r="UPC32" t="s">
        <v>251</v>
      </c>
      <c r="UPD32" t="s">
        <v>1305</v>
      </c>
      <c r="UPE32" t="s">
        <v>251</v>
      </c>
      <c r="UPF32" t="s">
        <v>1305</v>
      </c>
      <c r="UPG32" t="s">
        <v>251</v>
      </c>
      <c r="UPH32" t="s">
        <v>1305</v>
      </c>
      <c r="UPI32" t="s">
        <v>251</v>
      </c>
      <c r="UPJ32" t="s">
        <v>1305</v>
      </c>
      <c r="UPK32" t="s">
        <v>251</v>
      </c>
      <c r="UPL32" t="s">
        <v>1305</v>
      </c>
      <c r="UPM32" t="s">
        <v>251</v>
      </c>
      <c r="UPN32" t="s">
        <v>1305</v>
      </c>
      <c r="UPO32" t="s">
        <v>251</v>
      </c>
      <c r="UPP32" t="s">
        <v>1305</v>
      </c>
      <c r="UPQ32" t="s">
        <v>251</v>
      </c>
      <c r="UPR32" t="s">
        <v>1305</v>
      </c>
      <c r="UPS32" t="s">
        <v>251</v>
      </c>
      <c r="UPT32" t="s">
        <v>1305</v>
      </c>
      <c r="UPU32" t="s">
        <v>251</v>
      </c>
      <c r="UPV32" t="s">
        <v>1305</v>
      </c>
      <c r="UPW32" t="s">
        <v>251</v>
      </c>
      <c r="UPX32" t="s">
        <v>1305</v>
      </c>
      <c r="UPY32" t="s">
        <v>251</v>
      </c>
      <c r="UPZ32" t="s">
        <v>1305</v>
      </c>
      <c r="UQA32" t="s">
        <v>251</v>
      </c>
      <c r="UQB32" t="s">
        <v>1305</v>
      </c>
      <c r="UQC32" t="s">
        <v>251</v>
      </c>
      <c r="UQD32" t="s">
        <v>1305</v>
      </c>
      <c r="UQE32" t="s">
        <v>251</v>
      </c>
      <c r="UQF32" t="s">
        <v>1305</v>
      </c>
      <c r="UQG32" t="s">
        <v>251</v>
      </c>
      <c r="UQH32" t="s">
        <v>1305</v>
      </c>
      <c r="UQI32" t="s">
        <v>251</v>
      </c>
      <c r="UQJ32" t="s">
        <v>1305</v>
      </c>
      <c r="UQK32" t="s">
        <v>251</v>
      </c>
      <c r="UQL32" t="s">
        <v>1305</v>
      </c>
      <c r="UQM32" t="s">
        <v>251</v>
      </c>
      <c r="UQN32" t="s">
        <v>1305</v>
      </c>
      <c r="UQO32" t="s">
        <v>251</v>
      </c>
      <c r="UQP32" t="s">
        <v>1305</v>
      </c>
      <c r="UQQ32" t="s">
        <v>251</v>
      </c>
      <c r="UQR32" t="s">
        <v>1305</v>
      </c>
      <c r="UQS32" t="s">
        <v>251</v>
      </c>
      <c r="UQT32" t="s">
        <v>1305</v>
      </c>
      <c r="UQU32" t="s">
        <v>251</v>
      </c>
      <c r="UQV32" t="s">
        <v>1305</v>
      </c>
      <c r="UQW32" t="s">
        <v>251</v>
      </c>
      <c r="UQX32" t="s">
        <v>1305</v>
      </c>
      <c r="UQY32" t="s">
        <v>251</v>
      </c>
      <c r="UQZ32" t="s">
        <v>1305</v>
      </c>
      <c r="URA32" t="s">
        <v>251</v>
      </c>
      <c r="URB32" t="s">
        <v>1305</v>
      </c>
      <c r="URC32" t="s">
        <v>251</v>
      </c>
      <c r="URD32" t="s">
        <v>1305</v>
      </c>
      <c r="URE32" t="s">
        <v>251</v>
      </c>
      <c r="URF32" t="s">
        <v>1305</v>
      </c>
      <c r="URG32" t="s">
        <v>251</v>
      </c>
      <c r="URH32" t="s">
        <v>1305</v>
      </c>
      <c r="URI32" t="s">
        <v>251</v>
      </c>
      <c r="URJ32" t="s">
        <v>1305</v>
      </c>
      <c r="URK32" t="s">
        <v>251</v>
      </c>
      <c r="URL32" t="s">
        <v>1305</v>
      </c>
      <c r="URM32" t="s">
        <v>251</v>
      </c>
      <c r="URN32" t="s">
        <v>1305</v>
      </c>
      <c r="URO32" t="s">
        <v>251</v>
      </c>
      <c r="URP32" t="s">
        <v>1305</v>
      </c>
      <c r="URQ32" t="s">
        <v>251</v>
      </c>
      <c r="URR32" t="s">
        <v>1305</v>
      </c>
      <c r="URS32" t="s">
        <v>251</v>
      </c>
      <c r="URT32" t="s">
        <v>1305</v>
      </c>
      <c r="URU32" t="s">
        <v>251</v>
      </c>
      <c r="URV32" t="s">
        <v>1305</v>
      </c>
      <c r="URW32" t="s">
        <v>251</v>
      </c>
      <c r="URX32" t="s">
        <v>1305</v>
      </c>
      <c r="URY32" t="s">
        <v>251</v>
      </c>
      <c r="URZ32" t="s">
        <v>1305</v>
      </c>
      <c r="USA32" t="s">
        <v>251</v>
      </c>
      <c r="USB32" t="s">
        <v>1305</v>
      </c>
      <c r="USC32" t="s">
        <v>251</v>
      </c>
      <c r="USD32" t="s">
        <v>1305</v>
      </c>
      <c r="USE32" t="s">
        <v>251</v>
      </c>
      <c r="USF32" t="s">
        <v>1305</v>
      </c>
      <c r="USG32" t="s">
        <v>251</v>
      </c>
      <c r="USH32" t="s">
        <v>1305</v>
      </c>
      <c r="USI32" t="s">
        <v>251</v>
      </c>
      <c r="USJ32" t="s">
        <v>1305</v>
      </c>
      <c r="USK32" t="s">
        <v>251</v>
      </c>
      <c r="USL32" t="s">
        <v>1305</v>
      </c>
      <c r="USM32" t="s">
        <v>251</v>
      </c>
      <c r="USN32" t="s">
        <v>1305</v>
      </c>
      <c r="USO32" t="s">
        <v>251</v>
      </c>
      <c r="USP32" t="s">
        <v>1305</v>
      </c>
      <c r="USQ32" t="s">
        <v>251</v>
      </c>
      <c r="USR32" t="s">
        <v>1305</v>
      </c>
      <c r="USS32" t="s">
        <v>251</v>
      </c>
      <c r="UST32" t="s">
        <v>1305</v>
      </c>
      <c r="USU32" t="s">
        <v>251</v>
      </c>
      <c r="USV32" t="s">
        <v>1305</v>
      </c>
      <c r="USW32" t="s">
        <v>251</v>
      </c>
      <c r="USX32" t="s">
        <v>1305</v>
      </c>
      <c r="USY32" t="s">
        <v>251</v>
      </c>
      <c r="USZ32" t="s">
        <v>1305</v>
      </c>
      <c r="UTA32" t="s">
        <v>251</v>
      </c>
      <c r="UTB32" t="s">
        <v>1305</v>
      </c>
      <c r="UTC32" t="s">
        <v>251</v>
      </c>
      <c r="UTD32" t="s">
        <v>1305</v>
      </c>
      <c r="UTE32" t="s">
        <v>251</v>
      </c>
      <c r="UTF32" t="s">
        <v>1305</v>
      </c>
      <c r="UTG32" t="s">
        <v>251</v>
      </c>
      <c r="UTH32" t="s">
        <v>1305</v>
      </c>
      <c r="UTI32" t="s">
        <v>251</v>
      </c>
      <c r="UTJ32" t="s">
        <v>1305</v>
      </c>
      <c r="UTK32" t="s">
        <v>251</v>
      </c>
      <c r="UTL32" t="s">
        <v>1305</v>
      </c>
      <c r="UTM32" t="s">
        <v>251</v>
      </c>
      <c r="UTN32" t="s">
        <v>1305</v>
      </c>
      <c r="UTO32" t="s">
        <v>251</v>
      </c>
      <c r="UTP32" t="s">
        <v>1305</v>
      </c>
      <c r="UTQ32" t="s">
        <v>251</v>
      </c>
      <c r="UTR32" t="s">
        <v>1305</v>
      </c>
      <c r="UTS32" t="s">
        <v>251</v>
      </c>
      <c r="UTT32" t="s">
        <v>1305</v>
      </c>
      <c r="UTU32" t="s">
        <v>251</v>
      </c>
      <c r="UTV32" t="s">
        <v>1305</v>
      </c>
      <c r="UTW32" t="s">
        <v>251</v>
      </c>
      <c r="UTX32" t="s">
        <v>1305</v>
      </c>
      <c r="UTY32" t="s">
        <v>251</v>
      </c>
      <c r="UTZ32" t="s">
        <v>1305</v>
      </c>
      <c r="UUA32" t="s">
        <v>251</v>
      </c>
      <c r="UUB32" t="s">
        <v>1305</v>
      </c>
      <c r="UUC32" t="s">
        <v>251</v>
      </c>
      <c r="UUD32" t="s">
        <v>1305</v>
      </c>
      <c r="UUE32" t="s">
        <v>251</v>
      </c>
      <c r="UUF32" t="s">
        <v>1305</v>
      </c>
      <c r="UUG32" t="s">
        <v>251</v>
      </c>
      <c r="UUH32" t="s">
        <v>1305</v>
      </c>
      <c r="UUI32" t="s">
        <v>251</v>
      </c>
      <c r="UUJ32" t="s">
        <v>1305</v>
      </c>
      <c r="UUK32" t="s">
        <v>251</v>
      </c>
      <c r="UUL32" t="s">
        <v>1305</v>
      </c>
      <c r="UUM32" t="s">
        <v>251</v>
      </c>
      <c r="UUN32" t="s">
        <v>1305</v>
      </c>
      <c r="UUO32" t="s">
        <v>251</v>
      </c>
      <c r="UUP32" t="s">
        <v>1305</v>
      </c>
      <c r="UUQ32" t="s">
        <v>251</v>
      </c>
      <c r="UUR32" t="s">
        <v>1305</v>
      </c>
      <c r="UUS32" t="s">
        <v>251</v>
      </c>
      <c r="UUT32" t="s">
        <v>1305</v>
      </c>
      <c r="UUU32" t="s">
        <v>251</v>
      </c>
      <c r="UUV32" t="s">
        <v>1305</v>
      </c>
      <c r="UUW32" t="s">
        <v>251</v>
      </c>
      <c r="UUX32" t="s">
        <v>1305</v>
      </c>
      <c r="UUY32" t="s">
        <v>251</v>
      </c>
      <c r="UUZ32" t="s">
        <v>1305</v>
      </c>
      <c r="UVA32" t="s">
        <v>251</v>
      </c>
      <c r="UVB32" t="s">
        <v>1305</v>
      </c>
      <c r="UVC32" t="s">
        <v>251</v>
      </c>
      <c r="UVD32" t="s">
        <v>1305</v>
      </c>
      <c r="UVE32" t="s">
        <v>251</v>
      </c>
      <c r="UVF32" t="s">
        <v>1305</v>
      </c>
      <c r="UVG32" t="s">
        <v>251</v>
      </c>
      <c r="UVH32" t="s">
        <v>1305</v>
      </c>
      <c r="UVI32" t="s">
        <v>251</v>
      </c>
      <c r="UVJ32" t="s">
        <v>1305</v>
      </c>
      <c r="UVK32" t="s">
        <v>251</v>
      </c>
      <c r="UVL32" t="s">
        <v>1305</v>
      </c>
      <c r="UVM32" t="s">
        <v>251</v>
      </c>
      <c r="UVN32" t="s">
        <v>1305</v>
      </c>
      <c r="UVO32" t="s">
        <v>251</v>
      </c>
      <c r="UVP32" t="s">
        <v>1305</v>
      </c>
      <c r="UVQ32" t="s">
        <v>251</v>
      </c>
      <c r="UVR32" t="s">
        <v>1305</v>
      </c>
      <c r="UVS32" t="s">
        <v>251</v>
      </c>
      <c r="UVT32" t="s">
        <v>1305</v>
      </c>
      <c r="UVU32" t="s">
        <v>251</v>
      </c>
      <c r="UVV32" t="s">
        <v>1305</v>
      </c>
      <c r="UVW32" t="s">
        <v>251</v>
      </c>
      <c r="UVX32" t="s">
        <v>1305</v>
      </c>
      <c r="UVY32" t="s">
        <v>251</v>
      </c>
      <c r="UVZ32" t="s">
        <v>1305</v>
      </c>
      <c r="UWA32" t="s">
        <v>251</v>
      </c>
      <c r="UWB32" t="s">
        <v>1305</v>
      </c>
      <c r="UWC32" t="s">
        <v>251</v>
      </c>
      <c r="UWD32" t="s">
        <v>1305</v>
      </c>
      <c r="UWE32" t="s">
        <v>251</v>
      </c>
      <c r="UWF32" t="s">
        <v>1305</v>
      </c>
      <c r="UWG32" t="s">
        <v>251</v>
      </c>
      <c r="UWH32" t="s">
        <v>1305</v>
      </c>
      <c r="UWI32" t="s">
        <v>251</v>
      </c>
      <c r="UWJ32" t="s">
        <v>1305</v>
      </c>
      <c r="UWK32" t="s">
        <v>251</v>
      </c>
      <c r="UWL32" t="s">
        <v>1305</v>
      </c>
      <c r="UWM32" t="s">
        <v>251</v>
      </c>
      <c r="UWN32" t="s">
        <v>1305</v>
      </c>
      <c r="UWO32" t="s">
        <v>251</v>
      </c>
      <c r="UWP32" t="s">
        <v>1305</v>
      </c>
      <c r="UWQ32" t="s">
        <v>251</v>
      </c>
      <c r="UWR32" t="s">
        <v>1305</v>
      </c>
      <c r="UWS32" t="s">
        <v>251</v>
      </c>
      <c r="UWT32" t="s">
        <v>1305</v>
      </c>
      <c r="UWU32" t="s">
        <v>251</v>
      </c>
      <c r="UWV32" t="s">
        <v>1305</v>
      </c>
      <c r="UWW32" t="s">
        <v>251</v>
      </c>
      <c r="UWX32" t="s">
        <v>1305</v>
      </c>
      <c r="UWY32" t="s">
        <v>251</v>
      </c>
      <c r="UWZ32" t="s">
        <v>1305</v>
      </c>
      <c r="UXA32" t="s">
        <v>251</v>
      </c>
      <c r="UXB32" t="s">
        <v>1305</v>
      </c>
      <c r="UXC32" t="s">
        <v>251</v>
      </c>
      <c r="UXD32" t="s">
        <v>1305</v>
      </c>
      <c r="UXE32" t="s">
        <v>251</v>
      </c>
      <c r="UXF32" t="s">
        <v>1305</v>
      </c>
      <c r="UXG32" t="s">
        <v>251</v>
      </c>
      <c r="UXH32" t="s">
        <v>1305</v>
      </c>
      <c r="UXI32" t="s">
        <v>251</v>
      </c>
      <c r="UXJ32" t="s">
        <v>1305</v>
      </c>
      <c r="UXK32" t="s">
        <v>251</v>
      </c>
      <c r="UXL32" t="s">
        <v>1305</v>
      </c>
      <c r="UXM32" t="s">
        <v>251</v>
      </c>
      <c r="UXN32" t="s">
        <v>1305</v>
      </c>
      <c r="UXO32" t="s">
        <v>251</v>
      </c>
      <c r="UXP32" t="s">
        <v>1305</v>
      </c>
      <c r="UXQ32" t="s">
        <v>251</v>
      </c>
      <c r="UXR32" t="s">
        <v>1305</v>
      </c>
      <c r="UXS32" t="s">
        <v>251</v>
      </c>
      <c r="UXT32" t="s">
        <v>1305</v>
      </c>
      <c r="UXU32" t="s">
        <v>251</v>
      </c>
      <c r="UXV32" t="s">
        <v>1305</v>
      </c>
      <c r="UXW32" t="s">
        <v>251</v>
      </c>
      <c r="UXX32" t="s">
        <v>1305</v>
      </c>
      <c r="UXY32" t="s">
        <v>251</v>
      </c>
      <c r="UXZ32" t="s">
        <v>1305</v>
      </c>
      <c r="UYA32" t="s">
        <v>251</v>
      </c>
      <c r="UYB32" t="s">
        <v>1305</v>
      </c>
      <c r="UYC32" t="s">
        <v>251</v>
      </c>
      <c r="UYD32" t="s">
        <v>1305</v>
      </c>
      <c r="UYE32" t="s">
        <v>251</v>
      </c>
      <c r="UYF32" t="s">
        <v>1305</v>
      </c>
      <c r="UYG32" t="s">
        <v>251</v>
      </c>
      <c r="UYH32" t="s">
        <v>1305</v>
      </c>
      <c r="UYI32" t="s">
        <v>251</v>
      </c>
      <c r="UYJ32" t="s">
        <v>1305</v>
      </c>
      <c r="UYK32" t="s">
        <v>251</v>
      </c>
      <c r="UYL32" t="s">
        <v>1305</v>
      </c>
      <c r="UYM32" t="s">
        <v>251</v>
      </c>
      <c r="UYN32" t="s">
        <v>1305</v>
      </c>
      <c r="UYO32" t="s">
        <v>251</v>
      </c>
      <c r="UYP32" t="s">
        <v>1305</v>
      </c>
      <c r="UYQ32" t="s">
        <v>251</v>
      </c>
      <c r="UYR32" t="s">
        <v>1305</v>
      </c>
      <c r="UYS32" t="s">
        <v>251</v>
      </c>
      <c r="UYT32" t="s">
        <v>1305</v>
      </c>
      <c r="UYU32" t="s">
        <v>251</v>
      </c>
      <c r="UYV32" t="s">
        <v>1305</v>
      </c>
      <c r="UYW32" t="s">
        <v>251</v>
      </c>
      <c r="UYX32" t="s">
        <v>1305</v>
      </c>
      <c r="UYY32" t="s">
        <v>251</v>
      </c>
      <c r="UYZ32" t="s">
        <v>1305</v>
      </c>
      <c r="UZA32" t="s">
        <v>251</v>
      </c>
      <c r="UZB32" t="s">
        <v>1305</v>
      </c>
      <c r="UZC32" t="s">
        <v>251</v>
      </c>
      <c r="UZD32" t="s">
        <v>1305</v>
      </c>
      <c r="UZE32" t="s">
        <v>251</v>
      </c>
      <c r="UZF32" t="s">
        <v>1305</v>
      </c>
      <c r="UZG32" t="s">
        <v>251</v>
      </c>
      <c r="UZH32" t="s">
        <v>1305</v>
      </c>
      <c r="UZI32" t="s">
        <v>251</v>
      </c>
      <c r="UZJ32" t="s">
        <v>1305</v>
      </c>
      <c r="UZK32" t="s">
        <v>251</v>
      </c>
      <c r="UZL32" t="s">
        <v>1305</v>
      </c>
      <c r="UZM32" t="s">
        <v>251</v>
      </c>
      <c r="UZN32" t="s">
        <v>1305</v>
      </c>
      <c r="UZO32" t="s">
        <v>251</v>
      </c>
      <c r="UZP32" t="s">
        <v>1305</v>
      </c>
      <c r="UZQ32" t="s">
        <v>251</v>
      </c>
      <c r="UZR32" t="s">
        <v>1305</v>
      </c>
      <c r="UZS32" t="s">
        <v>251</v>
      </c>
      <c r="UZT32" t="s">
        <v>1305</v>
      </c>
      <c r="UZU32" t="s">
        <v>251</v>
      </c>
      <c r="UZV32" t="s">
        <v>1305</v>
      </c>
      <c r="UZW32" t="s">
        <v>251</v>
      </c>
      <c r="UZX32" t="s">
        <v>1305</v>
      </c>
      <c r="UZY32" t="s">
        <v>251</v>
      </c>
      <c r="UZZ32" t="s">
        <v>1305</v>
      </c>
      <c r="VAA32" t="s">
        <v>251</v>
      </c>
      <c r="VAB32" t="s">
        <v>1305</v>
      </c>
      <c r="VAC32" t="s">
        <v>251</v>
      </c>
      <c r="VAD32" t="s">
        <v>1305</v>
      </c>
      <c r="VAE32" t="s">
        <v>251</v>
      </c>
      <c r="VAF32" t="s">
        <v>1305</v>
      </c>
      <c r="VAG32" t="s">
        <v>251</v>
      </c>
      <c r="VAH32" t="s">
        <v>1305</v>
      </c>
      <c r="VAI32" t="s">
        <v>251</v>
      </c>
      <c r="VAJ32" t="s">
        <v>1305</v>
      </c>
      <c r="VAK32" t="s">
        <v>251</v>
      </c>
      <c r="VAL32" t="s">
        <v>1305</v>
      </c>
      <c r="VAM32" t="s">
        <v>251</v>
      </c>
      <c r="VAN32" t="s">
        <v>1305</v>
      </c>
      <c r="VAO32" t="s">
        <v>251</v>
      </c>
      <c r="VAP32" t="s">
        <v>1305</v>
      </c>
      <c r="VAQ32" t="s">
        <v>251</v>
      </c>
      <c r="VAR32" t="s">
        <v>1305</v>
      </c>
      <c r="VAS32" t="s">
        <v>251</v>
      </c>
      <c r="VAT32" t="s">
        <v>1305</v>
      </c>
      <c r="VAU32" t="s">
        <v>251</v>
      </c>
      <c r="VAV32" t="s">
        <v>1305</v>
      </c>
      <c r="VAW32" t="s">
        <v>251</v>
      </c>
      <c r="VAX32" t="s">
        <v>1305</v>
      </c>
      <c r="VAY32" t="s">
        <v>251</v>
      </c>
      <c r="VAZ32" t="s">
        <v>1305</v>
      </c>
      <c r="VBA32" t="s">
        <v>251</v>
      </c>
      <c r="VBB32" t="s">
        <v>1305</v>
      </c>
      <c r="VBC32" t="s">
        <v>251</v>
      </c>
      <c r="VBD32" t="s">
        <v>1305</v>
      </c>
      <c r="VBE32" t="s">
        <v>251</v>
      </c>
      <c r="VBF32" t="s">
        <v>1305</v>
      </c>
      <c r="VBG32" t="s">
        <v>251</v>
      </c>
      <c r="VBH32" t="s">
        <v>1305</v>
      </c>
      <c r="VBI32" t="s">
        <v>251</v>
      </c>
      <c r="VBJ32" t="s">
        <v>1305</v>
      </c>
      <c r="VBK32" t="s">
        <v>251</v>
      </c>
      <c r="VBL32" t="s">
        <v>1305</v>
      </c>
      <c r="VBM32" t="s">
        <v>251</v>
      </c>
      <c r="VBN32" t="s">
        <v>1305</v>
      </c>
      <c r="VBO32" t="s">
        <v>251</v>
      </c>
      <c r="VBP32" t="s">
        <v>1305</v>
      </c>
      <c r="VBQ32" t="s">
        <v>251</v>
      </c>
      <c r="VBR32" t="s">
        <v>1305</v>
      </c>
      <c r="VBS32" t="s">
        <v>251</v>
      </c>
      <c r="VBT32" t="s">
        <v>1305</v>
      </c>
      <c r="VBU32" t="s">
        <v>251</v>
      </c>
      <c r="VBV32" t="s">
        <v>1305</v>
      </c>
      <c r="VBW32" t="s">
        <v>251</v>
      </c>
      <c r="VBX32" t="s">
        <v>1305</v>
      </c>
      <c r="VBY32" t="s">
        <v>251</v>
      </c>
      <c r="VBZ32" t="s">
        <v>1305</v>
      </c>
      <c r="VCA32" t="s">
        <v>251</v>
      </c>
      <c r="VCB32" t="s">
        <v>1305</v>
      </c>
      <c r="VCC32" t="s">
        <v>251</v>
      </c>
      <c r="VCD32" t="s">
        <v>1305</v>
      </c>
      <c r="VCE32" t="s">
        <v>251</v>
      </c>
      <c r="VCF32" t="s">
        <v>1305</v>
      </c>
      <c r="VCG32" t="s">
        <v>251</v>
      </c>
      <c r="VCH32" t="s">
        <v>1305</v>
      </c>
      <c r="VCI32" t="s">
        <v>251</v>
      </c>
      <c r="VCJ32" t="s">
        <v>1305</v>
      </c>
      <c r="VCK32" t="s">
        <v>251</v>
      </c>
      <c r="VCL32" t="s">
        <v>1305</v>
      </c>
      <c r="VCM32" t="s">
        <v>251</v>
      </c>
      <c r="VCN32" t="s">
        <v>1305</v>
      </c>
      <c r="VCO32" t="s">
        <v>251</v>
      </c>
      <c r="VCP32" t="s">
        <v>1305</v>
      </c>
      <c r="VCQ32" t="s">
        <v>251</v>
      </c>
      <c r="VCR32" t="s">
        <v>1305</v>
      </c>
      <c r="VCS32" t="s">
        <v>251</v>
      </c>
      <c r="VCT32" t="s">
        <v>1305</v>
      </c>
      <c r="VCU32" t="s">
        <v>251</v>
      </c>
      <c r="VCV32" t="s">
        <v>1305</v>
      </c>
      <c r="VCW32" t="s">
        <v>251</v>
      </c>
      <c r="VCX32" t="s">
        <v>1305</v>
      </c>
      <c r="VCY32" t="s">
        <v>251</v>
      </c>
      <c r="VCZ32" t="s">
        <v>1305</v>
      </c>
      <c r="VDA32" t="s">
        <v>251</v>
      </c>
      <c r="VDB32" t="s">
        <v>1305</v>
      </c>
      <c r="VDC32" t="s">
        <v>251</v>
      </c>
      <c r="VDD32" t="s">
        <v>1305</v>
      </c>
      <c r="VDE32" t="s">
        <v>251</v>
      </c>
      <c r="VDF32" t="s">
        <v>1305</v>
      </c>
      <c r="VDG32" t="s">
        <v>251</v>
      </c>
      <c r="VDH32" t="s">
        <v>1305</v>
      </c>
      <c r="VDI32" t="s">
        <v>251</v>
      </c>
      <c r="VDJ32" t="s">
        <v>1305</v>
      </c>
      <c r="VDK32" t="s">
        <v>251</v>
      </c>
      <c r="VDL32" t="s">
        <v>1305</v>
      </c>
      <c r="VDM32" t="s">
        <v>251</v>
      </c>
      <c r="VDN32" t="s">
        <v>1305</v>
      </c>
      <c r="VDO32" t="s">
        <v>251</v>
      </c>
      <c r="VDP32" t="s">
        <v>1305</v>
      </c>
      <c r="VDQ32" t="s">
        <v>251</v>
      </c>
      <c r="VDR32" t="s">
        <v>1305</v>
      </c>
      <c r="VDS32" t="s">
        <v>251</v>
      </c>
      <c r="VDT32" t="s">
        <v>1305</v>
      </c>
      <c r="VDU32" t="s">
        <v>251</v>
      </c>
      <c r="VDV32" t="s">
        <v>1305</v>
      </c>
      <c r="VDW32" t="s">
        <v>251</v>
      </c>
      <c r="VDX32" t="s">
        <v>1305</v>
      </c>
      <c r="VDY32" t="s">
        <v>251</v>
      </c>
      <c r="VDZ32" t="s">
        <v>1305</v>
      </c>
      <c r="VEA32" t="s">
        <v>251</v>
      </c>
      <c r="VEB32" t="s">
        <v>1305</v>
      </c>
      <c r="VEC32" t="s">
        <v>251</v>
      </c>
      <c r="VED32" t="s">
        <v>1305</v>
      </c>
      <c r="VEE32" t="s">
        <v>251</v>
      </c>
      <c r="VEF32" t="s">
        <v>1305</v>
      </c>
      <c r="VEG32" t="s">
        <v>251</v>
      </c>
      <c r="VEH32" t="s">
        <v>1305</v>
      </c>
      <c r="VEI32" t="s">
        <v>251</v>
      </c>
      <c r="VEJ32" t="s">
        <v>1305</v>
      </c>
      <c r="VEK32" t="s">
        <v>251</v>
      </c>
      <c r="VEL32" t="s">
        <v>1305</v>
      </c>
      <c r="VEM32" t="s">
        <v>251</v>
      </c>
      <c r="VEN32" t="s">
        <v>1305</v>
      </c>
      <c r="VEO32" t="s">
        <v>251</v>
      </c>
      <c r="VEP32" t="s">
        <v>1305</v>
      </c>
      <c r="VEQ32" t="s">
        <v>251</v>
      </c>
      <c r="VER32" t="s">
        <v>1305</v>
      </c>
      <c r="VES32" t="s">
        <v>251</v>
      </c>
      <c r="VET32" t="s">
        <v>1305</v>
      </c>
      <c r="VEU32" t="s">
        <v>251</v>
      </c>
      <c r="VEV32" t="s">
        <v>1305</v>
      </c>
      <c r="VEW32" t="s">
        <v>251</v>
      </c>
      <c r="VEX32" t="s">
        <v>1305</v>
      </c>
      <c r="VEY32" t="s">
        <v>251</v>
      </c>
      <c r="VEZ32" t="s">
        <v>1305</v>
      </c>
      <c r="VFA32" t="s">
        <v>251</v>
      </c>
      <c r="VFB32" t="s">
        <v>1305</v>
      </c>
      <c r="VFC32" t="s">
        <v>251</v>
      </c>
      <c r="VFD32" t="s">
        <v>1305</v>
      </c>
      <c r="VFE32" t="s">
        <v>251</v>
      </c>
      <c r="VFF32" t="s">
        <v>1305</v>
      </c>
      <c r="VFG32" t="s">
        <v>251</v>
      </c>
      <c r="VFH32" t="s">
        <v>1305</v>
      </c>
      <c r="VFI32" t="s">
        <v>251</v>
      </c>
      <c r="VFJ32" t="s">
        <v>1305</v>
      </c>
      <c r="VFK32" t="s">
        <v>251</v>
      </c>
      <c r="VFL32" t="s">
        <v>1305</v>
      </c>
      <c r="VFM32" t="s">
        <v>251</v>
      </c>
      <c r="VFN32" t="s">
        <v>1305</v>
      </c>
      <c r="VFO32" t="s">
        <v>251</v>
      </c>
      <c r="VFP32" t="s">
        <v>1305</v>
      </c>
      <c r="VFQ32" t="s">
        <v>251</v>
      </c>
      <c r="VFR32" t="s">
        <v>1305</v>
      </c>
      <c r="VFS32" t="s">
        <v>251</v>
      </c>
      <c r="VFT32" t="s">
        <v>1305</v>
      </c>
      <c r="VFU32" t="s">
        <v>251</v>
      </c>
      <c r="VFV32" t="s">
        <v>1305</v>
      </c>
      <c r="VFW32" t="s">
        <v>251</v>
      </c>
      <c r="VFX32" t="s">
        <v>1305</v>
      </c>
      <c r="VFY32" t="s">
        <v>251</v>
      </c>
      <c r="VFZ32" t="s">
        <v>1305</v>
      </c>
      <c r="VGA32" t="s">
        <v>251</v>
      </c>
      <c r="VGB32" t="s">
        <v>1305</v>
      </c>
      <c r="VGC32" t="s">
        <v>251</v>
      </c>
      <c r="VGD32" t="s">
        <v>1305</v>
      </c>
      <c r="VGE32" t="s">
        <v>251</v>
      </c>
      <c r="VGF32" t="s">
        <v>1305</v>
      </c>
      <c r="VGG32" t="s">
        <v>251</v>
      </c>
      <c r="VGH32" t="s">
        <v>1305</v>
      </c>
      <c r="VGI32" t="s">
        <v>251</v>
      </c>
      <c r="VGJ32" t="s">
        <v>1305</v>
      </c>
      <c r="VGK32" t="s">
        <v>251</v>
      </c>
      <c r="VGL32" t="s">
        <v>1305</v>
      </c>
      <c r="VGM32" t="s">
        <v>251</v>
      </c>
      <c r="VGN32" t="s">
        <v>1305</v>
      </c>
      <c r="VGO32" t="s">
        <v>251</v>
      </c>
      <c r="VGP32" t="s">
        <v>1305</v>
      </c>
      <c r="VGQ32" t="s">
        <v>251</v>
      </c>
      <c r="VGR32" t="s">
        <v>1305</v>
      </c>
      <c r="VGS32" t="s">
        <v>251</v>
      </c>
      <c r="VGT32" t="s">
        <v>1305</v>
      </c>
      <c r="VGU32" t="s">
        <v>251</v>
      </c>
      <c r="VGV32" t="s">
        <v>1305</v>
      </c>
      <c r="VGW32" t="s">
        <v>251</v>
      </c>
      <c r="VGX32" t="s">
        <v>1305</v>
      </c>
      <c r="VGY32" t="s">
        <v>251</v>
      </c>
      <c r="VGZ32" t="s">
        <v>1305</v>
      </c>
      <c r="VHA32" t="s">
        <v>251</v>
      </c>
      <c r="VHB32" t="s">
        <v>1305</v>
      </c>
      <c r="VHC32" t="s">
        <v>251</v>
      </c>
      <c r="VHD32" t="s">
        <v>1305</v>
      </c>
      <c r="VHE32" t="s">
        <v>251</v>
      </c>
      <c r="VHF32" t="s">
        <v>1305</v>
      </c>
      <c r="VHG32" t="s">
        <v>251</v>
      </c>
      <c r="VHH32" t="s">
        <v>1305</v>
      </c>
      <c r="VHI32" t="s">
        <v>251</v>
      </c>
      <c r="VHJ32" t="s">
        <v>1305</v>
      </c>
      <c r="VHK32" t="s">
        <v>251</v>
      </c>
      <c r="VHL32" t="s">
        <v>1305</v>
      </c>
      <c r="VHM32" t="s">
        <v>251</v>
      </c>
      <c r="VHN32" t="s">
        <v>1305</v>
      </c>
      <c r="VHO32" t="s">
        <v>251</v>
      </c>
      <c r="VHP32" t="s">
        <v>1305</v>
      </c>
      <c r="VHQ32" t="s">
        <v>251</v>
      </c>
      <c r="VHR32" t="s">
        <v>1305</v>
      </c>
      <c r="VHS32" t="s">
        <v>251</v>
      </c>
      <c r="VHT32" t="s">
        <v>1305</v>
      </c>
      <c r="VHU32" t="s">
        <v>251</v>
      </c>
      <c r="VHV32" t="s">
        <v>1305</v>
      </c>
      <c r="VHW32" t="s">
        <v>251</v>
      </c>
      <c r="VHX32" t="s">
        <v>1305</v>
      </c>
      <c r="VHY32" t="s">
        <v>251</v>
      </c>
      <c r="VHZ32" t="s">
        <v>1305</v>
      </c>
      <c r="VIA32" t="s">
        <v>251</v>
      </c>
      <c r="VIB32" t="s">
        <v>1305</v>
      </c>
      <c r="VIC32" t="s">
        <v>251</v>
      </c>
      <c r="VID32" t="s">
        <v>1305</v>
      </c>
      <c r="VIE32" t="s">
        <v>251</v>
      </c>
      <c r="VIF32" t="s">
        <v>1305</v>
      </c>
      <c r="VIG32" t="s">
        <v>251</v>
      </c>
      <c r="VIH32" t="s">
        <v>1305</v>
      </c>
      <c r="VII32" t="s">
        <v>251</v>
      </c>
      <c r="VIJ32" t="s">
        <v>1305</v>
      </c>
      <c r="VIK32" t="s">
        <v>251</v>
      </c>
      <c r="VIL32" t="s">
        <v>1305</v>
      </c>
      <c r="VIM32" t="s">
        <v>251</v>
      </c>
      <c r="VIN32" t="s">
        <v>1305</v>
      </c>
      <c r="VIO32" t="s">
        <v>251</v>
      </c>
      <c r="VIP32" t="s">
        <v>1305</v>
      </c>
      <c r="VIQ32" t="s">
        <v>251</v>
      </c>
      <c r="VIR32" t="s">
        <v>1305</v>
      </c>
      <c r="VIS32" t="s">
        <v>251</v>
      </c>
      <c r="VIT32" t="s">
        <v>1305</v>
      </c>
      <c r="VIU32" t="s">
        <v>251</v>
      </c>
      <c r="VIV32" t="s">
        <v>1305</v>
      </c>
      <c r="VIW32" t="s">
        <v>251</v>
      </c>
      <c r="VIX32" t="s">
        <v>1305</v>
      </c>
      <c r="VIY32" t="s">
        <v>251</v>
      </c>
      <c r="VIZ32" t="s">
        <v>1305</v>
      </c>
      <c r="VJA32" t="s">
        <v>251</v>
      </c>
      <c r="VJB32" t="s">
        <v>1305</v>
      </c>
      <c r="VJC32" t="s">
        <v>251</v>
      </c>
      <c r="VJD32" t="s">
        <v>1305</v>
      </c>
      <c r="VJE32" t="s">
        <v>251</v>
      </c>
      <c r="VJF32" t="s">
        <v>1305</v>
      </c>
      <c r="VJG32" t="s">
        <v>251</v>
      </c>
      <c r="VJH32" t="s">
        <v>1305</v>
      </c>
      <c r="VJI32" t="s">
        <v>251</v>
      </c>
      <c r="VJJ32" t="s">
        <v>1305</v>
      </c>
      <c r="VJK32" t="s">
        <v>251</v>
      </c>
      <c r="VJL32" t="s">
        <v>1305</v>
      </c>
      <c r="VJM32" t="s">
        <v>251</v>
      </c>
      <c r="VJN32" t="s">
        <v>1305</v>
      </c>
      <c r="VJO32" t="s">
        <v>251</v>
      </c>
      <c r="VJP32" t="s">
        <v>1305</v>
      </c>
      <c r="VJQ32" t="s">
        <v>251</v>
      </c>
      <c r="VJR32" t="s">
        <v>1305</v>
      </c>
      <c r="VJS32" t="s">
        <v>251</v>
      </c>
      <c r="VJT32" t="s">
        <v>1305</v>
      </c>
      <c r="VJU32" t="s">
        <v>251</v>
      </c>
      <c r="VJV32" t="s">
        <v>1305</v>
      </c>
      <c r="VJW32" t="s">
        <v>251</v>
      </c>
      <c r="VJX32" t="s">
        <v>1305</v>
      </c>
      <c r="VJY32" t="s">
        <v>251</v>
      </c>
      <c r="VJZ32" t="s">
        <v>1305</v>
      </c>
      <c r="VKA32" t="s">
        <v>251</v>
      </c>
      <c r="VKB32" t="s">
        <v>1305</v>
      </c>
      <c r="VKC32" t="s">
        <v>251</v>
      </c>
      <c r="VKD32" t="s">
        <v>1305</v>
      </c>
      <c r="VKE32" t="s">
        <v>251</v>
      </c>
      <c r="VKF32" t="s">
        <v>1305</v>
      </c>
      <c r="VKG32" t="s">
        <v>251</v>
      </c>
      <c r="VKH32" t="s">
        <v>1305</v>
      </c>
      <c r="VKI32" t="s">
        <v>251</v>
      </c>
      <c r="VKJ32" t="s">
        <v>1305</v>
      </c>
      <c r="VKK32" t="s">
        <v>251</v>
      </c>
      <c r="VKL32" t="s">
        <v>1305</v>
      </c>
      <c r="VKM32" t="s">
        <v>251</v>
      </c>
      <c r="VKN32" t="s">
        <v>1305</v>
      </c>
      <c r="VKO32" t="s">
        <v>251</v>
      </c>
      <c r="VKP32" t="s">
        <v>1305</v>
      </c>
      <c r="VKQ32" t="s">
        <v>251</v>
      </c>
      <c r="VKR32" t="s">
        <v>1305</v>
      </c>
      <c r="VKS32" t="s">
        <v>251</v>
      </c>
      <c r="VKT32" t="s">
        <v>1305</v>
      </c>
      <c r="VKU32" t="s">
        <v>251</v>
      </c>
      <c r="VKV32" t="s">
        <v>1305</v>
      </c>
      <c r="VKW32" t="s">
        <v>251</v>
      </c>
      <c r="VKX32" t="s">
        <v>1305</v>
      </c>
      <c r="VKY32" t="s">
        <v>251</v>
      </c>
      <c r="VKZ32" t="s">
        <v>1305</v>
      </c>
      <c r="VLA32" t="s">
        <v>251</v>
      </c>
      <c r="VLB32" t="s">
        <v>1305</v>
      </c>
      <c r="VLC32" t="s">
        <v>251</v>
      </c>
      <c r="VLD32" t="s">
        <v>1305</v>
      </c>
      <c r="VLE32" t="s">
        <v>251</v>
      </c>
      <c r="VLF32" t="s">
        <v>1305</v>
      </c>
      <c r="VLG32" t="s">
        <v>251</v>
      </c>
      <c r="VLH32" t="s">
        <v>1305</v>
      </c>
      <c r="VLI32" t="s">
        <v>251</v>
      </c>
      <c r="VLJ32" t="s">
        <v>1305</v>
      </c>
      <c r="VLK32" t="s">
        <v>251</v>
      </c>
      <c r="VLL32" t="s">
        <v>1305</v>
      </c>
      <c r="VLM32" t="s">
        <v>251</v>
      </c>
      <c r="VLN32" t="s">
        <v>1305</v>
      </c>
      <c r="VLO32" t="s">
        <v>251</v>
      </c>
      <c r="VLP32" t="s">
        <v>1305</v>
      </c>
      <c r="VLQ32" t="s">
        <v>251</v>
      </c>
      <c r="VLR32" t="s">
        <v>1305</v>
      </c>
      <c r="VLS32" t="s">
        <v>251</v>
      </c>
      <c r="VLT32" t="s">
        <v>1305</v>
      </c>
      <c r="VLU32" t="s">
        <v>251</v>
      </c>
      <c r="VLV32" t="s">
        <v>1305</v>
      </c>
      <c r="VLW32" t="s">
        <v>251</v>
      </c>
      <c r="VLX32" t="s">
        <v>1305</v>
      </c>
      <c r="VLY32" t="s">
        <v>251</v>
      </c>
      <c r="VLZ32" t="s">
        <v>1305</v>
      </c>
      <c r="VMA32" t="s">
        <v>251</v>
      </c>
      <c r="VMB32" t="s">
        <v>1305</v>
      </c>
      <c r="VMC32" t="s">
        <v>251</v>
      </c>
      <c r="VMD32" t="s">
        <v>1305</v>
      </c>
      <c r="VME32" t="s">
        <v>251</v>
      </c>
      <c r="VMF32" t="s">
        <v>1305</v>
      </c>
      <c r="VMG32" t="s">
        <v>251</v>
      </c>
      <c r="VMH32" t="s">
        <v>1305</v>
      </c>
      <c r="VMI32" t="s">
        <v>251</v>
      </c>
      <c r="VMJ32" t="s">
        <v>1305</v>
      </c>
      <c r="VMK32" t="s">
        <v>251</v>
      </c>
      <c r="VML32" t="s">
        <v>1305</v>
      </c>
      <c r="VMM32" t="s">
        <v>251</v>
      </c>
      <c r="VMN32" t="s">
        <v>1305</v>
      </c>
      <c r="VMO32" t="s">
        <v>251</v>
      </c>
      <c r="VMP32" t="s">
        <v>1305</v>
      </c>
      <c r="VMQ32" t="s">
        <v>251</v>
      </c>
      <c r="VMR32" t="s">
        <v>1305</v>
      </c>
      <c r="VMS32" t="s">
        <v>251</v>
      </c>
      <c r="VMT32" t="s">
        <v>1305</v>
      </c>
      <c r="VMU32" t="s">
        <v>251</v>
      </c>
      <c r="VMV32" t="s">
        <v>1305</v>
      </c>
      <c r="VMW32" t="s">
        <v>251</v>
      </c>
      <c r="VMX32" t="s">
        <v>1305</v>
      </c>
      <c r="VMY32" t="s">
        <v>251</v>
      </c>
      <c r="VMZ32" t="s">
        <v>1305</v>
      </c>
      <c r="VNA32" t="s">
        <v>251</v>
      </c>
      <c r="VNB32" t="s">
        <v>1305</v>
      </c>
      <c r="VNC32" t="s">
        <v>251</v>
      </c>
      <c r="VND32" t="s">
        <v>1305</v>
      </c>
      <c r="VNE32" t="s">
        <v>251</v>
      </c>
      <c r="VNF32" t="s">
        <v>1305</v>
      </c>
      <c r="VNG32" t="s">
        <v>251</v>
      </c>
      <c r="VNH32" t="s">
        <v>1305</v>
      </c>
      <c r="VNI32" t="s">
        <v>251</v>
      </c>
      <c r="VNJ32" t="s">
        <v>1305</v>
      </c>
      <c r="VNK32" t="s">
        <v>251</v>
      </c>
      <c r="VNL32" t="s">
        <v>1305</v>
      </c>
      <c r="VNM32" t="s">
        <v>251</v>
      </c>
      <c r="VNN32" t="s">
        <v>1305</v>
      </c>
      <c r="VNO32" t="s">
        <v>251</v>
      </c>
      <c r="VNP32" t="s">
        <v>1305</v>
      </c>
      <c r="VNQ32" t="s">
        <v>251</v>
      </c>
      <c r="VNR32" t="s">
        <v>1305</v>
      </c>
      <c r="VNS32" t="s">
        <v>251</v>
      </c>
      <c r="VNT32" t="s">
        <v>1305</v>
      </c>
      <c r="VNU32" t="s">
        <v>251</v>
      </c>
      <c r="VNV32" t="s">
        <v>1305</v>
      </c>
      <c r="VNW32" t="s">
        <v>251</v>
      </c>
      <c r="VNX32" t="s">
        <v>1305</v>
      </c>
      <c r="VNY32" t="s">
        <v>251</v>
      </c>
      <c r="VNZ32" t="s">
        <v>1305</v>
      </c>
      <c r="VOA32" t="s">
        <v>251</v>
      </c>
      <c r="VOB32" t="s">
        <v>1305</v>
      </c>
      <c r="VOC32" t="s">
        <v>251</v>
      </c>
      <c r="VOD32" t="s">
        <v>1305</v>
      </c>
      <c r="VOE32" t="s">
        <v>251</v>
      </c>
      <c r="VOF32" t="s">
        <v>1305</v>
      </c>
      <c r="VOG32" t="s">
        <v>251</v>
      </c>
      <c r="VOH32" t="s">
        <v>1305</v>
      </c>
      <c r="VOI32" t="s">
        <v>251</v>
      </c>
      <c r="VOJ32" t="s">
        <v>1305</v>
      </c>
      <c r="VOK32" t="s">
        <v>251</v>
      </c>
      <c r="VOL32" t="s">
        <v>1305</v>
      </c>
      <c r="VOM32" t="s">
        <v>251</v>
      </c>
      <c r="VON32" t="s">
        <v>1305</v>
      </c>
      <c r="VOO32" t="s">
        <v>251</v>
      </c>
      <c r="VOP32" t="s">
        <v>1305</v>
      </c>
      <c r="VOQ32" t="s">
        <v>251</v>
      </c>
      <c r="VOR32" t="s">
        <v>1305</v>
      </c>
      <c r="VOS32" t="s">
        <v>251</v>
      </c>
      <c r="VOT32" t="s">
        <v>1305</v>
      </c>
      <c r="VOU32" t="s">
        <v>251</v>
      </c>
      <c r="VOV32" t="s">
        <v>1305</v>
      </c>
      <c r="VOW32" t="s">
        <v>251</v>
      </c>
      <c r="VOX32" t="s">
        <v>1305</v>
      </c>
      <c r="VOY32" t="s">
        <v>251</v>
      </c>
      <c r="VOZ32" t="s">
        <v>1305</v>
      </c>
      <c r="VPA32" t="s">
        <v>251</v>
      </c>
      <c r="VPB32" t="s">
        <v>1305</v>
      </c>
      <c r="VPC32" t="s">
        <v>251</v>
      </c>
      <c r="VPD32" t="s">
        <v>1305</v>
      </c>
      <c r="VPE32" t="s">
        <v>251</v>
      </c>
      <c r="VPF32" t="s">
        <v>1305</v>
      </c>
      <c r="VPG32" t="s">
        <v>251</v>
      </c>
      <c r="VPH32" t="s">
        <v>1305</v>
      </c>
      <c r="VPI32" t="s">
        <v>251</v>
      </c>
      <c r="VPJ32" t="s">
        <v>1305</v>
      </c>
      <c r="VPK32" t="s">
        <v>251</v>
      </c>
      <c r="VPL32" t="s">
        <v>1305</v>
      </c>
      <c r="VPM32" t="s">
        <v>251</v>
      </c>
      <c r="VPN32" t="s">
        <v>1305</v>
      </c>
      <c r="VPO32" t="s">
        <v>251</v>
      </c>
      <c r="VPP32" t="s">
        <v>1305</v>
      </c>
      <c r="VPQ32" t="s">
        <v>251</v>
      </c>
      <c r="VPR32" t="s">
        <v>1305</v>
      </c>
      <c r="VPS32" t="s">
        <v>251</v>
      </c>
      <c r="VPT32" t="s">
        <v>1305</v>
      </c>
      <c r="VPU32" t="s">
        <v>251</v>
      </c>
      <c r="VPV32" t="s">
        <v>1305</v>
      </c>
      <c r="VPW32" t="s">
        <v>251</v>
      </c>
      <c r="VPX32" t="s">
        <v>1305</v>
      </c>
      <c r="VPY32" t="s">
        <v>251</v>
      </c>
      <c r="VPZ32" t="s">
        <v>1305</v>
      </c>
      <c r="VQA32" t="s">
        <v>251</v>
      </c>
      <c r="VQB32" t="s">
        <v>1305</v>
      </c>
      <c r="VQC32" t="s">
        <v>251</v>
      </c>
      <c r="VQD32" t="s">
        <v>1305</v>
      </c>
      <c r="VQE32" t="s">
        <v>251</v>
      </c>
      <c r="VQF32" t="s">
        <v>1305</v>
      </c>
      <c r="VQG32" t="s">
        <v>251</v>
      </c>
      <c r="VQH32" t="s">
        <v>1305</v>
      </c>
      <c r="VQI32" t="s">
        <v>251</v>
      </c>
      <c r="VQJ32" t="s">
        <v>1305</v>
      </c>
      <c r="VQK32" t="s">
        <v>251</v>
      </c>
      <c r="VQL32" t="s">
        <v>1305</v>
      </c>
      <c r="VQM32" t="s">
        <v>251</v>
      </c>
      <c r="VQN32" t="s">
        <v>1305</v>
      </c>
      <c r="VQO32" t="s">
        <v>251</v>
      </c>
      <c r="VQP32" t="s">
        <v>1305</v>
      </c>
      <c r="VQQ32" t="s">
        <v>251</v>
      </c>
      <c r="VQR32" t="s">
        <v>1305</v>
      </c>
      <c r="VQS32" t="s">
        <v>251</v>
      </c>
      <c r="VQT32" t="s">
        <v>1305</v>
      </c>
      <c r="VQU32" t="s">
        <v>251</v>
      </c>
      <c r="VQV32" t="s">
        <v>1305</v>
      </c>
      <c r="VQW32" t="s">
        <v>251</v>
      </c>
      <c r="VQX32" t="s">
        <v>1305</v>
      </c>
      <c r="VQY32" t="s">
        <v>251</v>
      </c>
      <c r="VQZ32" t="s">
        <v>1305</v>
      </c>
      <c r="VRA32" t="s">
        <v>251</v>
      </c>
      <c r="VRB32" t="s">
        <v>1305</v>
      </c>
      <c r="VRC32" t="s">
        <v>251</v>
      </c>
      <c r="VRD32" t="s">
        <v>1305</v>
      </c>
      <c r="VRE32" t="s">
        <v>251</v>
      </c>
      <c r="VRF32" t="s">
        <v>1305</v>
      </c>
      <c r="VRG32" t="s">
        <v>251</v>
      </c>
      <c r="VRH32" t="s">
        <v>1305</v>
      </c>
      <c r="VRI32" t="s">
        <v>251</v>
      </c>
      <c r="VRJ32" t="s">
        <v>1305</v>
      </c>
      <c r="VRK32" t="s">
        <v>251</v>
      </c>
      <c r="VRL32" t="s">
        <v>1305</v>
      </c>
      <c r="VRM32" t="s">
        <v>251</v>
      </c>
      <c r="VRN32" t="s">
        <v>1305</v>
      </c>
      <c r="VRO32" t="s">
        <v>251</v>
      </c>
      <c r="VRP32" t="s">
        <v>1305</v>
      </c>
      <c r="VRQ32" t="s">
        <v>251</v>
      </c>
      <c r="VRR32" t="s">
        <v>1305</v>
      </c>
      <c r="VRS32" t="s">
        <v>251</v>
      </c>
      <c r="VRT32" t="s">
        <v>1305</v>
      </c>
      <c r="VRU32" t="s">
        <v>251</v>
      </c>
      <c r="VRV32" t="s">
        <v>1305</v>
      </c>
      <c r="VRW32" t="s">
        <v>251</v>
      </c>
      <c r="VRX32" t="s">
        <v>1305</v>
      </c>
      <c r="VRY32" t="s">
        <v>251</v>
      </c>
      <c r="VRZ32" t="s">
        <v>1305</v>
      </c>
      <c r="VSA32" t="s">
        <v>251</v>
      </c>
      <c r="VSB32" t="s">
        <v>1305</v>
      </c>
      <c r="VSC32" t="s">
        <v>251</v>
      </c>
      <c r="VSD32" t="s">
        <v>1305</v>
      </c>
      <c r="VSE32" t="s">
        <v>251</v>
      </c>
      <c r="VSF32" t="s">
        <v>1305</v>
      </c>
      <c r="VSG32" t="s">
        <v>251</v>
      </c>
      <c r="VSH32" t="s">
        <v>1305</v>
      </c>
      <c r="VSI32" t="s">
        <v>251</v>
      </c>
      <c r="VSJ32" t="s">
        <v>1305</v>
      </c>
      <c r="VSK32" t="s">
        <v>251</v>
      </c>
      <c r="VSL32" t="s">
        <v>1305</v>
      </c>
      <c r="VSM32" t="s">
        <v>251</v>
      </c>
      <c r="VSN32" t="s">
        <v>1305</v>
      </c>
      <c r="VSO32" t="s">
        <v>251</v>
      </c>
      <c r="VSP32" t="s">
        <v>1305</v>
      </c>
      <c r="VSQ32" t="s">
        <v>251</v>
      </c>
      <c r="VSR32" t="s">
        <v>1305</v>
      </c>
      <c r="VSS32" t="s">
        <v>251</v>
      </c>
      <c r="VST32" t="s">
        <v>1305</v>
      </c>
      <c r="VSU32" t="s">
        <v>251</v>
      </c>
      <c r="VSV32" t="s">
        <v>1305</v>
      </c>
      <c r="VSW32" t="s">
        <v>251</v>
      </c>
      <c r="VSX32" t="s">
        <v>1305</v>
      </c>
      <c r="VSY32" t="s">
        <v>251</v>
      </c>
      <c r="VSZ32" t="s">
        <v>1305</v>
      </c>
      <c r="VTA32" t="s">
        <v>251</v>
      </c>
      <c r="VTB32" t="s">
        <v>1305</v>
      </c>
      <c r="VTC32" t="s">
        <v>251</v>
      </c>
      <c r="VTD32" t="s">
        <v>1305</v>
      </c>
      <c r="VTE32" t="s">
        <v>251</v>
      </c>
      <c r="VTF32" t="s">
        <v>1305</v>
      </c>
      <c r="VTG32" t="s">
        <v>251</v>
      </c>
      <c r="VTH32" t="s">
        <v>1305</v>
      </c>
      <c r="VTI32" t="s">
        <v>251</v>
      </c>
      <c r="VTJ32" t="s">
        <v>1305</v>
      </c>
      <c r="VTK32" t="s">
        <v>251</v>
      </c>
      <c r="VTL32" t="s">
        <v>1305</v>
      </c>
      <c r="VTM32" t="s">
        <v>251</v>
      </c>
      <c r="VTN32" t="s">
        <v>1305</v>
      </c>
      <c r="VTO32" t="s">
        <v>251</v>
      </c>
      <c r="VTP32" t="s">
        <v>1305</v>
      </c>
      <c r="VTQ32" t="s">
        <v>251</v>
      </c>
      <c r="VTR32" t="s">
        <v>1305</v>
      </c>
      <c r="VTS32" t="s">
        <v>251</v>
      </c>
      <c r="VTT32" t="s">
        <v>1305</v>
      </c>
      <c r="VTU32" t="s">
        <v>251</v>
      </c>
      <c r="VTV32" t="s">
        <v>1305</v>
      </c>
      <c r="VTW32" t="s">
        <v>251</v>
      </c>
      <c r="VTX32" t="s">
        <v>1305</v>
      </c>
      <c r="VTY32" t="s">
        <v>251</v>
      </c>
      <c r="VTZ32" t="s">
        <v>1305</v>
      </c>
      <c r="VUA32" t="s">
        <v>251</v>
      </c>
      <c r="VUB32" t="s">
        <v>1305</v>
      </c>
      <c r="VUC32" t="s">
        <v>251</v>
      </c>
      <c r="VUD32" t="s">
        <v>1305</v>
      </c>
      <c r="VUE32" t="s">
        <v>251</v>
      </c>
      <c r="VUF32" t="s">
        <v>1305</v>
      </c>
      <c r="VUG32" t="s">
        <v>251</v>
      </c>
      <c r="VUH32" t="s">
        <v>1305</v>
      </c>
      <c r="VUI32" t="s">
        <v>251</v>
      </c>
      <c r="VUJ32" t="s">
        <v>1305</v>
      </c>
      <c r="VUK32" t="s">
        <v>251</v>
      </c>
      <c r="VUL32" t="s">
        <v>1305</v>
      </c>
      <c r="VUM32" t="s">
        <v>251</v>
      </c>
      <c r="VUN32" t="s">
        <v>1305</v>
      </c>
      <c r="VUO32" t="s">
        <v>251</v>
      </c>
      <c r="VUP32" t="s">
        <v>1305</v>
      </c>
      <c r="VUQ32" t="s">
        <v>251</v>
      </c>
      <c r="VUR32" t="s">
        <v>1305</v>
      </c>
      <c r="VUS32" t="s">
        <v>251</v>
      </c>
      <c r="VUT32" t="s">
        <v>1305</v>
      </c>
      <c r="VUU32" t="s">
        <v>251</v>
      </c>
      <c r="VUV32" t="s">
        <v>1305</v>
      </c>
      <c r="VUW32" t="s">
        <v>251</v>
      </c>
      <c r="VUX32" t="s">
        <v>1305</v>
      </c>
      <c r="VUY32" t="s">
        <v>251</v>
      </c>
      <c r="VUZ32" t="s">
        <v>1305</v>
      </c>
      <c r="VVA32" t="s">
        <v>251</v>
      </c>
      <c r="VVB32" t="s">
        <v>1305</v>
      </c>
      <c r="VVC32" t="s">
        <v>251</v>
      </c>
      <c r="VVD32" t="s">
        <v>1305</v>
      </c>
      <c r="VVE32" t="s">
        <v>251</v>
      </c>
      <c r="VVF32" t="s">
        <v>1305</v>
      </c>
      <c r="VVG32" t="s">
        <v>251</v>
      </c>
      <c r="VVH32" t="s">
        <v>1305</v>
      </c>
      <c r="VVI32" t="s">
        <v>251</v>
      </c>
      <c r="VVJ32" t="s">
        <v>1305</v>
      </c>
      <c r="VVK32" t="s">
        <v>251</v>
      </c>
      <c r="VVL32" t="s">
        <v>1305</v>
      </c>
      <c r="VVM32" t="s">
        <v>251</v>
      </c>
      <c r="VVN32" t="s">
        <v>1305</v>
      </c>
      <c r="VVO32" t="s">
        <v>251</v>
      </c>
      <c r="VVP32" t="s">
        <v>1305</v>
      </c>
      <c r="VVQ32" t="s">
        <v>251</v>
      </c>
      <c r="VVR32" t="s">
        <v>1305</v>
      </c>
      <c r="VVS32" t="s">
        <v>251</v>
      </c>
      <c r="VVT32" t="s">
        <v>1305</v>
      </c>
      <c r="VVU32" t="s">
        <v>251</v>
      </c>
      <c r="VVV32" t="s">
        <v>1305</v>
      </c>
      <c r="VVW32" t="s">
        <v>251</v>
      </c>
      <c r="VVX32" t="s">
        <v>1305</v>
      </c>
      <c r="VVY32" t="s">
        <v>251</v>
      </c>
      <c r="VVZ32" t="s">
        <v>1305</v>
      </c>
      <c r="VWA32" t="s">
        <v>251</v>
      </c>
      <c r="VWB32" t="s">
        <v>1305</v>
      </c>
      <c r="VWC32" t="s">
        <v>251</v>
      </c>
      <c r="VWD32" t="s">
        <v>1305</v>
      </c>
      <c r="VWE32" t="s">
        <v>251</v>
      </c>
      <c r="VWF32" t="s">
        <v>1305</v>
      </c>
      <c r="VWG32" t="s">
        <v>251</v>
      </c>
      <c r="VWH32" t="s">
        <v>1305</v>
      </c>
      <c r="VWI32" t="s">
        <v>251</v>
      </c>
      <c r="VWJ32" t="s">
        <v>1305</v>
      </c>
      <c r="VWK32" t="s">
        <v>251</v>
      </c>
      <c r="VWL32" t="s">
        <v>1305</v>
      </c>
      <c r="VWM32" t="s">
        <v>251</v>
      </c>
      <c r="VWN32" t="s">
        <v>1305</v>
      </c>
      <c r="VWO32" t="s">
        <v>251</v>
      </c>
      <c r="VWP32" t="s">
        <v>1305</v>
      </c>
      <c r="VWQ32" t="s">
        <v>251</v>
      </c>
      <c r="VWR32" t="s">
        <v>1305</v>
      </c>
      <c r="VWS32" t="s">
        <v>251</v>
      </c>
      <c r="VWT32" t="s">
        <v>1305</v>
      </c>
      <c r="VWU32" t="s">
        <v>251</v>
      </c>
      <c r="VWV32" t="s">
        <v>1305</v>
      </c>
      <c r="VWW32" t="s">
        <v>251</v>
      </c>
      <c r="VWX32" t="s">
        <v>1305</v>
      </c>
      <c r="VWY32" t="s">
        <v>251</v>
      </c>
      <c r="VWZ32" t="s">
        <v>1305</v>
      </c>
      <c r="VXA32" t="s">
        <v>251</v>
      </c>
      <c r="VXB32" t="s">
        <v>1305</v>
      </c>
      <c r="VXC32" t="s">
        <v>251</v>
      </c>
      <c r="VXD32" t="s">
        <v>1305</v>
      </c>
      <c r="VXE32" t="s">
        <v>251</v>
      </c>
      <c r="VXF32" t="s">
        <v>1305</v>
      </c>
      <c r="VXG32" t="s">
        <v>251</v>
      </c>
      <c r="VXH32" t="s">
        <v>1305</v>
      </c>
      <c r="VXI32" t="s">
        <v>251</v>
      </c>
      <c r="VXJ32" t="s">
        <v>1305</v>
      </c>
      <c r="VXK32" t="s">
        <v>251</v>
      </c>
      <c r="VXL32" t="s">
        <v>1305</v>
      </c>
      <c r="VXM32" t="s">
        <v>251</v>
      </c>
      <c r="VXN32" t="s">
        <v>1305</v>
      </c>
      <c r="VXO32" t="s">
        <v>251</v>
      </c>
      <c r="VXP32" t="s">
        <v>1305</v>
      </c>
      <c r="VXQ32" t="s">
        <v>251</v>
      </c>
      <c r="VXR32" t="s">
        <v>1305</v>
      </c>
      <c r="VXS32" t="s">
        <v>251</v>
      </c>
      <c r="VXT32" t="s">
        <v>1305</v>
      </c>
      <c r="VXU32" t="s">
        <v>251</v>
      </c>
      <c r="VXV32" t="s">
        <v>1305</v>
      </c>
      <c r="VXW32" t="s">
        <v>251</v>
      </c>
      <c r="VXX32" t="s">
        <v>1305</v>
      </c>
      <c r="VXY32" t="s">
        <v>251</v>
      </c>
      <c r="VXZ32" t="s">
        <v>1305</v>
      </c>
      <c r="VYA32" t="s">
        <v>251</v>
      </c>
      <c r="VYB32" t="s">
        <v>1305</v>
      </c>
      <c r="VYC32" t="s">
        <v>251</v>
      </c>
      <c r="VYD32" t="s">
        <v>1305</v>
      </c>
      <c r="VYE32" t="s">
        <v>251</v>
      </c>
      <c r="VYF32" t="s">
        <v>1305</v>
      </c>
      <c r="VYG32" t="s">
        <v>251</v>
      </c>
      <c r="VYH32" t="s">
        <v>1305</v>
      </c>
      <c r="VYI32" t="s">
        <v>251</v>
      </c>
      <c r="VYJ32" t="s">
        <v>1305</v>
      </c>
      <c r="VYK32" t="s">
        <v>251</v>
      </c>
      <c r="VYL32" t="s">
        <v>1305</v>
      </c>
      <c r="VYM32" t="s">
        <v>251</v>
      </c>
      <c r="VYN32" t="s">
        <v>1305</v>
      </c>
      <c r="VYO32" t="s">
        <v>251</v>
      </c>
      <c r="VYP32" t="s">
        <v>1305</v>
      </c>
      <c r="VYQ32" t="s">
        <v>251</v>
      </c>
      <c r="VYR32" t="s">
        <v>1305</v>
      </c>
      <c r="VYS32" t="s">
        <v>251</v>
      </c>
      <c r="VYT32" t="s">
        <v>1305</v>
      </c>
      <c r="VYU32" t="s">
        <v>251</v>
      </c>
      <c r="VYV32" t="s">
        <v>1305</v>
      </c>
      <c r="VYW32" t="s">
        <v>251</v>
      </c>
      <c r="VYX32" t="s">
        <v>1305</v>
      </c>
      <c r="VYY32" t="s">
        <v>251</v>
      </c>
      <c r="VYZ32" t="s">
        <v>1305</v>
      </c>
      <c r="VZA32" t="s">
        <v>251</v>
      </c>
      <c r="VZB32" t="s">
        <v>1305</v>
      </c>
      <c r="VZC32" t="s">
        <v>251</v>
      </c>
      <c r="VZD32" t="s">
        <v>1305</v>
      </c>
      <c r="VZE32" t="s">
        <v>251</v>
      </c>
      <c r="VZF32" t="s">
        <v>1305</v>
      </c>
      <c r="VZG32" t="s">
        <v>251</v>
      </c>
      <c r="VZH32" t="s">
        <v>1305</v>
      </c>
      <c r="VZI32" t="s">
        <v>251</v>
      </c>
      <c r="VZJ32" t="s">
        <v>1305</v>
      </c>
      <c r="VZK32" t="s">
        <v>251</v>
      </c>
      <c r="VZL32" t="s">
        <v>1305</v>
      </c>
      <c r="VZM32" t="s">
        <v>251</v>
      </c>
      <c r="VZN32" t="s">
        <v>1305</v>
      </c>
      <c r="VZO32" t="s">
        <v>251</v>
      </c>
      <c r="VZP32" t="s">
        <v>1305</v>
      </c>
      <c r="VZQ32" t="s">
        <v>251</v>
      </c>
      <c r="VZR32" t="s">
        <v>1305</v>
      </c>
      <c r="VZS32" t="s">
        <v>251</v>
      </c>
      <c r="VZT32" t="s">
        <v>1305</v>
      </c>
      <c r="VZU32" t="s">
        <v>251</v>
      </c>
      <c r="VZV32" t="s">
        <v>1305</v>
      </c>
      <c r="VZW32" t="s">
        <v>251</v>
      </c>
      <c r="VZX32" t="s">
        <v>1305</v>
      </c>
      <c r="VZY32" t="s">
        <v>251</v>
      </c>
      <c r="VZZ32" t="s">
        <v>1305</v>
      </c>
      <c r="WAA32" t="s">
        <v>251</v>
      </c>
      <c r="WAB32" t="s">
        <v>1305</v>
      </c>
      <c r="WAC32" t="s">
        <v>251</v>
      </c>
      <c r="WAD32" t="s">
        <v>1305</v>
      </c>
      <c r="WAE32" t="s">
        <v>251</v>
      </c>
      <c r="WAF32" t="s">
        <v>1305</v>
      </c>
      <c r="WAG32" t="s">
        <v>251</v>
      </c>
      <c r="WAH32" t="s">
        <v>1305</v>
      </c>
      <c r="WAI32" t="s">
        <v>251</v>
      </c>
      <c r="WAJ32" t="s">
        <v>1305</v>
      </c>
      <c r="WAK32" t="s">
        <v>251</v>
      </c>
      <c r="WAL32" t="s">
        <v>1305</v>
      </c>
      <c r="WAM32" t="s">
        <v>251</v>
      </c>
      <c r="WAN32" t="s">
        <v>1305</v>
      </c>
      <c r="WAO32" t="s">
        <v>251</v>
      </c>
      <c r="WAP32" t="s">
        <v>1305</v>
      </c>
      <c r="WAQ32" t="s">
        <v>251</v>
      </c>
      <c r="WAR32" t="s">
        <v>1305</v>
      </c>
      <c r="WAS32" t="s">
        <v>251</v>
      </c>
      <c r="WAT32" t="s">
        <v>1305</v>
      </c>
      <c r="WAU32" t="s">
        <v>251</v>
      </c>
      <c r="WAV32" t="s">
        <v>1305</v>
      </c>
      <c r="WAW32" t="s">
        <v>251</v>
      </c>
      <c r="WAX32" t="s">
        <v>1305</v>
      </c>
      <c r="WAY32" t="s">
        <v>251</v>
      </c>
      <c r="WAZ32" t="s">
        <v>1305</v>
      </c>
      <c r="WBA32" t="s">
        <v>251</v>
      </c>
      <c r="WBB32" t="s">
        <v>1305</v>
      </c>
      <c r="WBC32" t="s">
        <v>251</v>
      </c>
      <c r="WBD32" t="s">
        <v>1305</v>
      </c>
      <c r="WBE32" t="s">
        <v>251</v>
      </c>
      <c r="WBF32" t="s">
        <v>1305</v>
      </c>
      <c r="WBG32" t="s">
        <v>251</v>
      </c>
      <c r="WBH32" t="s">
        <v>1305</v>
      </c>
      <c r="WBI32" t="s">
        <v>251</v>
      </c>
      <c r="WBJ32" t="s">
        <v>1305</v>
      </c>
      <c r="WBK32" t="s">
        <v>251</v>
      </c>
      <c r="WBL32" t="s">
        <v>1305</v>
      </c>
      <c r="WBM32" t="s">
        <v>251</v>
      </c>
      <c r="WBN32" t="s">
        <v>1305</v>
      </c>
      <c r="WBO32" t="s">
        <v>251</v>
      </c>
      <c r="WBP32" t="s">
        <v>1305</v>
      </c>
      <c r="WBQ32" t="s">
        <v>251</v>
      </c>
      <c r="WBR32" t="s">
        <v>1305</v>
      </c>
      <c r="WBS32" t="s">
        <v>251</v>
      </c>
      <c r="WBT32" t="s">
        <v>1305</v>
      </c>
      <c r="WBU32" t="s">
        <v>251</v>
      </c>
      <c r="WBV32" t="s">
        <v>1305</v>
      </c>
      <c r="WBW32" t="s">
        <v>251</v>
      </c>
      <c r="WBX32" t="s">
        <v>1305</v>
      </c>
      <c r="WBY32" t="s">
        <v>251</v>
      </c>
      <c r="WBZ32" t="s">
        <v>1305</v>
      </c>
      <c r="WCA32" t="s">
        <v>251</v>
      </c>
      <c r="WCB32" t="s">
        <v>1305</v>
      </c>
      <c r="WCC32" t="s">
        <v>251</v>
      </c>
      <c r="WCD32" t="s">
        <v>1305</v>
      </c>
      <c r="WCE32" t="s">
        <v>251</v>
      </c>
      <c r="WCF32" t="s">
        <v>1305</v>
      </c>
      <c r="WCG32" t="s">
        <v>251</v>
      </c>
      <c r="WCH32" t="s">
        <v>1305</v>
      </c>
      <c r="WCI32" t="s">
        <v>251</v>
      </c>
      <c r="WCJ32" t="s">
        <v>1305</v>
      </c>
      <c r="WCK32" t="s">
        <v>251</v>
      </c>
      <c r="WCL32" t="s">
        <v>1305</v>
      </c>
      <c r="WCM32" t="s">
        <v>251</v>
      </c>
      <c r="WCN32" t="s">
        <v>1305</v>
      </c>
      <c r="WCO32" t="s">
        <v>251</v>
      </c>
      <c r="WCP32" t="s">
        <v>1305</v>
      </c>
      <c r="WCQ32" t="s">
        <v>251</v>
      </c>
      <c r="WCR32" t="s">
        <v>1305</v>
      </c>
      <c r="WCS32" t="s">
        <v>251</v>
      </c>
      <c r="WCT32" t="s">
        <v>1305</v>
      </c>
      <c r="WCU32" t="s">
        <v>251</v>
      </c>
      <c r="WCV32" t="s">
        <v>1305</v>
      </c>
      <c r="WCW32" t="s">
        <v>251</v>
      </c>
      <c r="WCX32" t="s">
        <v>1305</v>
      </c>
      <c r="WCY32" t="s">
        <v>251</v>
      </c>
      <c r="WCZ32" t="s">
        <v>1305</v>
      </c>
      <c r="WDA32" t="s">
        <v>251</v>
      </c>
      <c r="WDB32" t="s">
        <v>1305</v>
      </c>
      <c r="WDC32" t="s">
        <v>251</v>
      </c>
      <c r="WDD32" t="s">
        <v>1305</v>
      </c>
      <c r="WDE32" t="s">
        <v>251</v>
      </c>
      <c r="WDF32" t="s">
        <v>1305</v>
      </c>
      <c r="WDG32" t="s">
        <v>251</v>
      </c>
      <c r="WDH32" t="s">
        <v>1305</v>
      </c>
      <c r="WDI32" t="s">
        <v>251</v>
      </c>
      <c r="WDJ32" t="s">
        <v>1305</v>
      </c>
      <c r="WDK32" t="s">
        <v>251</v>
      </c>
      <c r="WDL32" t="s">
        <v>1305</v>
      </c>
      <c r="WDM32" t="s">
        <v>251</v>
      </c>
      <c r="WDN32" t="s">
        <v>1305</v>
      </c>
      <c r="WDO32" t="s">
        <v>251</v>
      </c>
      <c r="WDP32" t="s">
        <v>1305</v>
      </c>
      <c r="WDQ32" t="s">
        <v>251</v>
      </c>
      <c r="WDR32" t="s">
        <v>1305</v>
      </c>
      <c r="WDS32" t="s">
        <v>251</v>
      </c>
      <c r="WDT32" t="s">
        <v>1305</v>
      </c>
      <c r="WDU32" t="s">
        <v>251</v>
      </c>
      <c r="WDV32" t="s">
        <v>1305</v>
      </c>
      <c r="WDW32" t="s">
        <v>251</v>
      </c>
      <c r="WDX32" t="s">
        <v>1305</v>
      </c>
      <c r="WDY32" t="s">
        <v>251</v>
      </c>
      <c r="WDZ32" t="s">
        <v>1305</v>
      </c>
      <c r="WEA32" t="s">
        <v>251</v>
      </c>
      <c r="WEB32" t="s">
        <v>1305</v>
      </c>
      <c r="WEC32" t="s">
        <v>251</v>
      </c>
      <c r="WED32" t="s">
        <v>1305</v>
      </c>
      <c r="WEE32" t="s">
        <v>251</v>
      </c>
      <c r="WEF32" t="s">
        <v>1305</v>
      </c>
      <c r="WEG32" t="s">
        <v>251</v>
      </c>
      <c r="WEH32" t="s">
        <v>1305</v>
      </c>
      <c r="WEI32" t="s">
        <v>251</v>
      </c>
      <c r="WEJ32" t="s">
        <v>1305</v>
      </c>
      <c r="WEK32" t="s">
        <v>251</v>
      </c>
      <c r="WEL32" t="s">
        <v>1305</v>
      </c>
      <c r="WEM32" t="s">
        <v>251</v>
      </c>
      <c r="WEN32" t="s">
        <v>1305</v>
      </c>
      <c r="WEO32" t="s">
        <v>251</v>
      </c>
      <c r="WEP32" t="s">
        <v>1305</v>
      </c>
      <c r="WEQ32" t="s">
        <v>251</v>
      </c>
      <c r="WER32" t="s">
        <v>1305</v>
      </c>
      <c r="WES32" t="s">
        <v>251</v>
      </c>
      <c r="WET32" t="s">
        <v>1305</v>
      </c>
      <c r="WEU32" t="s">
        <v>251</v>
      </c>
      <c r="WEV32" t="s">
        <v>1305</v>
      </c>
      <c r="WEW32" t="s">
        <v>251</v>
      </c>
      <c r="WEX32" t="s">
        <v>1305</v>
      </c>
      <c r="WEY32" t="s">
        <v>251</v>
      </c>
      <c r="WEZ32" t="s">
        <v>1305</v>
      </c>
      <c r="WFA32" t="s">
        <v>251</v>
      </c>
      <c r="WFB32" t="s">
        <v>1305</v>
      </c>
      <c r="WFC32" t="s">
        <v>251</v>
      </c>
      <c r="WFD32" t="s">
        <v>1305</v>
      </c>
      <c r="WFE32" t="s">
        <v>251</v>
      </c>
      <c r="WFF32" t="s">
        <v>1305</v>
      </c>
      <c r="WFG32" t="s">
        <v>251</v>
      </c>
      <c r="WFH32" t="s">
        <v>1305</v>
      </c>
      <c r="WFI32" t="s">
        <v>251</v>
      </c>
      <c r="WFJ32" t="s">
        <v>1305</v>
      </c>
      <c r="WFK32" t="s">
        <v>251</v>
      </c>
      <c r="WFL32" t="s">
        <v>1305</v>
      </c>
      <c r="WFM32" t="s">
        <v>251</v>
      </c>
      <c r="WFN32" t="s">
        <v>1305</v>
      </c>
      <c r="WFO32" t="s">
        <v>251</v>
      </c>
      <c r="WFP32" t="s">
        <v>1305</v>
      </c>
      <c r="WFQ32" t="s">
        <v>251</v>
      </c>
      <c r="WFR32" t="s">
        <v>1305</v>
      </c>
      <c r="WFS32" t="s">
        <v>251</v>
      </c>
      <c r="WFT32" t="s">
        <v>1305</v>
      </c>
      <c r="WFU32" t="s">
        <v>251</v>
      </c>
      <c r="WFV32" t="s">
        <v>1305</v>
      </c>
      <c r="WFW32" t="s">
        <v>251</v>
      </c>
      <c r="WFX32" t="s">
        <v>1305</v>
      </c>
      <c r="WFY32" t="s">
        <v>251</v>
      </c>
      <c r="WFZ32" t="s">
        <v>1305</v>
      </c>
      <c r="WGA32" t="s">
        <v>251</v>
      </c>
      <c r="WGB32" t="s">
        <v>1305</v>
      </c>
      <c r="WGC32" t="s">
        <v>251</v>
      </c>
      <c r="WGD32" t="s">
        <v>1305</v>
      </c>
      <c r="WGE32" t="s">
        <v>251</v>
      </c>
      <c r="WGF32" t="s">
        <v>1305</v>
      </c>
      <c r="WGG32" t="s">
        <v>251</v>
      </c>
      <c r="WGH32" t="s">
        <v>1305</v>
      </c>
      <c r="WGI32" t="s">
        <v>251</v>
      </c>
      <c r="WGJ32" t="s">
        <v>1305</v>
      </c>
      <c r="WGK32" t="s">
        <v>251</v>
      </c>
      <c r="WGL32" t="s">
        <v>1305</v>
      </c>
      <c r="WGM32" t="s">
        <v>251</v>
      </c>
      <c r="WGN32" t="s">
        <v>1305</v>
      </c>
      <c r="WGO32" t="s">
        <v>251</v>
      </c>
      <c r="WGP32" t="s">
        <v>1305</v>
      </c>
      <c r="WGQ32" t="s">
        <v>251</v>
      </c>
      <c r="WGR32" t="s">
        <v>1305</v>
      </c>
      <c r="WGS32" t="s">
        <v>251</v>
      </c>
      <c r="WGT32" t="s">
        <v>1305</v>
      </c>
      <c r="WGU32" t="s">
        <v>251</v>
      </c>
      <c r="WGV32" t="s">
        <v>1305</v>
      </c>
      <c r="WGW32" t="s">
        <v>251</v>
      </c>
      <c r="WGX32" t="s">
        <v>1305</v>
      </c>
      <c r="WGY32" t="s">
        <v>251</v>
      </c>
      <c r="WGZ32" t="s">
        <v>1305</v>
      </c>
      <c r="WHA32" t="s">
        <v>251</v>
      </c>
      <c r="WHB32" t="s">
        <v>1305</v>
      </c>
      <c r="WHC32" t="s">
        <v>251</v>
      </c>
      <c r="WHD32" t="s">
        <v>1305</v>
      </c>
      <c r="WHE32" t="s">
        <v>251</v>
      </c>
      <c r="WHF32" t="s">
        <v>1305</v>
      </c>
      <c r="WHG32" t="s">
        <v>251</v>
      </c>
      <c r="WHH32" t="s">
        <v>1305</v>
      </c>
      <c r="WHI32" t="s">
        <v>251</v>
      </c>
      <c r="WHJ32" t="s">
        <v>1305</v>
      </c>
      <c r="WHK32" t="s">
        <v>251</v>
      </c>
      <c r="WHL32" t="s">
        <v>1305</v>
      </c>
      <c r="WHM32" t="s">
        <v>251</v>
      </c>
      <c r="WHN32" t="s">
        <v>1305</v>
      </c>
      <c r="WHO32" t="s">
        <v>251</v>
      </c>
      <c r="WHP32" t="s">
        <v>1305</v>
      </c>
      <c r="WHQ32" t="s">
        <v>251</v>
      </c>
      <c r="WHR32" t="s">
        <v>1305</v>
      </c>
      <c r="WHS32" t="s">
        <v>251</v>
      </c>
      <c r="WHT32" t="s">
        <v>1305</v>
      </c>
      <c r="WHU32" t="s">
        <v>251</v>
      </c>
      <c r="WHV32" t="s">
        <v>1305</v>
      </c>
      <c r="WHW32" t="s">
        <v>251</v>
      </c>
      <c r="WHX32" t="s">
        <v>1305</v>
      </c>
      <c r="WHY32" t="s">
        <v>251</v>
      </c>
      <c r="WHZ32" t="s">
        <v>1305</v>
      </c>
      <c r="WIA32" t="s">
        <v>251</v>
      </c>
      <c r="WIB32" t="s">
        <v>1305</v>
      </c>
      <c r="WIC32" t="s">
        <v>251</v>
      </c>
      <c r="WID32" t="s">
        <v>1305</v>
      </c>
      <c r="WIE32" t="s">
        <v>251</v>
      </c>
      <c r="WIF32" t="s">
        <v>1305</v>
      </c>
      <c r="WIG32" t="s">
        <v>251</v>
      </c>
      <c r="WIH32" t="s">
        <v>1305</v>
      </c>
      <c r="WII32" t="s">
        <v>251</v>
      </c>
      <c r="WIJ32" t="s">
        <v>1305</v>
      </c>
      <c r="WIK32" t="s">
        <v>251</v>
      </c>
      <c r="WIL32" t="s">
        <v>1305</v>
      </c>
      <c r="WIM32" t="s">
        <v>251</v>
      </c>
      <c r="WIN32" t="s">
        <v>1305</v>
      </c>
      <c r="WIO32" t="s">
        <v>251</v>
      </c>
      <c r="WIP32" t="s">
        <v>1305</v>
      </c>
      <c r="WIQ32" t="s">
        <v>251</v>
      </c>
      <c r="WIR32" t="s">
        <v>1305</v>
      </c>
      <c r="WIS32" t="s">
        <v>251</v>
      </c>
      <c r="WIT32" t="s">
        <v>1305</v>
      </c>
      <c r="WIU32" t="s">
        <v>251</v>
      </c>
      <c r="WIV32" t="s">
        <v>1305</v>
      </c>
      <c r="WIW32" t="s">
        <v>251</v>
      </c>
      <c r="WIX32" t="s">
        <v>1305</v>
      </c>
      <c r="WIY32" t="s">
        <v>251</v>
      </c>
      <c r="WIZ32" t="s">
        <v>1305</v>
      </c>
      <c r="WJA32" t="s">
        <v>251</v>
      </c>
      <c r="WJB32" t="s">
        <v>1305</v>
      </c>
      <c r="WJC32" t="s">
        <v>251</v>
      </c>
      <c r="WJD32" t="s">
        <v>1305</v>
      </c>
      <c r="WJE32" t="s">
        <v>251</v>
      </c>
      <c r="WJF32" t="s">
        <v>1305</v>
      </c>
      <c r="WJG32" t="s">
        <v>251</v>
      </c>
      <c r="WJH32" t="s">
        <v>1305</v>
      </c>
      <c r="WJI32" t="s">
        <v>251</v>
      </c>
      <c r="WJJ32" t="s">
        <v>1305</v>
      </c>
      <c r="WJK32" t="s">
        <v>251</v>
      </c>
      <c r="WJL32" t="s">
        <v>1305</v>
      </c>
      <c r="WJM32" t="s">
        <v>251</v>
      </c>
      <c r="WJN32" t="s">
        <v>1305</v>
      </c>
      <c r="WJO32" t="s">
        <v>251</v>
      </c>
      <c r="WJP32" t="s">
        <v>1305</v>
      </c>
      <c r="WJQ32" t="s">
        <v>251</v>
      </c>
      <c r="WJR32" t="s">
        <v>1305</v>
      </c>
      <c r="WJS32" t="s">
        <v>251</v>
      </c>
      <c r="WJT32" t="s">
        <v>1305</v>
      </c>
      <c r="WJU32" t="s">
        <v>251</v>
      </c>
      <c r="WJV32" t="s">
        <v>1305</v>
      </c>
      <c r="WJW32" t="s">
        <v>251</v>
      </c>
      <c r="WJX32" t="s">
        <v>1305</v>
      </c>
      <c r="WJY32" t="s">
        <v>251</v>
      </c>
      <c r="WJZ32" t="s">
        <v>1305</v>
      </c>
      <c r="WKA32" t="s">
        <v>251</v>
      </c>
      <c r="WKB32" t="s">
        <v>1305</v>
      </c>
      <c r="WKC32" t="s">
        <v>251</v>
      </c>
      <c r="WKD32" t="s">
        <v>1305</v>
      </c>
      <c r="WKE32" t="s">
        <v>251</v>
      </c>
      <c r="WKF32" t="s">
        <v>1305</v>
      </c>
      <c r="WKG32" t="s">
        <v>251</v>
      </c>
      <c r="WKH32" t="s">
        <v>1305</v>
      </c>
      <c r="WKI32" t="s">
        <v>251</v>
      </c>
      <c r="WKJ32" t="s">
        <v>1305</v>
      </c>
      <c r="WKK32" t="s">
        <v>251</v>
      </c>
      <c r="WKL32" t="s">
        <v>1305</v>
      </c>
      <c r="WKM32" t="s">
        <v>251</v>
      </c>
      <c r="WKN32" t="s">
        <v>1305</v>
      </c>
      <c r="WKO32" t="s">
        <v>251</v>
      </c>
      <c r="WKP32" t="s">
        <v>1305</v>
      </c>
      <c r="WKQ32" t="s">
        <v>251</v>
      </c>
      <c r="WKR32" t="s">
        <v>1305</v>
      </c>
      <c r="WKS32" t="s">
        <v>251</v>
      </c>
      <c r="WKT32" t="s">
        <v>1305</v>
      </c>
      <c r="WKU32" t="s">
        <v>251</v>
      </c>
      <c r="WKV32" t="s">
        <v>1305</v>
      </c>
      <c r="WKW32" t="s">
        <v>251</v>
      </c>
      <c r="WKX32" t="s">
        <v>1305</v>
      </c>
      <c r="WKY32" t="s">
        <v>251</v>
      </c>
      <c r="WKZ32" t="s">
        <v>1305</v>
      </c>
      <c r="WLA32" t="s">
        <v>251</v>
      </c>
      <c r="WLB32" t="s">
        <v>1305</v>
      </c>
      <c r="WLC32" t="s">
        <v>251</v>
      </c>
      <c r="WLD32" t="s">
        <v>1305</v>
      </c>
      <c r="WLE32" t="s">
        <v>251</v>
      </c>
      <c r="WLF32" t="s">
        <v>1305</v>
      </c>
      <c r="WLG32" t="s">
        <v>251</v>
      </c>
      <c r="WLH32" t="s">
        <v>1305</v>
      </c>
      <c r="WLI32" t="s">
        <v>251</v>
      </c>
      <c r="WLJ32" t="s">
        <v>1305</v>
      </c>
      <c r="WLK32" t="s">
        <v>251</v>
      </c>
      <c r="WLL32" t="s">
        <v>1305</v>
      </c>
      <c r="WLM32" t="s">
        <v>251</v>
      </c>
      <c r="WLN32" t="s">
        <v>1305</v>
      </c>
      <c r="WLO32" t="s">
        <v>251</v>
      </c>
      <c r="WLP32" t="s">
        <v>1305</v>
      </c>
      <c r="WLQ32" t="s">
        <v>251</v>
      </c>
      <c r="WLR32" t="s">
        <v>1305</v>
      </c>
      <c r="WLS32" t="s">
        <v>251</v>
      </c>
      <c r="WLT32" t="s">
        <v>1305</v>
      </c>
      <c r="WLU32" t="s">
        <v>251</v>
      </c>
      <c r="WLV32" t="s">
        <v>1305</v>
      </c>
      <c r="WLW32" t="s">
        <v>251</v>
      </c>
      <c r="WLX32" t="s">
        <v>1305</v>
      </c>
      <c r="WLY32" t="s">
        <v>251</v>
      </c>
      <c r="WLZ32" t="s">
        <v>1305</v>
      </c>
      <c r="WMA32" t="s">
        <v>251</v>
      </c>
      <c r="WMB32" t="s">
        <v>1305</v>
      </c>
      <c r="WMC32" t="s">
        <v>251</v>
      </c>
      <c r="WMD32" t="s">
        <v>1305</v>
      </c>
      <c r="WME32" t="s">
        <v>251</v>
      </c>
      <c r="WMF32" t="s">
        <v>1305</v>
      </c>
      <c r="WMG32" t="s">
        <v>251</v>
      </c>
      <c r="WMH32" t="s">
        <v>1305</v>
      </c>
      <c r="WMI32" t="s">
        <v>251</v>
      </c>
      <c r="WMJ32" t="s">
        <v>1305</v>
      </c>
      <c r="WMK32" t="s">
        <v>251</v>
      </c>
      <c r="WML32" t="s">
        <v>1305</v>
      </c>
      <c r="WMM32" t="s">
        <v>251</v>
      </c>
      <c r="WMN32" t="s">
        <v>1305</v>
      </c>
      <c r="WMO32" t="s">
        <v>251</v>
      </c>
      <c r="WMP32" t="s">
        <v>1305</v>
      </c>
      <c r="WMQ32" t="s">
        <v>251</v>
      </c>
      <c r="WMR32" t="s">
        <v>1305</v>
      </c>
      <c r="WMS32" t="s">
        <v>251</v>
      </c>
      <c r="WMT32" t="s">
        <v>1305</v>
      </c>
      <c r="WMU32" t="s">
        <v>251</v>
      </c>
      <c r="WMV32" t="s">
        <v>1305</v>
      </c>
      <c r="WMW32" t="s">
        <v>251</v>
      </c>
      <c r="WMX32" t="s">
        <v>1305</v>
      </c>
      <c r="WMY32" t="s">
        <v>251</v>
      </c>
      <c r="WMZ32" t="s">
        <v>1305</v>
      </c>
      <c r="WNA32" t="s">
        <v>251</v>
      </c>
      <c r="WNB32" t="s">
        <v>1305</v>
      </c>
      <c r="WNC32" t="s">
        <v>251</v>
      </c>
      <c r="WND32" t="s">
        <v>1305</v>
      </c>
      <c r="WNE32" t="s">
        <v>251</v>
      </c>
      <c r="WNF32" t="s">
        <v>1305</v>
      </c>
      <c r="WNG32" t="s">
        <v>251</v>
      </c>
      <c r="WNH32" t="s">
        <v>1305</v>
      </c>
      <c r="WNI32" t="s">
        <v>251</v>
      </c>
      <c r="WNJ32" t="s">
        <v>1305</v>
      </c>
      <c r="WNK32" t="s">
        <v>251</v>
      </c>
      <c r="WNL32" t="s">
        <v>1305</v>
      </c>
      <c r="WNM32" t="s">
        <v>251</v>
      </c>
      <c r="WNN32" t="s">
        <v>1305</v>
      </c>
      <c r="WNO32" t="s">
        <v>251</v>
      </c>
      <c r="WNP32" t="s">
        <v>1305</v>
      </c>
      <c r="WNQ32" t="s">
        <v>251</v>
      </c>
      <c r="WNR32" t="s">
        <v>1305</v>
      </c>
      <c r="WNS32" t="s">
        <v>251</v>
      </c>
      <c r="WNT32" t="s">
        <v>1305</v>
      </c>
      <c r="WNU32" t="s">
        <v>251</v>
      </c>
      <c r="WNV32" t="s">
        <v>1305</v>
      </c>
      <c r="WNW32" t="s">
        <v>251</v>
      </c>
      <c r="WNX32" t="s">
        <v>1305</v>
      </c>
      <c r="WNY32" t="s">
        <v>251</v>
      </c>
      <c r="WNZ32" t="s">
        <v>1305</v>
      </c>
      <c r="WOA32" t="s">
        <v>251</v>
      </c>
      <c r="WOB32" t="s">
        <v>1305</v>
      </c>
      <c r="WOC32" t="s">
        <v>251</v>
      </c>
      <c r="WOD32" t="s">
        <v>1305</v>
      </c>
      <c r="WOE32" t="s">
        <v>251</v>
      </c>
      <c r="WOF32" t="s">
        <v>1305</v>
      </c>
      <c r="WOG32" t="s">
        <v>251</v>
      </c>
      <c r="WOH32" t="s">
        <v>1305</v>
      </c>
      <c r="WOI32" t="s">
        <v>251</v>
      </c>
      <c r="WOJ32" t="s">
        <v>1305</v>
      </c>
      <c r="WOK32" t="s">
        <v>251</v>
      </c>
      <c r="WOL32" t="s">
        <v>1305</v>
      </c>
      <c r="WOM32" t="s">
        <v>251</v>
      </c>
      <c r="WON32" t="s">
        <v>1305</v>
      </c>
      <c r="WOO32" t="s">
        <v>251</v>
      </c>
      <c r="WOP32" t="s">
        <v>1305</v>
      </c>
      <c r="WOQ32" t="s">
        <v>251</v>
      </c>
      <c r="WOR32" t="s">
        <v>1305</v>
      </c>
      <c r="WOS32" t="s">
        <v>251</v>
      </c>
      <c r="WOT32" t="s">
        <v>1305</v>
      </c>
      <c r="WOU32" t="s">
        <v>251</v>
      </c>
      <c r="WOV32" t="s">
        <v>1305</v>
      </c>
      <c r="WOW32" t="s">
        <v>251</v>
      </c>
      <c r="WOX32" t="s">
        <v>1305</v>
      </c>
      <c r="WOY32" t="s">
        <v>251</v>
      </c>
      <c r="WOZ32" t="s">
        <v>1305</v>
      </c>
      <c r="WPA32" t="s">
        <v>251</v>
      </c>
      <c r="WPB32" t="s">
        <v>1305</v>
      </c>
      <c r="WPC32" t="s">
        <v>251</v>
      </c>
      <c r="WPD32" t="s">
        <v>1305</v>
      </c>
      <c r="WPE32" t="s">
        <v>251</v>
      </c>
      <c r="WPF32" t="s">
        <v>1305</v>
      </c>
      <c r="WPG32" t="s">
        <v>251</v>
      </c>
      <c r="WPH32" t="s">
        <v>1305</v>
      </c>
      <c r="WPI32" t="s">
        <v>251</v>
      </c>
      <c r="WPJ32" t="s">
        <v>1305</v>
      </c>
      <c r="WPK32" t="s">
        <v>251</v>
      </c>
      <c r="WPL32" t="s">
        <v>1305</v>
      </c>
      <c r="WPM32" t="s">
        <v>251</v>
      </c>
      <c r="WPN32" t="s">
        <v>1305</v>
      </c>
      <c r="WPO32" t="s">
        <v>251</v>
      </c>
      <c r="WPP32" t="s">
        <v>1305</v>
      </c>
      <c r="WPQ32" t="s">
        <v>251</v>
      </c>
      <c r="WPR32" t="s">
        <v>1305</v>
      </c>
      <c r="WPS32" t="s">
        <v>251</v>
      </c>
      <c r="WPT32" t="s">
        <v>1305</v>
      </c>
      <c r="WPU32" t="s">
        <v>251</v>
      </c>
      <c r="WPV32" t="s">
        <v>1305</v>
      </c>
      <c r="WPW32" t="s">
        <v>251</v>
      </c>
      <c r="WPX32" t="s">
        <v>1305</v>
      </c>
      <c r="WPY32" t="s">
        <v>251</v>
      </c>
      <c r="WPZ32" t="s">
        <v>1305</v>
      </c>
      <c r="WQA32" t="s">
        <v>251</v>
      </c>
      <c r="WQB32" t="s">
        <v>1305</v>
      </c>
      <c r="WQC32" t="s">
        <v>251</v>
      </c>
      <c r="WQD32" t="s">
        <v>1305</v>
      </c>
      <c r="WQE32" t="s">
        <v>251</v>
      </c>
      <c r="WQF32" t="s">
        <v>1305</v>
      </c>
      <c r="WQG32" t="s">
        <v>251</v>
      </c>
      <c r="WQH32" t="s">
        <v>1305</v>
      </c>
      <c r="WQI32" t="s">
        <v>251</v>
      </c>
      <c r="WQJ32" t="s">
        <v>1305</v>
      </c>
      <c r="WQK32" t="s">
        <v>251</v>
      </c>
      <c r="WQL32" t="s">
        <v>1305</v>
      </c>
      <c r="WQM32" t="s">
        <v>251</v>
      </c>
      <c r="WQN32" t="s">
        <v>1305</v>
      </c>
      <c r="WQO32" t="s">
        <v>251</v>
      </c>
      <c r="WQP32" t="s">
        <v>1305</v>
      </c>
      <c r="WQQ32" t="s">
        <v>251</v>
      </c>
      <c r="WQR32" t="s">
        <v>1305</v>
      </c>
      <c r="WQS32" t="s">
        <v>251</v>
      </c>
      <c r="WQT32" t="s">
        <v>1305</v>
      </c>
      <c r="WQU32" t="s">
        <v>251</v>
      </c>
      <c r="WQV32" t="s">
        <v>1305</v>
      </c>
      <c r="WQW32" t="s">
        <v>251</v>
      </c>
      <c r="WQX32" t="s">
        <v>1305</v>
      </c>
      <c r="WQY32" t="s">
        <v>251</v>
      </c>
      <c r="WQZ32" t="s">
        <v>1305</v>
      </c>
      <c r="WRA32" t="s">
        <v>251</v>
      </c>
      <c r="WRB32" t="s">
        <v>1305</v>
      </c>
      <c r="WRC32" t="s">
        <v>251</v>
      </c>
      <c r="WRD32" t="s">
        <v>1305</v>
      </c>
      <c r="WRE32" t="s">
        <v>251</v>
      </c>
      <c r="WRF32" t="s">
        <v>1305</v>
      </c>
      <c r="WRG32" t="s">
        <v>251</v>
      </c>
      <c r="WRH32" t="s">
        <v>1305</v>
      </c>
      <c r="WRI32" t="s">
        <v>251</v>
      </c>
      <c r="WRJ32" t="s">
        <v>1305</v>
      </c>
      <c r="WRK32" t="s">
        <v>251</v>
      </c>
      <c r="WRL32" t="s">
        <v>1305</v>
      </c>
      <c r="WRM32" t="s">
        <v>251</v>
      </c>
      <c r="WRN32" t="s">
        <v>1305</v>
      </c>
      <c r="WRO32" t="s">
        <v>251</v>
      </c>
      <c r="WRP32" t="s">
        <v>1305</v>
      </c>
      <c r="WRQ32" t="s">
        <v>251</v>
      </c>
      <c r="WRR32" t="s">
        <v>1305</v>
      </c>
      <c r="WRS32" t="s">
        <v>251</v>
      </c>
      <c r="WRT32" t="s">
        <v>1305</v>
      </c>
      <c r="WRU32" t="s">
        <v>251</v>
      </c>
      <c r="WRV32" t="s">
        <v>1305</v>
      </c>
      <c r="WRW32" t="s">
        <v>251</v>
      </c>
      <c r="WRX32" t="s">
        <v>1305</v>
      </c>
      <c r="WRY32" t="s">
        <v>251</v>
      </c>
      <c r="WRZ32" t="s">
        <v>1305</v>
      </c>
      <c r="WSA32" t="s">
        <v>251</v>
      </c>
      <c r="WSB32" t="s">
        <v>1305</v>
      </c>
      <c r="WSC32" t="s">
        <v>251</v>
      </c>
      <c r="WSD32" t="s">
        <v>1305</v>
      </c>
      <c r="WSE32" t="s">
        <v>251</v>
      </c>
      <c r="WSF32" t="s">
        <v>1305</v>
      </c>
      <c r="WSG32" t="s">
        <v>251</v>
      </c>
      <c r="WSH32" t="s">
        <v>1305</v>
      </c>
      <c r="WSI32" t="s">
        <v>251</v>
      </c>
      <c r="WSJ32" t="s">
        <v>1305</v>
      </c>
      <c r="WSK32" t="s">
        <v>251</v>
      </c>
      <c r="WSL32" t="s">
        <v>1305</v>
      </c>
      <c r="WSM32" t="s">
        <v>251</v>
      </c>
      <c r="WSN32" t="s">
        <v>1305</v>
      </c>
      <c r="WSO32" t="s">
        <v>251</v>
      </c>
      <c r="WSP32" t="s">
        <v>1305</v>
      </c>
      <c r="WSQ32" t="s">
        <v>251</v>
      </c>
      <c r="WSR32" t="s">
        <v>1305</v>
      </c>
      <c r="WSS32" t="s">
        <v>251</v>
      </c>
      <c r="WST32" t="s">
        <v>1305</v>
      </c>
      <c r="WSU32" t="s">
        <v>251</v>
      </c>
      <c r="WSV32" t="s">
        <v>1305</v>
      </c>
      <c r="WSW32" t="s">
        <v>251</v>
      </c>
      <c r="WSX32" t="s">
        <v>1305</v>
      </c>
      <c r="WSY32" t="s">
        <v>251</v>
      </c>
      <c r="WSZ32" t="s">
        <v>1305</v>
      </c>
      <c r="WTA32" t="s">
        <v>251</v>
      </c>
      <c r="WTB32" t="s">
        <v>1305</v>
      </c>
      <c r="WTC32" t="s">
        <v>251</v>
      </c>
      <c r="WTD32" t="s">
        <v>1305</v>
      </c>
      <c r="WTE32" t="s">
        <v>251</v>
      </c>
      <c r="WTF32" t="s">
        <v>1305</v>
      </c>
      <c r="WTG32" t="s">
        <v>251</v>
      </c>
      <c r="WTH32" t="s">
        <v>1305</v>
      </c>
      <c r="WTI32" t="s">
        <v>251</v>
      </c>
      <c r="WTJ32" t="s">
        <v>1305</v>
      </c>
      <c r="WTK32" t="s">
        <v>251</v>
      </c>
      <c r="WTL32" t="s">
        <v>1305</v>
      </c>
      <c r="WTM32" t="s">
        <v>251</v>
      </c>
      <c r="WTN32" t="s">
        <v>1305</v>
      </c>
      <c r="WTO32" t="s">
        <v>251</v>
      </c>
      <c r="WTP32" t="s">
        <v>1305</v>
      </c>
      <c r="WTQ32" t="s">
        <v>251</v>
      </c>
      <c r="WTR32" t="s">
        <v>1305</v>
      </c>
      <c r="WTS32" t="s">
        <v>251</v>
      </c>
      <c r="WTT32" t="s">
        <v>1305</v>
      </c>
      <c r="WTU32" t="s">
        <v>251</v>
      </c>
      <c r="WTV32" t="s">
        <v>1305</v>
      </c>
      <c r="WTW32" t="s">
        <v>251</v>
      </c>
      <c r="WTX32" t="s">
        <v>1305</v>
      </c>
      <c r="WTY32" t="s">
        <v>251</v>
      </c>
      <c r="WTZ32" t="s">
        <v>1305</v>
      </c>
      <c r="WUA32" t="s">
        <v>251</v>
      </c>
      <c r="WUB32" t="s">
        <v>1305</v>
      </c>
      <c r="WUC32" t="s">
        <v>251</v>
      </c>
      <c r="WUD32" t="s">
        <v>1305</v>
      </c>
      <c r="WUE32" t="s">
        <v>251</v>
      </c>
      <c r="WUF32" t="s">
        <v>1305</v>
      </c>
      <c r="WUG32" t="s">
        <v>251</v>
      </c>
      <c r="WUH32" t="s">
        <v>1305</v>
      </c>
      <c r="WUI32" t="s">
        <v>251</v>
      </c>
      <c r="WUJ32" t="s">
        <v>1305</v>
      </c>
      <c r="WUK32" t="s">
        <v>251</v>
      </c>
      <c r="WUL32" t="s">
        <v>1305</v>
      </c>
      <c r="WUM32" t="s">
        <v>251</v>
      </c>
      <c r="WUN32" t="s">
        <v>1305</v>
      </c>
      <c r="WUO32" t="s">
        <v>251</v>
      </c>
      <c r="WUP32" t="s">
        <v>1305</v>
      </c>
      <c r="WUQ32" t="s">
        <v>251</v>
      </c>
      <c r="WUR32" t="s">
        <v>1305</v>
      </c>
      <c r="WUS32" t="s">
        <v>251</v>
      </c>
      <c r="WUT32" t="s">
        <v>1305</v>
      </c>
      <c r="WUU32" t="s">
        <v>251</v>
      </c>
      <c r="WUV32" t="s">
        <v>1305</v>
      </c>
      <c r="WUW32" t="s">
        <v>251</v>
      </c>
      <c r="WUX32" t="s">
        <v>1305</v>
      </c>
      <c r="WUY32" t="s">
        <v>251</v>
      </c>
      <c r="WUZ32" t="s">
        <v>1305</v>
      </c>
      <c r="WVA32" t="s">
        <v>251</v>
      </c>
      <c r="WVB32" t="s">
        <v>1305</v>
      </c>
      <c r="WVC32" t="s">
        <v>251</v>
      </c>
      <c r="WVD32" t="s">
        <v>1305</v>
      </c>
      <c r="WVE32" t="s">
        <v>251</v>
      </c>
      <c r="WVF32" t="s">
        <v>1305</v>
      </c>
      <c r="WVG32" t="s">
        <v>251</v>
      </c>
      <c r="WVH32" t="s">
        <v>1305</v>
      </c>
      <c r="WVI32" t="s">
        <v>251</v>
      </c>
      <c r="WVJ32" t="s">
        <v>1305</v>
      </c>
      <c r="WVK32" t="s">
        <v>251</v>
      </c>
      <c r="WVL32" t="s">
        <v>1305</v>
      </c>
      <c r="WVM32" t="s">
        <v>251</v>
      </c>
      <c r="WVN32" t="s">
        <v>1305</v>
      </c>
      <c r="WVO32" t="s">
        <v>251</v>
      </c>
      <c r="WVP32" t="s">
        <v>1305</v>
      </c>
      <c r="WVQ32" t="s">
        <v>251</v>
      </c>
      <c r="WVR32" t="s">
        <v>1305</v>
      </c>
      <c r="WVS32" t="s">
        <v>251</v>
      </c>
      <c r="WVT32" t="s">
        <v>1305</v>
      </c>
      <c r="WVU32" t="s">
        <v>251</v>
      </c>
      <c r="WVV32" t="s">
        <v>1305</v>
      </c>
      <c r="WVW32" t="s">
        <v>251</v>
      </c>
      <c r="WVX32" t="s">
        <v>1305</v>
      </c>
      <c r="WVY32" t="s">
        <v>251</v>
      </c>
      <c r="WVZ32" t="s">
        <v>1305</v>
      </c>
      <c r="WWA32" t="s">
        <v>251</v>
      </c>
      <c r="WWB32" t="s">
        <v>1305</v>
      </c>
      <c r="WWC32" t="s">
        <v>251</v>
      </c>
      <c r="WWD32" t="s">
        <v>1305</v>
      </c>
      <c r="WWE32" t="s">
        <v>251</v>
      </c>
      <c r="WWF32" t="s">
        <v>1305</v>
      </c>
      <c r="WWG32" t="s">
        <v>251</v>
      </c>
      <c r="WWH32" t="s">
        <v>1305</v>
      </c>
      <c r="WWI32" t="s">
        <v>251</v>
      </c>
      <c r="WWJ32" t="s">
        <v>1305</v>
      </c>
      <c r="WWK32" t="s">
        <v>251</v>
      </c>
      <c r="WWL32" t="s">
        <v>1305</v>
      </c>
      <c r="WWM32" t="s">
        <v>251</v>
      </c>
      <c r="WWN32" t="s">
        <v>1305</v>
      </c>
      <c r="WWO32" t="s">
        <v>251</v>
      </c>
      <c r="WWP32" t="s">
        <v>1305</v>
      </c>
      <c r="WWQ32" t="s">
        <v>251</v>
      </c>
      <c r="WWR32" t="s">
        <v>1305</v>
      </c>
      <c r="WWS32" t="s">
        <v>251</v>
      </c>
      <c r="WWT32" t="s">
        <v>1305</v>
      </c>
      <c r="WWU32" t="s">
        <v>251</v>
      </c>
      <c r="WWV32" t="s">
        <v>1305</v>
      </c>
      <c r="WWW32" t="s">
        <v>251</v>
      </c>
      <c r="WWX32" t="s">
        <v>1305</v>
      </c>
      <c r="WWY32" t="s">
        <v>251</v>
      </c>
      <c r="WWZ32" t="s">
        <v>1305</v>
      </c>
      <c r="WXA32" t="s">
        <v>251</v>
      </c>
      <c r="WXB32" t="s">
        <v>1305</v>
      </c>
      <c r="WXC32" t="s">
        <v>251</v>
      </c>
      <c r="WXD32" t="s">
        <v>1305</v>
      </c>
      <c r="WXE32" t="s">
        <v>251</v>
      </c>
      <c r="WXF32" t="s">
        <v>1305</v>
      </c>
      <c r="WXG32" t="s">
        <v>251</v>
      </c>
      <c r="WXH32" t="s">
        <v>1305</v>
      </c>
      <c r="WXI32" t="s">
        <v>251</v>
      </c>
      <c r="WXJ32" t="s">
        <v>1305</v>
      </c>
      <c r="WXK32" t="s">
        <v>251</v>
      </c>
      <c r="WXL32" t="s">
        <v>1305</v>
      </c>
      <c r="WXM32" t="s">
        <v>251</v>
      </c>
      <c r="WXN32" t="s">
        <v>1305</v>
      </c>
      <c r="WXO32" t="s">
        <v>251</v>
      </c>
      <c r="WXP32" t="s">
        <v>1305</v>
      </c>
      <c r="WXQ32" t="s">
        <v>251</v>
      </c>
      <c r="WXR32" t="s">
        <v>1305</v>
      </c>
      <c r="WXS32" t="s">
        <v>251</v>
      </c>
      <c r="WXT32" t="s">
        <v>1305</v>
      </c>
      <c r="WXU32" t="s">
        <v>251</v>
      </c>
      <c r="WXV32" t="s">
        <v>1305</v>
      </c>
      <c r="WXW32" t="s">
        <v>251</v>
      </c>
      <c r="WXX32" t="s">
        <v>1305</v>
      </c>
      <c r="WXY32" t="s">
        <v>251</v>
      </c>
      <c r="WXZ32" t="s">
        <v>1305</v>
      </c>
      <c r="WYA32" t="s">
        <v>251</v>
      </c>
      <c r="WYB32" t="s">
        <v>1305</v>
      </c>
      <c r="WYC32" t="s">
        <v>251</v>
      </c>
      <c r="WYD32" t="s">
        <v>1305</v>
      </c>
      <c r="WYE32" t="s">
        <v>251</v>
      </c>
      <c r="WYF32" t="s">
        <v>1305</v>
      </c>
      <c r="WYG32" t="s">
        <v>251</v>
      </c>
      <c r="WYH32" t="s">
        <v>1305</v>
      </c>
      <c r="WYI32" t="s">
        <v>251</v>
      </c>
      <c r="WYJ32" t="s">
        <v>1305</v>
      </c>
      <c r="WYK32" t="s">
        <v>251</v>
      </c>
      <c r="WYL32" t="s">
        <v>1305</v>
      </c>
      <c r="WYM32" t="s">
        <v>251</v>
      </c>
      <c r="WYN32" t="s">
        <v>1305</v>
      </c>
      <c r="WYO32" t="s">
        <v>251</v>
      </c>
      <c r="WYP32" t="s">
        <v>1305</v>
      </c>
      <c r="WYQ32" t="s">
        <v>251</v>
      </c>
      <c r="WYR32" t="s">
        <v>1305</v>
      </c>
      <c r="WYS32" t="s">
        <v>251</v>
      </c>
      <c r="WYT32" t="s">
        <v>1305</v>
      </c>
      <c r="WYU32" t="s">
        <v>251</v>
      </c>
      <c r="WYV32" t="s">
        <v>1305</v>
      </c>
      <c r="WYW32" t="s">
        <v>251</v>
      </c>
      <c r="WYX32" t="s">
        <v>1305</v>
      </c>
      <c r="WYY32" t="s">
        <v>251</v>
      </c>
      <c r="WYZ32" t="s">
        <v>1305</v>
      </c>
      <c r="WZA32" t="s">
        <v>251</v>
      </c>
      <c r="WZB32" t="s">
        <v>1305</v>
      </c>
      <c r="WZC32" t="s">
        <v>251</v>
      </c>
      <c r="WZD32" t="s">
        <v>1305</v>
      </c>
      <c r="WZE32" t="s">
        <v>251</v>
      </c>
      <c r="WZF32" t="s">
        <v>1305</v>
      </c>
      <c r="WZG32" t="s">
        <v>251</v>
      </c>
      <c r="WZH32" t="s">
        <v>1305</v>
      </c>
      <c r="WZI32" t="s">
        <v>251</v>
      </c>
      <c r="WZJ32" t="s">
        <v>1305</v>
      </c>
      <c r="WZK32" t="s">
        <v>251</v>
      </c>
      <c r="WZL32" t="s">
        <v>1305</v>
      </c>
      <c r="WZM32" t="s">
        <v>251</v>
      </c>
      <c r="WZN32" t="s">
        <v>1305</v>
      </c>
      <c r="WZO32" t="s">
        <v>251</v>
      </c>
      <c r="WZP32" t="s">
        <v>1305</v>
      </c>
      <c r="WZQ32" t="s">
        <v>251</v>
      </c>
      <c r="WZR32" t="s">
        <v>1305</v>
      </c>
      <c r="WZS32" t="s">
        <v>251</v>
      </c>
      <c r="WZT32" t="s">
        <v>1305</v>
      </c>
      <c r="WZU32" t="s">
        <v>251</v>
      </c>
      <c r="WZV32" t="s">
        <v>1305</v>
      </c>
      <c r="WZW32" t="s">
        <v>251</v>
      </c>
      <c r="WZX32" t="s">
        <v>1305</v>
      </c>
      <c r="WZY32" t="s">
        <v>251</v>
      </c>
      <c r="WZZ32" t="s">
        <v>1305</v>
      </c>
      <c r="XAA32" t="s">
        <v>251</v>
      </c>
      <c r="XAB32" t="s">
        <v>1305</v>
      </c>
      <c r="XAC32" t="s">
        <v>251</v>
      </c>
      <c r="XAD32" t="s">
        <v>1305</v>
      </c>
      <c r="XAE32" t="s">
        <v>251</v>
      </c>
      <c r="XAF32" t="s">
        <v>1305</v>
      </c>
      <c r="XAG32" t="s">
        <v>251</v>
      </c>
      <c r="XAH32" t="s">
        <v>1305</v>
      </c>
      <c r="XAI32" t="s">
        <v>251</v>
      </c>
      <c r="XAJ32" t="s">
        <v>1305</v>
      </c>
      <c r="XAK32" t="s">
        <v>251</v>
      </c>
      <c r="XAL32" t="s">
        <v>1305</v>
      </c>
      <c r="XAM32" t="s">
        <v>251</v>
      </c>
      <c r="XAN32" t="s">
        <v>1305</v>
      </c>
      <c r="XAO32" t="s">
        <v>251</v>
      </c>
      <c r="XAP32" t="s">
        <v>1305</v>
      </c>
      <c r="XAQ32" t="s">
        <v>251</v>
      </c>
      <c r="XAR32" t="s">
        <v>1305</v>
      </c>
      <c r="XAS32" t="s">
        <v>251</v>
      </c>
      <c r="XAT32" t="s">
        <v>1305</v>
      </c>
      <c r="XAU32" t="s">
        <v>251</v>
      </c>
      <c r="XAV32" t="s">
        <v>1305</v>
      </c>
      <c r="XAW32" t="s">
        <v>251</v>
      </c>
      <c r="XAX32" t="s">
        <v>1305</v>
      </c>
      <c r="XAY32" t="s">
        <v>251</v>
      </c>
      <c r="XAZ32" t="s">
        <v>1305</v>
      </c>
      <c r="XBA32" t="s">
        <v>251</v>
      </c>
      <c r="XBB32" t="s">
        <v>1305</v>
      </c>
      <c r="XBC32" t="s">
        <v>251</v>
      </c>
      <c r="XBD32" t="s">
        <v>1305</v>
      </c>
      <c r="XBE32" t="s">
        <v>251</v>
      </c>
      <c r="XBF32" t="s">
        <v>1305</v>
      </c>
      <c r="XBG32" t="s">
        <v>251</v>
      </c>
      <c r="XBH32" t="s">
        <v>1305</v>
      </c>
      <c r="XBI32" t="s">
        <v>251</v>
      </c>
      <c r="XBJ32" t="s">
        <v>1305</v>
      </c>
      <c r="XBK32" t="s">
        <v>251</v>
      </c>
      <c r="XBL32" t="s">
        <v>1305</v>
      </c>
      <c r="XBM32" t="s">
        <v>251</v>
      </c>
      <c r="XBN32" t="s">
        <v>1305</v>
      </c>
      <c r="XBO32" t="s">
        <v>251</v>
      </c>
      <c r="XBP32" t="s">
        <v>1305</v>
      </c>
      <c r="XBQ32" t="s">
        <v>251</v>
      </c>
      <c r="XBR32" t="s">
        <v>1305</v>
      </c>
      <c r="XBS32" t="s">
        <v>251</v>
      </c>
      <c r="XBT32" t="s">
        <v>1305</v>
      </c>
      <c r="XBU32" t="s">
        <v>251</v>
      </c>
      <c r="XBV32" t="s">
        <v>1305</v>
      </c>
      <c r="XBW32" t="s">
        <v>251</v>
      </c>
      <c r="XBX32" t="s">
        <v>1305</v>
      </c>
      <c r="XBY32" t="s">
        <v>251</v>
      </c>
      <c r="XBZ32" t="s">
        <v>1305</v>
      </c>
      <c r="XCA32" t="s">
        <v>251</v>
      </c>
      <c r="XCB32" t="s">
        <v>1305</v>
      </c>
      <c r="XCC32" t="s">
        <v>251</v>
      </c>
      <c r="XCD32" t="s">
        <v>1305</v>
      </c>
      <c r="XCE32" t="s">
        <v>251</v>
      </c>
      <c r="XCF32" t="s">
        <v>1305</v>
      </c>
      <c r="XCG32" t="s">
        <v>251</v>
      </c>
      <c r="XCH32" t="s">
        <v>1305</v>
      </c>
      <c r="XCI32" t="s">
        <v>251</v>
      </c>
      <c r="XCJ32" t="s">
        <v>1305</v>
      </c>
      <c r="XCK32" t="s">
        <v>251</v>
      </c>
      <c r="XCL32" t="s">
        <v>1305</v>
      </c>
      <c r="XCM32" t="s">
        <v>251</v>
      </c>
      <c r="XCN32" t="s">
        <v>1305</v>
      </c>
      <c r="XCO32" t="s">
        <v>251</v>
      </c>
      <c r="XCP32" t="s">
        <v>1305</v>
      </c>
      <c r="XCQ32" t="s">
        <v>251</v>
      </c>
      <c r="XCR32" t="s">
        <v>1305</v>
      </c>
      <c r="XCS32" t="s">
        <v>251</v>
      </c>
      <c r="XCT32" t="s">
        <v>1305</v>
      </c>
      <c r="XCU32" t="s">
        <v>251</v>
      </c>
      <c r="XCV32" t="s">
        <v>1305</v>
      </c>
      <c r="XCW32" t="s">
        <v>251</v>
      </c>
      <c r="XCX32" t="s">
        <v>1305</v>
      </c>
      <c r="XCY32" t="s">
        <v>251</v>
      </c>
      <c r="XCZ32" t="s">
        <v>1305</v>
      </c>
      <c r="XDA32" t="s">
        <v>251</v>
      </c>
      <c r="XDB32" t="s">
        <v>1305</v>
      </c>
      <c r="XDC32" t="s">
        <v>251</v>
      </c>
      <c r="XDD32" t="s">
        <v>1305</v>
      </c>
      <c r="XDE32" t="s">
        <v>251</v>
      </c>
      <c r="XDF32" t="s">
        <v>1305</v>
      </c>
      <c r="XDG32" t="s">
        <v>251</v>
      </c>
      <c r="XDH32" t="s">
        <v>1305</v>
      </c>
      <c r="XDI32" t="s">
        <v>251</v>
      </c>
      <c r="XDJ32" t="s">
        <v>1305</v>
      </c>
      <c r="XDK32" t="s">
        <v>251</v>
      </c>
      <c r="XDL32" t="s">
        <v>1305</v>
      </c>
      <c r="XDM32" t="s">
        <v>251</v>
      </c>
      <c r="XDN32" t="s">
        <v>1305</v>
      </c>
      <c r="XDO32" t="s">
        <v>251</v>
      </c>
      <c r="XDP32" t="s">
        <v>1305</v>
      </c>
      <c r="XDQ32" t="s">
        <v>251</v>
      </c>
      <c r="XDR32" t="s">
        <v>1305</v>
      </c>
      <c r="XDS32" t="s">
        <v>251</v>
      </c>
      <c r="XDT32" t="s">
        <v>1305</v>
      </c>
      <c r="XDU32" t="s">
        <v>251</v>
      </c>
      <c r="XDV32" t="s">
        <v>1305</v>
      </c>
      <c r="XDW32" t="s">
        <v>251</v>
      </c>
      <c r="XDX32" t="s">
        <v>1305</v>
      </c>
      <c r="XDY32" t="s">
        <v>251</v>
      </c>
      <c r="XDZ32" t="s">
        <v>1305</v>
      </c>
      <c r="XEA32" t="s">
        <v>251</v>
      </c>
      <c r="XEB32" t="s">
        <v>1305</v>
      </c>
      <c r="XEC32" t="s">
        <v>251</v>
      </c>
      <c r="XED32" t="s">
        <v>1305</v>
      </c>
      <c r="XEE32" t="s">
        <v>251</v>
      </c>
      <c r="XEF32" t="s">
        <v>1305</v>
      </c>
      <c r="XEG32" t="s">
        <v>251</v>
      </c>
      <c r="XEH32" t="s">
        <v>1305</v>
      </c>
      <c r="XEI32" t="s">
        <v>251</v>
      </c>
      <c r="XEJ32" t="s">
        <v>1305</v>
      </c>
      <c r="XEK32" t="s">
        <v>251</v>
      </c>
      <c r="XEL32" t="s">
        <v>1305</v>
      </c>
      <c r="XEM32" t="s">
        <v>251</v>
      </c>
      <c r="XEN32" t="s">
        <v>1305</v>
      </c>
      <c r="XEO32" t="s">
        <v>251</v>
      </c>
      <c r="XEP32" t="s">
        <v>1305</v>
      </c>
      <c r="XEQ32" t="s">
        <v>251</v>
      </c>
      <c r="XER32" t="s">
        <v>1305</v>
      </c>
      <c r="XES32" t="s">
        <v>251</v>
      </c>
      <c r="XET32" t="s">
        <v>1305</v>
      </c>
      <c r="XEU32" t="s">
        <v>251</v>
      </c>
      <c r="XEV32" t="s">
        <v>1305</v>
      </c>
      <c r="XEW32" t="s">
        <v>251</v>
      </c>
      <c r="XEX32" t="s">
        <v>1305</v>
      </c>
      <c r="XEY32" t="s">
        <v>251</v>
      </c>
      <c r="XEZ32" t="s">
        <v>1305</v>
      </c>
      <c r="XFA32" t="s">
        <v>251</v>
      </c>
      <c r="XFB32" t="s">
        <v>1305</v>
      </c>
      <c r="XFC32" t="s">
        <v>251</v>
      </c>
      <c r="XFD32" t="s">
        <v>1305</v>
      </c>
    </row>
    <row r="33" spans="1:58">
      <c r="A33" t="s">
        <v>253</v>
      </c>
      <c r="B33" t="s">
        <v>863</v>
      </c>
      <c r="C33" s="360"/>
      <c r="D33" s="363">
        <v>0</v>
      </c>
      <c r="E33" t="s">
        <v>834</v>
      </c>
      <c r="F33" s="360"/>
      <c r="G33" s="363">
        <v>58500.81</v>
      </c>
      <c r="H33" t="s">
        <v>855</v>
      </c>
      <c r="I33" s="360"/>
      <c r="J33" s="363">
        <v>0</v>
      </c>
      <c r="K33" t="s">
        <v>834</v>
      </c>
      <c r="L33" s="360"/>
      <c r="M33" s="363">
        <v>9750.1350000000002</v>
      </c>
      <c r="N33" t="s">
        <v>855</v>
      </c>
      <c r="O33" s="360"/>
      <c r="P33" s="366" t="str">
        <f t="shared" si="16"/>
        <v>Met</v>
      </c>
      <c r="Q33" s="360"/>
      <c r="R33" s="399">
        <v>0</v>
      </c>
      <c r="S33" s="400" t="str">
        <f t="shared" si="17"/>
        <v>Met</v>
      </c>
      <c r="U33" s="399">
        <v>52981.96</v>
      </c>
      <c r="V33" s="400" t="str">
        <f t="shared" si="18"/>
        <v>Did not Meet</v>
      </c>
      <c r="X33" s="399">
        <v>0</v>
      </c>
      <c r="Y33" s="400" t="str">
        <f t="shared" si="19"/>
        <v>Met</v>
      </c>
      <c r="AA33" s="399">
        <v>10596.392</v>
      </c>
      <c r="AB33" s="400" t="str">
        <f t="shared" si="20"/>
        <v>Did not Meet</v>
      </c>
      <c r="AD33" s="366" t="str">
        <f t="shared" si="0"/>
        <v>Met</v>
      </c>
      <c r="AF33" s="399">
        <v>0</v>
      </c>
      <c r="AG33" s="400" t="str">
        <f t="shared" si="21"/>
        <v>Met</v>
      </c>
      <c r="AI33" s="399">
        <v>71552.3</v>
      </c>
      <c r="AJ33" s="400" t="str">
        <f t="shared" si="22"/>
        <v>Did not Meet</v>
      </c>
      <c r="AL33" s="399">
        <f>VLOOKUP(A33,$A$5:$AF$315,32,0)/IFERROR(VLOOKUP(A33,'21-22 child count'!$A$3:$S$317,19,0),0)</f>
        <v>0</v>
      </c>
      <c r="AM33" s="400" t="str">
        <f t="shared" si="23"/>
        <v>Met</v>
      </c>
      <c r="AO33" s="399">
        <f>VLOOKUP(A33,'42. SEA or LEA Worksheet'!$A$4:$AB$318,28,0)/IFERROR(VLOOKUP('42. SEA or LEA Worksheet'!A32,'21-22 child count'!$A$3:$S$317,3,0),0)</f>
        <v>627.65175438596498</v>
      </c>
      <c r="AP33" s="400" t="str">
        <f t="shared" si="24"/>
        <v>Did not Meet</v>
      </c>
      <c r="AR33" s="366" t="str">
        <f t="shared" si="10"/>
        <v>Met</v>
      </c>
      <c r="AU33" s="400" t="str">
        <f t="shared" si="11"/>
        <v>Met</v>
      </c>
      <c r="AX33" s="400" t="str">
        <f t="shared" si="12"/>
        <v>Did not Meet</v>
      </c>
      <c r="BA33" s="400" t="str">
        <f t="shared" si="13"/>
        <v>Met</v>
      </c>
      <c r="BD33" s="400" t="str">
        <f t="shared" si="14"/>
        <v>Did not Meet</v>
      </c>
      <c r="BF33" s="366" t="str">
        <f t="shared" si="15"/>
        <v>Met</v>
      </c>
    </row>
    <row r="34" spans="1:58">
      <c r="A34" t="s">
        <v>339</v>
      </c>
      <c r="B34" t="s">
        <v>907</v>
      </c>
      <c r="C34" s="360"/>
      <c r="D34" s="363">
        <v>0</v>
      </c>
      <c r="E34" t="s">
        <v>855</v>
      </c>
      <c r="F34" s="360"/>
      <c r="G34" s="363">
        <v>7996223.75</v>
      </c>
      <c r="H34" t="s">
        <v>834</v>
      </c>
      <c r="I34" s="360"/>
      <c r="J34" s="363">
        <v>0</v>
      </c>
      <c r="K34" t="s">
        <v>855</v>
      </c>
      <c r="L34" s="360"/>
      <c r="M34" s="363">
        <v>11916.875931445604</v>
      </c>
      <c r="N34" t="s">
        <v>834</v>
      </c>
      <c r="O34" s="360"/>
      <c r="P34" s="366" t="str">
        <f t="shared" si="16"/>
        <v>Met</v>
      </c>
      <c r="Q34" s="360"/>
      <c r="R34" s="399">
        <v>0</v>
      </c>
      <c r="S34" s="400" t="str">
        <f t="shared" si="17"/>
        <v>Did not Meet</v>
      </c>
      <c r="U34" s="399">
        <v>8281665.6399999997</v>
      </c>
      <c r="V34" s="400" t="str">
        <f t="shared" si="18"/>
        <v>Met</v>
      </c>
      <c r="X34" s="399">
        <v>0</v>
      </c>
      <c r="Y34" s="400" t="str">
        <f t="shared" si="19"/>
        <v>Did not Meet</v>
      </c>
      <c r="AA34" s="399">
        <v>12072.39889212828</v>
      </c>
      <c r="AB34" s="400" t="str">
        <f t="shared" si="20"/>
        <v>Met</v>
      </c>
      <c r="AD34" s="366" t="str">
        <f t="shared" si="0"/>
        <v>Met</v>
      </c>
      <c r="AF34" s="399">
        <v>710270.96</v>
      </c>
      <c r="AG34" s="400" t="str">
        <f t="shared" si="21"/>
        <v>Did not Meet</v>
      </c>
      <c r="AI34" s="399">
        <v>10274236.379999999</v>
      </c>
      <c r="AJ34" s="400" t="str">
        <f t="shared" si="22"/>
        <v>Met</v>
      </c>
      <c r="AL34" s="461">
        <f>VLOOKUP(A34,$A$5:$AF$315,32,0)/IFERROR(VLOOKUP(A34,'21-22 child count'!$A$3:$S$317,19,0),0)</f>
        <v>1082.7301219512194</v>
      </c>
      <c r="AM34" s="379" t="str">
        <f>IF(AND(Y34="Met",AL34&gt;=X34),"Met","Did not Meet")</f>
        <v>Did not Meet</v>
      </c>
      <c r="AO34" s="399">
        <f>VLOOKUP(A34,'42. SEA or LEA Worksheet'!$A$4:$AB$318,28,0)/IFERROR(VLOOKUP('42. SEA or LEA Worksheet'!A75,'21-22 child count'!$A$3:$S$317,3,0),0)</f>
        <v>78326.900661157022</v>
      </c>
      <c r="AP34" s="400" t="str">
        <f t="shared" si="24"/>
        <v>Met</v>
      </c>
      <c r="AR34" s="366" t="str">
        <f t="shared" si="10"/>
        <v>Met</v>
      </c>
      <c r="AU34" s="400" t="str">
        <f t="shared" si="11"/>
        <v>Did not Meet</v>
      </c>
      <c r="AX34" s="400" t="str">
        <f t="shared" si="12"/>
        <v>Did not Meet</v>
      </c>
      <c r="BA34" s="400" t="str">
        <f t="shared" si="13"/>
        <v>Did not Meet</v>
      </c>
      <c r="BD34" s="400" t="str">
        <f t="shared" si="14"/>
        <v>Did not Meet</v>
      </c>
      <c r="BF34" s="366" t="str">
        <f t="shared" si="15"/>
        <v>Met</v>
      </c>
    </row>
    <row r="35" spans="1:58">
      <c r="A35" t="s">
        <v>353</v>
      </c>
      <c r="B35" t="s">
        <v>913</v>
      </c>
      <c r="C35" s="360"/>
      <c r="D35" s="363">
        <v>217.75</v>
      </c>
      <c r="E35" t="s">
        <v>855</v>
      </c>
      <c r="F35" s="360"/>
      <c r="G35" s="363">
        <v>10252921.68</v>
      </c>
      <c r="H35" t="s">
        <v>834</v>
      </c>
      <c r="I35" s="360"/>
      <c r="J35" s="363">
        <v>0.29465493910690121</v>
      </c>
      <c r="K35" t="s">
        <v>855</v>
      </c>
      <c r="L35" s="360"/>
      <c r="M35" s="363">
        <v>13874.048281461433</v>
      </c>
      <c r="N35" t="s">
        <v>834</v>
      </c>
      <c r="O35" s="360"/>
      <c r="P35" s="366" t="str">
        <f t="shared" si="16"/>
        <v>Met</v>
      </c>
      <c r="Q35" s="360"/>
      <c r="R35" s="399">
        <v>0</v>
      </c>
      <c r="S35" s="400" t="str">
        <f t="shared" si="17"/>
        <v>Did not Meet</v>
      </c>
      <c r="U35" s="399">
        <v>9156287.4700000007</v>
      </c>
      <c r="V35" s="400" t="str">
        <f t="shared" si="18"/>
        <v>Met</v>
      </c>
      <c r="X35" s="399">
        <v>0</v>
      </c>
      <c r="Y35" s="400" t="str">
        <f t="shared" si="19"/>
        <v>Did not Meet</v>
      </c>
      <c r="AA35" s="399">
        <v>13289.24161103048</v>
      </c>
      <c r="AB35" s="400" t="str">
        <f t="shared" si="20"/>
        <v>Did not Meet</v>
      </c>
      <c r="AD35" s="366" t="str">
        <f t="shared" si="0"/>
        <v>Met</v>
      </c>
      <c r="AF35" s="399">
        <v>0</v>
      </c>
      <c r="AG35" s="400" t="str">
        <f t="shared" si="21"/>
        <v>Did not Meet</v>
      </c>
      <c r="AI35" s="399">
        <v>9740360.8699999992</v>
      </c>
      <c r="AJ35" s="400" t="str">
        <f t="shared" si="22"/>
        <v>Met</v>
      </c>
      <c r="AL35" s="399">
        <f>VLOOKUP(A35,$A$5:$AF$315,32,0)/IFERROR(VLOOKUP(A35,'21-22 child count'!$A$3:$S$317,19,0),0)</f>
        <v>0</v>
      </c>
      <c r="AM35" s="400" t="str">
        <f t="shared" si="23"/>
        <v>Did not Meet</v>
      </c>
      <c r="AO35" s="399">
        <f>VLOOKUP(A35,'42. SEA or LEA Worksheet'!$A$4:$AB$318,28,0)/IFERROR(VLOOKUP('42. SEA or LEA Worksheet'!A83,'21-22 child count'!$A$3:$S$317,3,0),0)</f>
        <v>51536.300899470894</v>
      </c>
      <c r="AP35" s="400" t="str">
        <f t="shared" si="24"/>
        <v>Did not Meet</v>
      </c>
      <c r="AR35" s="366" t="str">
        <f t="shared" si="10"/>
        <v>Met</v>
      </c>
      <c r="AU35" s="400" t="str">
        <f t="shared" si="11"/>
        <v>Did not Meet</v>
      </c>
      <c r="AX35" s="400" t="str">
        <f t="shared" si="12"/>
        <v>Did not Meet</v>
      </c>
      <c r="BA35" s="400" t="str">
        <f t="shared" si="13"/>
        <v>Did not Meet</v>
      </c>
      <c r="BD35" s="400" t="str">
        <f t="shared" si="14"/>
        <v>Did not Meet</v>
      </c>
      <c r="BF35" s="366" t="str">
        <f t="shared" si="15"/>
        <v>Met</v>
      </c>
    </row>
    <row r="36" spans="1:58">
      <c r="A36" t="s">
        <v>355</v>
      </c>
      <c r="B36" t="s">
        <v>914</v>
      </c>
      <c r="C36" s="360"/>
      <c r="D36" s="363">
        <v>982034.2</v>
      </c>
      <c r="E36" t="s">
        <v>834</v>
      </c>
      <c r="F36" s="360"/>
      <c r="G36" s="363">
        <v>6556893.0600000005</v>
      </c>
      <c r="H36" t="s">
        <v>834</v>
      </c>
      <c r="I36" s="360"/>
      <c r="J36" s="363">
        <v>2111.9015053763442</v>
      </c>
      <c r="K36" t="s">
        <v>834</v>
      </c>
      <c r="L36" s="360"/>
      <c r="M36" s="363">
        <v>14100.845290322583</v>
      </c>
      <c r="N36" t="s">
        <v>834</v>
      </c>
      <c r="O36" s="360"/>
      <c r="P36" s="366" t="str">
        <f t="shared" si="16"/>
        <v>Met</v>
      </c>
      <c r="Q36" s="360"/>
      <c r="R36" s="399">
        <v>0</v>
      </c>
      <c r="S36" s="400" t="str">
        <f t="shared" si="17"/>
        <v>Did not Meet</v>
      </c>
      <c r="U36" s="399">
        <v>6836381.79</v>
      </c>
      <c r="V36" s="400" t="str">
        <f t="shared" si="18"/>
        <v>Met</v>
      </c>
      <c r="X36" s="399">
        <v>0</v>
      </c>
      <c r="Y36" s="400" t="str">
        <f t="shared" si="19"/>
        <v>Did not Meet</v>
      </c>
      <c r="AA36" s="399">
        <v>15328.210291479822</v>
      </c>
      <c r="AB36" s="400" t="str">
        <f t="shared" si="20"/>
        <v>Met</v>
      </c>
      <c r="AD36" s="366" t="str">
        <f t="shared" si="0"/>
        <v>Met</v>
      </c>
      <c r="AF36" s="399">
        <v>0</v>
      </c>
      <c r="AG36" s="400" t="str">
        <f t="shared" si="21"/>
        <v>Did not Meet</v>
      </c>
      <c r="AI36" s="399">
        <v>7562549.3200000003</v>
      </c>
      <c r="AJ36" s="400" t="str">
        <f t="shared" si="22"/>
        <v>Met</v>
      </c>
      <c r="AL36" s="399">
        <f>VLOOKUP(A36,$A$5:$AF$315,32,0)/IFERROR(VLOOKUP(A36,'21-22 child count'!$A$3:$S$317,19,0),0)</f>
        <v>0</v>
      </c>
      <c r="AM36" s="400" t="str">
        <f t="shared" si="23"/>
        <v>Did not Meet</v>
      </c>
      <c r="AO36" s="399">
        <f>VLOOKUP(A36,'42. SEA or LEA Worksheet'!$A$4:$AB$318,28,0)/IFERROR(VLOOKUP('42. SEA or LEA Worksheet'!A84,'21-22 child count'!$A$3:$S$317,3,0),0)</f>
        <v>62049.066694214882</v>
      </c>
      <c r="AP36" s="400" t="str">
        <f t="shared" si="24"/>
        <v>Met</v>
      </c>
      <c r="AR36" s="366" t="str">
        <f t="shared" si="10"/>
        <v>Met</v>
      </c>
      <c r="AU36" s="400" t="str">
        <f t="shared" si="11"/>
        <v>Did not Meet</v>
      </c>
      <c r="AX36" s="400" t="str">
        <f t="shared" si="12"/>
        <v>Did not Meet</v>
      </c>
      <c r="BA36" s="400" t="str">
        <f t="shared" si="13"/>
        <v>Did not Meet</v>
      </c>
      <c r="BD36" s="400" t="str">
        <f t="shared" si="14"/>
        <v>Did not Meet</v>
      </c>
      <c r="BF36" s="366" t="str">
        <f t="shared" si="15"/>
        <v>Met</v>
      </c>
    </row>
    <row r="37" spans="1:58">
      <c r="A37" t="s">
        <v>359</v>
      </c>
      <c r="B37" t="s">
        <v>916</v>
      </c>
      <c r="C37" s="360"/>
      <c r="D37" s="363">
        <v>0</v>
      </c>
      <c r="E37" t="s">
        <v>855</v>
      </c>
      <c r="F37" s="360"/>
      <c r="G37" s="363">
        <v>17834420.52</v>
      </c>
      <c r="H37" t="s">
        <v>834</v>
      </c>
      <c r="I37" s="360"/>
      <c r="J37" s="363">
        <v>0</v>
      </c>
      <c r="K37" t="s">
        <v>855</v>
      </c>
      <c r="L37" s="360"/>
      <c r="M37" s="363">
        <v>15401.053989637305</v>
      </c>
      <c r="N37" t="s">
        <v>834</v>
      </c>
      <c r="O37" s="360"/>
      <c r="P37" s="366" t="str">
        <f t="shared" si="16"/>
        <v>Met</v>
      </c>
      <c r="Q37" s="360"/>
      <c r="R37" s="399">
        <v>0</v>
      </c>
      <c r="S37" s="400" t="str">
        <f t="shared" si="17"/>
        <v>Did not Meet</v>
      </c>
      <c r="U37" s="399">
        <v>17486215.199999999</v>
      </c>
      <c r="V37" s="400" t="str">
        <f t="shared" si="18"/>
        <v>Met</v>
      </c>
      <c r="X37" s="399">
        <v>0</v>
      </c>
      <c r="Y37" s="400" t="str">
        <f t="shared" si="19"/>
        <v>Did not Meet</v>
      </c>
      <c r="AA37" s="399">
        <v>17451.312574850297</v>
      </c>
      <c r="AB37" s="400" t="str">
        <f t="shared" si="20"/>
        <v>Met</v>
      </c>
      <c r="AD37" s="366" t="str">
        <f t="shared" si="0"/>
        <v>Met</v>
      </c>
      <c r="AF37" s="399">
        <v>0</v>
      </c>
      <c r="AG37" s="400" t="str">
        <f t="shared" si="21"/>
        <v>Did not Meet</v>
      </c>
      <c r="AI37" s="399">
        <v>18037473.899999999</v>
      </c>
      <c r="AJ37" s="400" t="str">
        <f t="shared" si="22"/>
        <v>Met</v>
      </c>
      <c r="AL37" s="399">
        <f>VLOOKUP(A37,$A$5:$AF$315,32,0)/IFERROR(VLOOKUP(A37,'21-22 child count'!$A$3:$S$317,19,0),0)</f>
        <v>0</v>
      </c>
      <c r="AM37" s="400" t="str">
        <f t="shared" si="23"/>
        <v>Did not Meet</v>
      </c>
      <c r="AO37" s="399">
        <f>VLOOKUP(A37,'42. SEA or LEA Worksheet'!$A$4:$AB$318,28,0)/IFERROR(VLOOKUP('42. SEA or LEA Worksheet'!A86,'21-22 child count'!$A$3:$S$317,3,0),0)</f>
        <v>148229.3776859504</v>
      </c>
      <c r="AP37" s="400" t="str">
        <f t="shared" si="24"/>
        <v>Met</v>
      </c>
      <c r="AR37" s="366" t="str">
        <f t="shared" si="10"/>
        <v>Met</v>
      </c>
      <c r="AU37" s="400" t="str">
        <f t="shared" si="11"/>
        <v>Did not Meet</v>
      </c>
      <c r="AX37" s="400" t="str">
        <f t="shared" si="12"/>
        <v>Did not Meet</v>
      </c>
      <c r="BA37" s="400" t="str">
        <f t="shared" si="13"/>
        <v>Did not Meet</v>
      </c>
      <c r="BD37" s="400" t="str">
        <f t="shared" si="14"/>
        <v>Did not Meet</v>
      </c>
      <c r="BF37" s="366" t="str">
        <f t="shared" si="15"/>
        <v>Met</v>
      </c>
    </row>
    <row r="38" spans="1:58">
      <c r="A38" t="s">
        <v>361</v>
      </c>
      <c r="B38" t="s">
        <v>917</v>
      </c>
      <c r="C38" s="360"/>
      <c r="D38" s="363">
        <v>0</v>
      </c>
      <c r="E38" t="s">
        <v>855</v>
      </c>
      <c r="F38" s="360"/>
      <c r="G38" s="363">
        <v>1030632.24</v>
      </c>
      <c r="H38" t="s">
        <v>834</v>
      </c>
      <c r="I38" s="360"/>
      <c r="J38" s="363">
        <v>0</v>
      </c>
      <c r="K38" t="s">
        <v>855</v>
      </c>
      <c r="L38" s="360"/>
      <c r="M38" s="363">
        <v>9120.6392920353974</v>
      </c>
      <c r="N38" t="s">
        <v>855</v>
      </c>
      <c r="O38" s="360"/>
      <c r="P38" s="366" t="str">
        <f t="shared" si="16"/>
        <v>Met</v>
      </c>
      <c r="Q38" s="360"/>
      <c r="R38" s="399">
        <v>0</v>
      </c>
      <c r="S38" s="400" t="str">
        <f t="shared" si="17"/>
        <v>Did not Meet</v>
      </c>
      <c r="U38" s="399">
        <v>966394.72</v>
      </c>
      <c r="V38" s="400" t="str">
        <f t="shared" si="18"/>
        <v>Met</v>
      </c>
      <c r="X38" s="399">
        <v>0</v>
      </c>
      <c r="Y38" s="400" t="str">
        <f t="shared" si="19"/>
        <v>Did not Meet</v>
      </c>
      <c r="AA38" s="399">
        <v>8552.1656637168144</v>
      </c>
      <c r="AB38" s="400" t="str">
        <f t="shared" si="20"/>
        <v>Did not Meet</v>
      </c>
      <c r="AD38" s="366" t="str">
        <f t="shared" si="0"/>
        <v>Met</v>
      </c>
      <c r="AF38" s="399">
        <v>0</v>
      </c>
      <c r="AG38" s="400" t="str">
        <f t="shared" si="21"/>
        <v>Did not Meet</v>
      </c>
      <c r="AI38" s="399">
        <v>1166295.9099999999</v>
      </c>
      <c r="AJ38" s="400" t="str">
        <f t="shared" si="22"/>
        <v>Met</v>
      </c>
      <c r="AL38" s="399">
        <f>VLOOKUP(A38,$A$5:$AF$315,32,0)/IFERROR(VLOOKUP(A38,'21-22 child count'!$A$3:$S$317,19,0),0)</f>
        <v>0</v>
      </c>
      <c r="AM38" s="400" t="str">
        <f t="shared" si="23"/>
        <v>Did not Meet</v>
      </c>
      <c r="AO38" s="399">
        <f>VLOOKUP(A38,'42. SEA or LEA Worksheet'!$A$4:$AB$318,28,0)/IFERROR(VLOOKUP('42. SEA or LEA Worksheet'!A87,'21-22 child count'!$A$3:$S$317,3,0),0)</f>
        <v>10413.356339285714</v>
      </c>
      <c r="AP38" s="400" t="str">
        <f t="shared" si="24"/>
        <v>Did not Meet</v>
      </c>
      <c r="AR38" s="366" t="str">
        <f t="shared" si="10"/>
        <v>Met</v>
      </c>
      <c r="AU38" s="400" t="str">
        <f t="shared" si="11"/>
        <v>Did not Meet</v>
      </c>
      <c r="AX38" s="400" t="str">
        <f t="shared" si="12"/>
        <v>Did not Meet</v>
      </c>
      <c r="BA38" s="400" t="str">
        <f t="shared" si="13"/>
        <v>Did not Meet</v>
      </c>
      <c r="BD38" s="400" t="str">
        <f t="shared" si="14"/>
        <v>Did not Meet</v>
      </c>
      <c r="BF38" s="366" t="str">
        <f t="shared" si="15"/>
        <v>Met</v>
      </c>
    </row>
    <row r="39" spans="1:58">
      <c r="A39" t="s">
        <v>365</v>
      </c>
      <c r="B39" t="s">
        <v>919</v>
      </c>
      <c r="C39" s="360"/>
      <c r="D39" s="363">
        <v>0</v>
      </c>
      <c r="E39" t="s">
        <v>855</v>
      </c>
      <c r="F39" s="360"/>
      <c r="G39" s="363">
        <v>117990.8</v>
      </c>
      <c r="H39" t="s">
        <v>834</v>
      </c>
      <c r="I39" s="360"/>
      <c r="J39" s="363">
        <v>0</v>
      </c>
      <c r="K39" t="s">
        <v>855</v>
      </c>
      <c r="L39" s="360"/>
      <c r="M39" s="363">
        <v>9832.5666666666675</v>
      </c>
      <c r="N39" t="s">
        <v>855</v>
      </c>
      <c r="O39" s="360"/>
      <c r="P39" s="366" t="str">
        <f t="shared" si="16"/>
        <v>Met</v>
      </c>
      <c r="Q39" s="360"/>
      <c r="R39" s="399">
        <v>0</v>
      </c>
      <c r="S39" s="400" t="str">
        <f t="shared" si="17"/>
        <v>Did not Meet</v>
      </c>
      <c r="U39" s="399">
        <v>122245.78</v>
      </c>
      <c r="V39" s="400" t="str">
        <f t="shared" si="18"/>
        <v>Met</v>
      </c>
      <c r="X39" s="399">
        <v>0</v>
      </c>
      <c r="Y39" s="400" t="str">
        <f t="shared" si="19"/>
        <v>Did not Meet</v>
      </c>
      <c r="AA39" s="399">
        <v>11113.252727272727</v>
      </c>
      <c r="AB39" s="400" t="str">
        <f t="shared" si="20"/>
        <v>Did not Meet</v>
      </c>
      <c r="AD39" s="366" t="str">
        <f t="shared" si="0"/>
        <v>Met</v>
      </c>
      <c r="AF39" s="399">
        <v>0</v>
      </c>
      <c r="AG39" s="400" t="str">
        <f t="shared" si="21"/>
        <v>Did not Meet</v>
      </c>
      <c r="AI39" s="399">
        <v>100066.66</v>
      </c>
      <c r="AJ39" s="400" t="str">
        <f t="shared" si="22"/>
        <v>Did not Meet</v>
      </c>
      <c r="AL39" s="399">
        <f>VLOOKUP(A39,$A$5:$AF$315,32,0)/IFERROR(VLOOKUP(A39,'21-22 child count'!$A$3:$S$317,19,0),0)</f>
        <v>0</v>
      </c>
      <c r="AM39" s="400" t="str">
        <f t="shared" si="23"/>
        <v>Did not Meet</v>
      </c>
      <c r="AO39" s="399">
        <f>VLOOKUP(A39,'42. SEA or LEA Worksheet'!$A$4:$AB$318,28,0)/IFERROR(VLOOKUP('42. SEA or LEA Worksheet'!A89,'21-22 child count'!$A$3:$S$317,3,0),0)</f>
        <v>990.75900990099012</v>
      </c>
      <c r="AP39" s="400" t="str">
        <f t="shared" si="24"/>
        <v>Did not Meet</v>
      </c>
      <c r="AR39" s="366" t="str">
        <f t="shared" si="10"/>
        <v>Met</v>
      </c>
      <c r="AU39" s="400" t="str">
        <f t="shared" si="11"/>
        <v>Did not Meet</v>
      </c>
      <c r="AX39" s="400" t="str">
        <f t="shared" si="12"/>
        <v>Did not Meet</v>
      </c>
      <c r="BA39" s="400" t="str">
        <f t="shared" si="13"/>
        <v>Did not Meet</v>
      </c>
      <c r="BD39" s="400" t="str">
        <f t="shared" si="14"/>
        <v>Did not Meet</v>
      </c>
      <c r="BF39" s="366" t="str">
        <f t="shared" si="15"/>
        <v>Met</v>
      </c>
    </row>
    <row r="40" spans="1:58">
      <c r="A40" t="s">
        <v>375</v>
      </c>
      <c r="B40" t="s">
        <v>924</v>
      </c>
      <c r="C40" s="360"/>
      <c r="D40" s="363">
        <v>0</v>
      </c>
      <c r="E40" t="s">
        <v>855</v>
      </c>
      <c r="F40" s="360"/>
      <c r="G40" s="363">
        <v>5434670.6299999999</v>
      </c>
      <c r="H40" t="s">
        <v>834</v>
      </c>
      <c r="I40" s="360"/>
      <c r="J40" s="363">
        <v>0</v>
      </c>
      <c r="K40" t="s">
        <v>855</v>
      </c>
      <c r="L40" s="360"/>
      <c r="M40" s="363">
        <v>14688.298999999999</v>
      </c>
      <c r="N40" t="s">
        <v>834</v>
      </c>
      <c r="O40" s="360"/>
      <c r="P40" s="366" t="str">
        <f t="shared" si="16"/>
        <v>Met</v>
      </c>
      <c r="Q40" s="360"/>
      <c r="R40" s="399">
        <v>0</v>
      </c>
      <c r="S40" s="400" t="str">
        <f t="shared" si="17"/>
        <v>Did not Meet</v>
      </c>
      <c r="U40" s="399">
        <v>5880700.21</v>
      </c>
      <c r="V40" s="400" t="str">
        <f t="shared" si="18"/>
        <v>Met</v>
      </c>
      <c r="X40" s="399">
        <v>0</v>
      </c>
      <c r="Y40" s="400" t="str">
        <f t="shared" si="19"/>
        <v>Did not Meet</v>
      </c>
      <c r="AA40" s="399">
        <v>14701.750524999999</v>
      </c>
      <c r="AB40" s="400" t="str">
        <f t="shared" si="20"/>
        <v>Met</v>
      </c>
      <c r="AD40" s="366" t="str">
        <f t="shared" si="0"/>
        <v>Met</v>
      </c>
      <c r="AF40" s="399">
        <v>0</v>
      </c>
      <c r="AG40" s="400" t="str">
        <f t="shared" si="21"/>
        <v>Did not Meet</v>
      </c>
      <c r="AI40" s="399">
        <v>6324214.1600000001</v>
      </c>
      <c r="AJ40" s="400" t="str">
        <f t="shared" si="22"/>
        <v>Met</v>
      </c>
      <c r="AL40" s="399">
        <f>VLOOKUP(A40,$A$5:$AF$315,32,0)/IFERROR(VLOOKUP(A40,'21-22 child count'!$A$3:$S$317,19,0),0)</f>
        <v>0</v>
      </c>
      <c r="AM40" s="400" t="str">
        <f t="shared" si="23"/>
        <v>Did not Meet</v>
      </c>
      <c r="AO40" s="399">
        <f>VLOOKUP(A40,'42. SEA or LEA Worksheet'!$A$4:$AB$318,28,0)/IFERROR(VLOOKUP('42. SEA or LEA Worksheet'!A94,'21-22 child count'!$A$3:$S$317,3,0),0)</f>
        <v>33461.450582010584</v>
      </c>
      <c r="AP40" s="400" t="str">
        <f t="shared" si="24"/>
        <v>Met</v>
      </c>
      <c r="AR40" s="366" t="str">
        <f t="shared" si="10"/>
        <v>Met</v>
      </c>
      <c r="AU40" s="400" t="str">
        <f t="shared" si="11"/>
        <v>Did not Meet</v>
      </c>
      <c r="AX40" s="400" t="str">
        <f t="shared" si="12"/>
        <v>Did not Meet</v>
      </c>
      <c r="BA40" s="400" t="str">
        <f t="shared" si="13"/>
        <v>Did not Meet</v>
      </c>
      <c r="BD40" s="400" t="str">
        <f t="shared" si="14"/>
        <v>Did not Meet</v>
      </c>
      <c r="BF40" s="366" t="str">
        <f t="shared" si="15"/>
        <v>Met</v>
      </c>
    </row>
    <row r="41" spans="1:58">
      <c r="A41" t="s">
        <v>379</v>
      </c>
      <c r="B41" t="s">
        <v>925</v>
      </c>
      <c r="C41" s="360"/>
      <c r="D41" s="363">
        <v>0</v>
      </c>
      <c r="E41" t="s">
        <v>855</v>
      </c>
      <c r="F41" s="360"/>
      <c r="G41" s="363">
        <v>61792.62</v>
      </c>
      <c r="H41" t="s">
        <v>855</v>
      </c>
      <c r="I41" s="360"/>
      <c r="J41" s="363">
        <v>0</v>
      </c>
      <c r="K41" t="s">
        <v>855</v>
      </c>
      <c r="L41" s="360"/>
      <c r="M41" s="363">
        <v>12358.524000000001</v>
      </c>
      <c r="N41" t="s">
        <v>834</v>
      </c>
      <c r="O41" s="360"/>
      <c r="P41" s="366" t="str">
        <f t="shared" si="16"/>
        <v>Met</v>
      </c>
      <c r="Q41" s="360"/>
      <c r="R41" s="399">
        <v>0</v>
      </c>
      <c r="S41" s="400" t="str">
        <f t="shared" si="17"/>
        <v>Did not Meet</v>
      </c>
      <c r="U41" s="399">
        <v>65931.03</v>
      </c>
      <c r="V41" s="400" t="str">
        <f t="shared" si="18"/>
        <v>Did not Meet</v>
      </c>
      <c r="X41" s="399">
        <v>0</v>
      </c>
      <c r="Y41" s="400" t="str">
        <f t="shared" si="19"/>
        <v>Did not Meet</v>
      </c>
      <c r="AA41" s="399">
        <v>9418.7185714285715</v>
      </c>
      <c r="AB41" s="400" t="str">
        <f t="shared" si="20"/>
        <v>Did not Meet</v>
      </c>
      <c r="AD41" s="366" t="str">
        <f t="shared" si="0"/>
        <v>Met</v>
      </c>
      <c r="AF41" s="399">
        <v>0</v>
      </c>
      <c r="AG41" s="400" t="str">
        <f t="shared" si="21"/>
        <v>Did not Meet</v>
      </c>
      <c r="AI41" s="399">
        <v>51044.639999999999</v>
      </c>
      <c r="AJ41" s="400" t="str">
        <f t="shared" si="22"/>
        <v>Did not Meet</v>
      </c>
      <c r="AL41" s="399">
        <f>VLOOKUP(A41,$A$5:$AF$315,32,0)/IFERROR(VLOOKUP(A41,'21-22 child count'!$A$3:$S$317,19,0),0)</f>
        <v>0</v>
      </c>
      <c r="AM41" s="400" t="str">
        <f t="shared" si="23"/>
        <v>Did not Meet</v>
      </c>
      <c r="AO41" s="399">
        <f>VLOOKUP(A41,'42. SEA or LEA Worksheet'!$A$4:$AB$318,28,0)/IFERROR(VLOOKUP('42. SEA or LEA Worksheet'!A96,'21-22 child count'!$A$3:$S$317,3,0),0)</f>
        <v>455.7557142857143</v>
      </c>
      <c r="AP41" s="400" t="str">
        <f t="shared" si="24"/>
        <v>Did not Meet</v>
      </c>
      <c r="AR41" s="366" t="str">
        <f t="shared" si="10"/>
        <v>Met</v>
      </c>
      <c r="AU41" s="400" t="str">
        <f t="shared" si="11"/>
        <v>Did not Meet</v>
      </c>
      <c r="AX41" s="400" t="str">
        <f t="shared" si="12"/>
        <v>Did not Meet</v>
      </c>
      <c r="BA41" s="400" t="str">
        <f t="shared" si="13"/>
        <v>Did not Meet</v>
      </c>
      <c r="BD41" s="400" t="str">
        <f t="shared" si="14"/>
        <v>Did not Meet</v>
      </c>
      <c r="BF41" s="366" t="str">
        <f t="shared" si="15"/>
        <v>Met</v>
      </c>
    </row>
    <row r="42" spans="1:58">
      <c r="A42" t="s">
        <v>385</v>
      </c>
      <c r="B42" t="s">
        <v>927</v>
      </c>
      <c r="C42" s="360"/>
      <c r="D42" s="363">
        <v>0</v>
      </c>
      <c r="E42" t="s">
        <v>855</v>
      </c>
      <c r="F42" s="360"/>
      <c r="G42" s="363">
        <v>1075365.2</v>
      </c>
      <c r="H42" t="s">
        <v>834</v>
      </c>
      <c r="I42" s="360"/>
      <c r="J42" s="363">
        <v>0</v>
      </c>
      <c r="K42" t="s">
        <v>855</v>
      </c>
      <c r="L42" s="360"/>
      <c r="M42" s="363">
        <v>11440.055319148936</v>
      </c>
      <c r="N42" t="s">
        <v>855</v>
      </c>
      <c r="O42" s="360"/>
      <c r="P42" s="366" t="str">
        <f t="shared" si="16"/>
        <v>Met</v>
      </c>
      <c r="Q42" s="360"/>
      <c r="R42" s="399">
        <v>0</v>
      </c>
      <c r="S42" s="400" t="str">
        <f t="shared" si="17"/>
        <v>Did not Meet</v>
      </c>
      <c r="U42" s="399">
        <v>1003449.28</v>
      </c>
      <c r="V42" s="400" t="str">
        <f t="shared" si="18"/>
        <v>Met</v>
      </c>
      <c r="X42" s="399">
        <v>0</v>
      </c>
      <c r="Y42" s="400" t="str">
        <f t="shared" si="19"/>
        <v>Did not Meet</v>
      </c>
      <c r="AA42" s="399">
        <v>10344.83793814433</v>
      </c>
      <c r="AB42" s="400" t="str">
        <f t="shared" si="20"/>
        <v>Did not Meet</v>
      </c>
      <c r="AD42" s="366" t="str">
        <f t="shared" si="0"/>
        <v>Met</v>
      </c>
      <c r="AF42" s="399">
        <v>0</v>
      </c>
      <c r="AG42" s="400" t="str">
        <f t="shared" si="21"/>
        <v>Did not Meet</v>
      </c>
      <c r="AI42" s="399">
        <v>1084960.32</v>
      </c>
      <c r="AJ42" s="400" t="str">
        <f t="shared" si="22"/>
        <v>Met</v>
      </c>
      <c r="AL42" s="399">
        <f>VLOOKUP(A42,$A$5:$AF$315,32,0)/IFERROR(VLOOKUP(A42,'21-22 child count'!$A$3:$S$317,19,0),0)</f>
        <v>0</v>
      </c>
      <c r="AM42" s="400" t="str">
        <f t="shared" si="23"/>
        <v>Did not Meet</v>
      </c>
      <c r="AO42" s="399">
        <f>VLOOKUP(A42,'42. SEA or LEA Worksheet'!$A$4:$AB$318,28,0)/IFERROR(VLOOKUP('42. SEA or LEA Worksheet'!A98,'21-22 child count'!$A$3:$S$317,3,0),0)</f>
        <v>9480.9426548672564</v>
      </c>
      <c r="AP42" s="400" t="str">
        <f t="shared" si="24"/>
        <v>Did not Meet</v>
      </c>
      <c r="AR42" s="366" t="str">
        <f t="shared" si="10"/>
        <v>Met</v>
      </c>
      <c r="AU42" s="400" t="str">
        <f t="shared" si="11"/>
        <v>Did not Meet</v>
      </c>
      <c r="AX42" s="400" t="str">
        <f t="shared" si="12"/>
        <v>Did not Meet</v>
      </c>
      <c r="BA42" s="400" t="str">
        <f t="shared" si="13"/>
        <v>Did not Meet</v>
      </c>
      <c r="BD42" s="400" t="str">
        <f t="shared" si="14"/>
        <v>Did not Meet</v>
      </c>
      <c r="BF42" s="366" t="str">
        <f t="shared" si="15"/>
        <v>Met</v>
      </c>
    </row>
    <row r="43" spans="1:58">
      <c r="A43" t="s">
        <v>397</v>
      </c>
      <c r="B43" t="s">
        <v>933</v>
      </c>
      <c r="C43" s="360"/>
      <c r="D43" s="363">
        <v>0</v>
      </c>
      <c r="E43" t="s">
        <v>855</v>
      </c>
      <c r="F43" s="360"/>
      <c r="G43" s="363">
        <v>2625485.61</v>
      </c>
      <c r="H43" t="s">
        <v>834</v>
      </c>
      <c r="I43" s="360"/>
      <c r="J43" s="363">
        <v>0</v>
      </c>
      <c r="K43" t="s">
        <v>855</v>
      </c>
      <c r="L43" s="360"/>
      <c r="M43" s="363">
        <v>9982.835019011407</v>
      </c>
      <c r="N43" t="s">
        <v>834</v>
      </c>
      <c r="O43" s="360"/>
      <c r="P43" s="366" t="str">
        <f t="shared" si="16"/>
        <v>Met</v>
      </c>
      <c r="Q43" s="360"/>
      <c r="R43" s="399">
        <v>0</v>
      </c>
      <c r="S43" s="400" t="str">
        <f t="shared" si="17"/>
        <v>Did not Meet</v>
      </c>
      <c r="U43" s="399">
        <v>2427327.34</v>
      </c>
      <c r="V43" s="400" t="str">
        <f t="shared" si="18"/>
        <v>Met</v>
      </c>
      <c r="X43" s="399">
        <v>0</v>
      </c>
      <c r="Y43" s="400" t="str">
        <f t="shared" si="19"/>
        <v>Did not Meet</v>
      </c>
      <c r="AA43" s="399">
        <v>8858.8589051094878</v>
      </c>
      <c r="AB43" s="400" t="str">
        <f t="shared" si="20"/>
        <v>Did not Meet</v>
      </c>
      <c r="AD43" s="366" t="str">
        <f t="shared" si="0"/>
        <v>Met</v>
      </c>
      <c r="AF43" s="399">
        <v>0</v>
      </c>
      <c r="AG43" s="400" t="str">
        <f t="shared" si="21"/>
        <v>Did not Meet</v>
      </c>
      <c r="AI43" s="399">
        <v>2621035.7200000002</v>
      </c>
      <c r="AJ43" s="400" t="str">
        <f t="shared" si="22"/>
        <v>Met</v>
      </c>
      <c r="AL43" s="399">
        <f>VLOOKUP(A43,$A$5:$AF$315,32,0)/IFERROR(VLOOKUP(A43,'21-22 child count'!$A$3:$S$317,19,0),0)</f>
        <v>0</v>
      </c>
      <c r="AM43" s="400" t="str">
        <f t="shared" si="23"/>
        <v>Did not Meet</v>
      </c>
      <c r="AO43" s="399">
        <f>VLOOKUP(A43,'42. SEA or LEA Worksheet'!$A$4:$AB$318,28,0)/IFERROR(VLOOKUP('42. SEA or LEA Worksheet'!A104,'21-22 child count'!$A$3:$S$317,3,0),0)</f>
        <v>23195.006371681418</v>
      </c>
      <c r="AP43" s="400" t="str">
        <f t="shared" si="24"/>
        <v>Did not Meet</v>
      </c>
      <c r="AR43" s="366" t="str">
        <f t="shared" si="10"/>
        <v>Met</v>
      </c>
      <c r="AU43" s="400" t="str">
        <f t="shared" si="11"/>
        <v>Did not Meet</v>
      </c>
      <c r="AX43" s="400" t="str">
        <f t="shared" si="12"/>
        <v>Did not Meet</v>
      </c>
      <c r="BA43" s="400" t="str">
        <f t="shared" si="13"/>
        <v>Did not Meet</v>
      </c>
      <c r="BD43" s="400" t="str">
        <f t="shared" si="14"/>
        <v>Did not Meet</v>
      </c>
      <c r="BF43" s="366" t="str">
        <f t="shared" si="15"/>
        <v>Met</v>
      </c>
    </row>
    <row r="44" spans="1:58">
      <c r="A44" t="s">
        <v>275</v>
      </c>
      <c r="B44" t="s">
        <v>874</v>
      </c>
      <c r="C44" s="360"/>
      <c r="D44" s="363">
        <v>0</v>
      </c>
      <c r="E44" t="s">
        <v>834</v>
      </c>
      <c r="F44" s="360"/>
      <c r="G44" s="363">
        <v>650660.06999999995</v>
      </c>
      <c r="H44" t="s">
        <v>834</v>
      </c>
      <c r="I44" s="360"/>
      <c r="J44" s="363">
        <v>0</v>
      </c>
      <c r="K44" t="s">
        <v>834</v>
      </c>
      <c r="L44" s="360"/>
      <c r="M44" s="363">
        <v>8450.130779220779</v>
      </c>
      <c r="N44" t="s">
        <v>834</v>
      </c>
      <c r="O44" s="360"/>
      <c r="P44" s="366" t="str">
        <f t="shared" si="16"/>
        <v>Met</v>
      </c>
      <c r="Q44" s="360"/>
      <c r="R44" s="399">
        <v>0</v>
      </c>
      <c r="S44" s="400" t="str">
        <f t="shared" si="17"/>
        <v>Met</v>
      </c>
      <c r="U44" s="399">
        <v>732498.81</v>
      </c>
      <c r="V44" s="400" t="str">
        <f t="shared" si="18"/>
        <v>Met</v>
      </c>
      <c r="X44" s="399">
        <v>0</v>
      </c>
      <c r="Y44" s="400" t="str">
        <f t="shared" si="19"/>
        <v>Met</v>
      </c>
      <c r="AA44" s="399">
        <v>9638.1422368421063</v>
      </c>
      <c r="AB44" s="400" t="str">
        <f t="shared" si="20"/>
        <v>Met</v>
      </c>
      <c r="AD44" s="366" t="str">
        <f t="shared" si="0"/>
        <v>Met</v>
      </c>
      <c r="AF44" s="399">
        <v>0</v>
      </c>
      <c r="AG44" s="400" t="str">
        <f t="shared" si="21"/>
        <v>Met</v>
      </c>
      <c r="AI44" s="399">
        <v>753649</v>
      </c>
      <c r="AJ44" s="400" t="str">
        <f t="shared" si="22"/>
        <v>Met</v>
      </c>
      <c r="AL44" s="399">
        <f>VLOOKUP(A44,$A$5:$AF$315,32,0)/IFERROR(VLOOKUP(A44,'21-22 child count'!$A$3:$S$317,19,0),0)</f>
        <v>0</v>
      </c>
      <c r="AM44" s="400" t="str">
        <f t="shared" si="23"/>
        <v>Met</v>
      </c>
      <c r="AO44" s="399">
        <f>VLOOKUP(A44,'42. SEA or LEA Worksheet'!$A$4:$AB$318,28,0)/IFERROR(VLOOKUP('42. SEA or LEA Worksheet'!A43,'21-22 child count'!$A$3:$S$317,3,0),0)</f>
        <v>7461.8712871287125</v>
      </c>
      <c r="AP44" s="400" t="str">
        <f t="shared" si="24"/>
        <v>Did not Meet</v>
      </c>
      <c r="AR44" s="366" t="str">
        <f t="shared" si="10"/>
        <v>Met</v>
      </c>
      <c r="AU44" s="400" t="str">
        <f t="shared" si="11"/>
        <v>Met</v>
      </c>
      <c r="AX44" s="400" t="str">
        <f t="shared" si="12"/>
        <v>Did not Meet</v>
      </c>
      <c r="BA44" s="400" t="str">
        <f t="shared" si="13"/>
        <v>Met</v>
      </c>
      <c r="BD44" s="400" t="str">
        <f t="shared" si="14"/>
        <v>Did not Meet</v>
      </c>
      <c r="BF44" s="366" t="str">
        <f t="shared" si="15"/>
        <v>Met</v>
      </c>
    </row>
    <row r="45" spans="1:58">
      <c r="A45" t="s">
        <v>410</v>
      </c>
      <c r="B45" t="s">
        <v>1155</v>
      </c>
      <c r="C45" s="360"/>
      <c r="D45" s="363">
        <v>0</v>
      </c>
      <c r="E45" t="s">
        <v>1150</v>
      </c>
      <c r="F45" s="360"/>
      <c r="G45" s="363">
        <v>274533.03000000003</v>
      </c>
      <c r="H45" t="s">
        <v>1150</v>
      </c>
      <c r="I45" s="360"/>
      <c r="J45" s="363">
        <v>0</v>
      </c>
      <c r="K45" t="s">
        <v>1150</v>
      </c>
      <c r="L45" s="360"/>
      <c r="M45" s="363">
        <v>1533.7040782122906</v>
      </c>
      <c r="N45" t="s">
        <v>1150</v>
      </c>
      <c r="O45" s="360"/>
      <c r="P45" s="366" t="s">
        <v>818</v>
      </c>
      <c r="Q45" s="360"/>
      <c r="R45" s="399">
        <v>0</v>
      </c>
      <c r="S45" s="400" t="str">
        <f t="shared" si="17"/>
        <v>Did not Meet</v>
      </c>
      <c r="U45" s="399">
        <v>1835839.1</v>
      </c>
      <c r="V45" s="400" t="str">
        <f t="shared" si="18"/>
        <v>Did not Meet</v>
      </c>
      <c r="X45" s="399">
        <v>0</v>
      </c>
      <c r="Y45" s="400" t="str">
        <f t="shared" si="19"/>
        <v>Did not Meet</v>
      </c>
      <c r="AA45" s="399">
        <v>9713.4343915343925</v>
      </c>
      <c r="AB45" s="400" t="str">
        <f t="shared" si="20"/>
        <v>Did not Meet</v>
      </c>
      <c r="AD45" s="366" t="str">
        <f t="shared" si="0"/>
        <v>Met</v>
      </c>
      <c r="AF45" s="399">
        <v>0</v>
      </c>
      <c r="AG45" s="400" t="str">
        <f t="shared" si="21"/>
        <v>Did not Meet</v>
      </c>
      <c r="AI45" s="399">
        <v>1902289.02</v>
      </c>
      <c r="AJ45" s="400" t="str">
        <f t="shared" si="22"/>
        <v>Did not Meet</v>
      </c>
      <c r="AL45" s="399">
        <f>VLOOKUP(A45,$A$5:$AF$315,32,0)/IFERROR(VLOOKUP(A45,'21-22 child count'!$A$3:$S$317,19,0),0)</f>
        <v>0</v>
      </c>
      <c r="AM45" s="400" t="str">
        <f t="shared" si="23"/>
        <v>Did not Meet</v>
      </c>
      <c r="AO45" s="399">
        <f>AI45/'21-22 child count'!S111</f>
        <v>9856.4197927461137</v>
      </c>
      <c r="AP45" s="400" t="str">
        <f t="shared" si="24"/>
        <v>Did not Meet</v>
      </c>
      <c r="AR45" s="366" t="str">
        <f t="shared" si="10"/>
        <v>Met</v>
      </c>
      <c r="AU45" s="400" t="str">
        <f t="shared" si="11"/>
        <v>Did not Meet</v>
      </c>
      <c r="AX45" s="400" t="str">
        <f t="shared" si="12"/>
        <v>Did not Meet</v>
      </c>
      <c r="BA45" s="400" t="str">
        <f t="shared" si="13"/>
        <v>Did not Meet</v>
      </c>
      <c r="BD45" s="400" t="str">
        <f t="shared" si="14"/>
        <v>Did not Meet</v>
      </c>
      <c r="BF45" s="366" t="str">
        <f t="shared" si="15"/>
        <v>Met</v>
      </c>
    </row>
    <row r="46" spans="1:58">
      <c r="A46" t="s">
        <v>279</v>
      </c>
      <c r="B46" t="s">
        <v>876</v>
      </c>
      <c r="C46" s="360"/>
      <c r="D46" s="363">
        <v>0</v>
      </c>
      <c r="E46" t="s">
        <v>834</v>
      </c>
      <c r="F46" s="360"/>
      <c r="G46" s="363">
        <v>220094.43</v>
      </c>
      <c r="H46" t="s">
        <v>834</v>
      </c>
      <c r="I46" s="360"/>
      <c r="J46" s="363">
        <v>0</v>
      </c>
      <c r="K46" t="s">
        <v>834</v>
      </c>
      <c r="L46" s="360"/>
      <c r="M46" s="363">
        <v>7589.4631034482754</v>
      </c>
      <c r="N46" t="s">
        <v>855</v>
      </c>
      <c r="O46" s="360"/>
      <c r="P46" s="366" t="str">
        <f>IF(AND(E46="Did not Meet",H46="Did not Meet",K46="Did not Meet", N46="Did not Meet"),"Did not Meet","Met")</f>
        <v>Met</v>
      </c>
      <c r="Q46" s="360"/>
      <c r="R46" s="399">
        <v>0</v>
      </c>
      <c r="S46" s="400" t="str">
        <f t="shared" si="17"/>
        <v>Met</v>
      </c>
      <c r="U46" s="399">
        <v>212814.33</v>
      </c>
      <c r="V46" s="400" t="str">
        <f t="shared" si="18"/>
        <v>Met</v>
      </c>
      <c r="X46" s="399">
        <v>0</v>
      </c>
      <c r="Y46" s="400" t="str">
        <f t="shared" si="19"/>
        <v>Met</v>
      </c>
      <c r="AA46" s="399">
        <v>8185.166538461538</v>
      </c>
      <c r="AB46" s="400" t="str">
        <f t="shared" si="20"/>
        <v>Did not Meet</v>
      </c>
      <c r="AD46" s="366" t="str">
        <f t="shared" si="0"/>
        <v>Met</v>
      </c>
      <c r="AF46" s="399">
        <v>0</v>
      </c>
      <c r="AG46" s="400" t="str">
        <f t="shared" si="21"/>
        <v>Met</v>
      </c>
      <c r="AI46" s="399">
        <v>229095.73</v>
      </c>
      <c r="AJ46" s="400" t="str">
        <f t="shared" si="22"/>
        <v>Met</v>
      </c>
      <c r="AL46" s="399">
        <f>VLOOKUP(A46,$A$5:$AF$315,32,0)/IFERROR(VLOOKUP(A46,'21-22 child count'!$A$3:$S$317,19,0),0)</f>
        <v>0</v>
      </c>
      <c r="AM46" s="400" t="str">
        <f t="shared" si="23"/>
        <v>Met</v>
      </c>
      <c r="AO46" s="399">
        <f>VLOOKUP(A46,'42. SEA or LEA Worksheet'!$A$4:$AB$318,28,0)/IFERROR(VLOOKUP('42. SEA or LEA Worksheet'!A45,'21-22 child count'!$A$3:$S$317,3,0),0)</f>
        <v>2268.2745544554455</v>
      </c>
      <c r="AP46" s="400" t="str">
        <f t="shared" si="24"/>
        <v>Did not Meet</v>
      </c>
      <c r="AR46" s="366" t="str">
        <f t="shared" si="10"/>
        <v>Met</v>
      </c>
      <c r="AU46" s="400" t="str">
        <f t="shared" si="11"/>
        <v>Met</v>
      </c>
      <c r="AX46" s="400" t="str">
        <f t="shared" si="12"/>
        <v>Did not Meet</v>
      </c>
      <c r="BA46" s="400" t="str">
        <f t="shared" si="13"/>
        <v>Met</v>
      </c>
      <c r="BD46" s="400" t="str">
        <f t="shared" si="14"/>
        <v>Did not Meet</v>
      </c>
      <c r="BF46" s="366" t="str">
        <f t="shared" si="15"/>
        <v>Met</v>
      </c>
    </row>
    <row r="47" spans="1:58">
      <c r="A47" t="s">
        <v>281</v>
      </c>
      <c r="B47" t="s">
        <v>877</v>
      </c>
      <c r="C47" s="360"/>
      <c r="D47" s="363">
        <v>9119.42</v>
      </c>
      <c r="E47" t="s">
        <v>834</v>
      </c>
      <c r="F47" s="360"/>
      <c r="G47" s="363">
        <v>207989.57</v>
      </c>
      <c r="H47" t="s">
        <v>834</v>
      </c>
      <c r="I47" s="360"/>
      <c r="J47" s="363">
        <v>434.25809523809522</v>
      </c>
      <c r="K47" t="s">
        <v>834</v>
      </c>
      <c r="L47" s="360"/>
      <c r="M47" s="363">
        <v>9904.2652380952386</v>
      </c>
      <c r="N47" t="s">
        <v>855</v>
      </c>
      <c r="O47" s="360"/>
      <c r="P47" s="366" t="str">
        <f>IF(AND(E47="Did not Meet",H47="Did not Meet",K47="Did not Meet", N47="Did not Meet"),"Did not Meet","Met")</f>
        <v>Met</v>
      </c>
      <c r="Q47" s="360"/>
      <c r="R47" s="399">
        <v>9200</v>
      </c>
      <c r="S47" s="400" t="str">
        <f t="shared" si="17"/>
        <v>Met</v>
      </c>
      <c r="U47" s="399">
        <v>149808.66</v>
      </c>
      <c r="V47" s="400" t="str">
        <f t="shared" si="18"/>
        <v>Met</v>
      </c>
      <c r="X47" s="399">
        <v>575</v>
      </c>
      <c r="Y47" s="400" t="str">
        <f t="shared" si="19"/>
        <v>Met</v>
      </c>
      <c r="AA47" s="399">
        <v>9363.0412500000002</v>
      </c>
      <c r="AB47" s="400" t="str">
        <f t="shared" si="20"/>
        <v>Did not Meet</v>
      </c>
      <c r="AD47" s="366" t="str">
        <f t="shared" si="0"/>
        <v>Met</v>
      </c>
      <c r="AF47" s="399">
        <v>9250</v>
      </c>
      <c r="AG47" s="400" t="str">
        <f t="shared" si="21"/>
        <v>Met</v>
      </c>
      <c r="AI47" s="399">
        <v>168175.2</v>
      </c>
      <c r="AJ47" s="400" t="str">
        <f t="shared" si="22"/>
        <v>Met</v>
      </c>
      <c r="AL47" s="399">
        <f>VLOOKUP(A47,$A$5:$AF$315,32,0)/IFERROR(VLOOKUP(A47,'21-22 child count'!$A$3:$S$317,19,0),0)</f>
        <v>578.125</v>
      </c>
      <c r="AM47" s="400" t="str">
        <f t="shared" si="23"/>
        <v>Met</v>
      </c>
      <c r="AO47" s="399">
        <f>VLOOKUP(A47,'42. SEA or LEA Worksheet'!$A$4:$AB$318,28,0)/IFERROR(VLOOKUP('42. SEA or LEA Worksheet'!A46,'21-22 child count'!$A$3:$S$317,3,0),0)</f>
        <v>1573.5168316831684</v>
      </c>
      <c r="AP47" s="400" t="str">
        <f t="shared" si="24"/>
        <v>Did not Meet</v>
      </c>
      <c r="AR47" s="366" t="str">
        <f t="shared" si="10"/>
        <v>Met</v>
      </c>
      <c r="AU47" s="400" t="str">
        <f t="shared" si="11"/>
        <v>Did not Meet</v>
      </c>
      <c r="AX47" s="400" t="str">
        <f t="shared" si="12"/>
        <v>Did not Meet</v>
      </c>
      <c r="BA47" s="400" t="str">
        <f t="shared" si="13"/>
        <v>Did not Meet</v>
      </c>
      <c r="BD47" s="400" t="str">
        <f t="shared" si="14"/>
        <v>Did not Meet</v>
      </c>
      <c r="BF47" s="366" t="str">
        <f t="shared" si="15"/>
        <v>Met</v>
      </c>
    </row>
    <row r="48" spans="1:58">
      <c r="A48" t="s">
        <v>420</v>
      </c>
      <c r="B48" t="s">
        <v>942</v>
      </c>
      <c r="C48" s="360"/>
      <c r="D48" s="363">
        <v>0</v>
      </c>
      <c r="E48" t="s">
        <v>855</v>
      </c>
      <c r="F48" s="360"/>
      <c r="G48" s="363">
        <v>1226364.78</v>
      </c>
      <c r="H48" t="s">
        <v>834</v>
      </c>
      <c r="I48" s="360"/>
      <c r="J48" s="363">
        <v>0</v>
      </c>
      <c r="K48" t="s">
        <v>855</v>
      </c>
      <c r="L48" s="360"/>
      <c r="M48" s="363">
        <v>8230.6361073825501</v>
      </c>
      <c r="N48" t="s">
        <v>855</v>
      </c>
      <c r="O48" s="360"/>
      <c r="P48" s="366" t="str">
        <f>IF(AND(E48="Did not Meet",H48="Did not Meet",K48="Did not Meet", N48="Did not Meet"),"Did not Meet","Met")</f>
        <v>Met</v>
      </c>
      <c r="Q48" s="360"/>
      <c r="R48" s="399">
        <v>0</v>
      </c>
      <c r="S48" s="400" t="str">
        <f t="shared" si="17"/>
        <v>Did not Meet</v>
      </c>
      <c r="U48" s="399">
        <v>1429631.72</v>
      </c>
      <c r="V48" s="400" t="str">
        <f t="shared" si="18"/>
        <v>Met</v>
      </c>
      <c r="X48" s="399">
        <v>0</v>
      </c>
      <c r="Y48" s="400" t="str">
        <f t="shared" si="19"/>
        <v>Did not Meet</v>
      </c>
      <c r="AA48" s="399">
        <v>9343.9981699346408</v>
      </c>
      <c r="AB48" s="400" t="str">
        <f t="shared" si="20"/>
        <v>Did not Meet</v>
      </c>
      <c r="AD48" s="366" t="str">
        <f t="shared" si="0"/>
        <v>Met</v>
      </c>
      <c r="AF48" s="399">
        <v>0</v>
      </c>
      <c r="AG48" s="400" t="str">
        <f t="shared" si="21"/>
        <v>Did not Meet</v>
      </c>
      <c r="AI48" s="399">
        <v>1363041.61</v>
      </c>
      <c r="AJ48" s="400" t="str">
        <f t="shared" si="22"/>
        <v>Did not Meet</v>
      </c>
      <c r="AL48" s="399">
        <f>VLOOKUP(A48,$A$5:$AF$315,32,0)/IFERROR(VLOOKUP(A48,'21-22 child count'!$A$3:$S$317,19,0),0)</f>
        <v>0</v>
      </c>
      <c r="AM48" s="400" t="str">
        <f t="shared" si="23"/>
        <v>Did not Meet</v>
      </c>
      <c r="AO48" s="399">
        <f>VLOOKUP(A48,'42. SEA or LEA Worksheet'!$A$4:$AB$318,28,0)/IFERROR(VLOOKUP('42. SEA or LEA Worksheet'!A116,'21-22 child count'!$A$3:$S$317,3,0),0)</f>
        <v>11264.806694214876</v>
      </c>
      <c r="AP48" s="400" t="str">
        <f t="shared" si="24"/>
        <v>Did not Meet</v>
      </c>
      <c r="AR48" s="366" t="str">
        <f t="shared" si="10"/>
        <v>Met</v>
      </c>
      <c r="AU48" s="400" t="str">
        <f t="shared" si="11"/>
        <v>Did not Meet</v>
      </c>
      <c r="AX48" s="400" t="str">
        <f t="shared" si="12"/>
        <v>Did not Meet</v>
      </c>
      <c r="BA48" s="400" t="str">
        <f t="shared" si="13"/>
        <v>Did not Meet</v>
      </c>
      <c r="BD48" s="400" t="str">
        <f t="shared" si="14"/>
        <v>Did not Meet</v>
      </c>
      <c r="BF48" s="366" t="str">
        <f t="shared" si="15"/>
        <v>Met</v>
      </c>
    </row>
    <row r="49" spans="1:58">
      <c r="A49" t="s">
        <v>422</v>
      </c>
      <c r="B49" t="s">
        <v>943</v>
      </c>
      <c r="C49" s="360"/>
      <c r="D49" s="363">
        <v>0</v>
      </c>
      <c r="E49" t="s">
        <v>855</v>
      </c>
      <c r="F49" s="360"/>
      <c r="G49" s="363">
        <v>2094399.88</v>
      </c>
      <c r="H49" t="s">
        <v>834</v>
      </c>
      <c r="I49" s="360"/>
      <c r="J49" s="363">
        <v>0</v>
      </c>
      <c r="K49" t="s">
        <v>855</v>
      </c>
      <c r="L49" s="360"/>
      <c r="M49" s="363">
        <v>10685.713673469387</v>
      </c>
      <c r="N49" t="s">
        <v>855</v>
      </c>
      <c r="O49" s="360"/>
      <c r="P49" s="366" t="str">
        <f>IF(AND(E49="Did not Meet",H49="Did not Meet",K49="Did not Meet", N49="Did not Meet"),"Did not Meet","Met")</f>
        <v>Met</v>
      </c>
      <c r="Q49" s="360"/>
      <c r="R49" s="399">
        <v>0</v>
      </c>
      <c r="S49" s="400" t="str">
        <f t="shared" si="17"/>
        <v>Did not Meet</v>
      </c>
      <c r="U49" s="399">
        <v>2037964.32</v>
      </c>
      <c r="V49" s="400" t="str">
        <f t="shared" si="18"/>
        <v>Met</v>
      </c>
      <c r="X49" s="399">
        <v>0</v>
      </c>
      <c r="Y49" s="400" t="str">
        <f t="shared" si="19"/>
        <v>Did not Meet</v>
      </c>
      <c r="AA49" s="399">
        <v>11136.417049180329</v>
      </c>
      <c r="AB49" s="400" t="str">
        <f t="shared" si="20"/>
        <v>Did not Meet</v>
      </c>
      <c r="AD49" s="366" t="str">
        <f t="shared" si="0"/>
        <v>Met</v>
      </c>
      <c r="AF49" s="399">
        <v>0</v>
      </c>
      <c r="AG49" s="400" t="str">
        <f t="shared" si="21"/>
        <v>Did not Meet</v>
      </c>
      <c r="AI49" s="399">
        <v>1752916.62</v>
      </c>
      <c r="AJ49" s="400" t="str">
        <f t="shared" si="22"/>
        <v>Did not Meet</v>
      </c>
      <c r="AL49" s="399">
        <f>VLOOKUP(A49,$A$5:$AF$315,32,0)/IFERROR(VLOOKUP(A49,'21-22 child count'!$A$3:$S$317,19,0),0)</f>
        <v>0</v>
      </c>
      <c r="AM49" s="400" t="str">
        <f t="shared" si="23"/>
        <v>Did not Meet</v>
      </c>
      <c r="AO49" s="399">
        <f>VLOOKUP(A49,'42. SEA or LEA Worksheet'!$A$4:$AB$318,28,0)/IFERROR(VLOOKUP('42. SEA or LEA Worksheet'!A117,'21-22 child count'!$A$3:$S$317,3,0),0)</f>
        <v>15602.72875</v>
      </c>
      <c r="AP49" s="400" t="str">
        <f t="shared" si="24"/>
        <v>Did not Meet</v>
      </c>
      <c r="AR49" s="366" t="str">
        <f t="shared" si="10"/>
        <v>Met</v>
      </c>
      <c r="AU49" s="400" t="str">
        <f t="shared" si="11"/>
        <v>Did not Meet</v>
      </c>
      <c r="AX49" s="400" t="str">
        <f t="shared" si="12"/>
        <v>Did not Meet</v>
      </c>
      <c r="BA49" s="400" t="str">
        <f t="shared" si="13"/>
        <v>Did not Meet</v>
      </c>
      <c r="BD49" s="400" t="str">
        <f t="shared" si="14"/>
        <v>Did not Meet</v>
      </c>
      <c r="BF49" s="366" t="str">
        <f t="shared" si="15"/>
        <v>Met</v>
      </c>
    </row>
    <row r="50" spans="1:58">
      <c r="A50" t="s">
        <v>287</v>
      </c>
      <c r="B50" t="s">
        <v>880</v>
      </c>
      <c r="C50" s="360"/>
      <c r="D50" s="363">
        <v>2700</v>
      </c>
      <c r="E50" t="s">
        <v>834</v>
      </c>
      <c r="F50" s="360"/>
      <c r="G50" s="363">
        <v>1084503.83</v>
      </c>
      <c r="H50" t="s">
        <v>834</v>
      </c>
      <c r="I50" s="360"/>
      <c r="J50" s="363">
        <v>29.347826086956523</v>
      </c>
      <c r="K50" t="s">
        <v>855</v>
      </c>
      <c r="L50" s="360"/>
      <c r="M50" s="363">
        <v>11788.085108695654</v>
      </c>
      <c r="N50" t="s">
        <v>834</v>
      </c>
      <c r="O50" s="360"/>
      <c r="P50" s="366" t="str">
        <f>IF(AND(E50="Did not Meet",H50="Did not Meet",K50="Did not Meet", N50="Did not Meet"),"Did not Meet","Met")</f>
        <v>Met</v>
      </c>
      <c r="Q50" s="360"/>
      <c r="R50" s="399">
        <v>2800</v>
      </c>
      <c r="S50" s="400" t="str">
        <f t="shared" si="17"/>
        <v>Met</v>
      </c>
      <c r="U50" s="399">
        <v>1049778.8700000001</v>
      </c>
      <c r="V50" s="400" t="str">
        <f t="shared" si="18"/>
        <v>Met</v>
      </c>
      <c r="X50" s="399">
        <v>32.558139534883722</v>
      </c>
      <c r="Y50" s="400" t="str">
        <f t="shared" si="19"/>
        <v>Did not Meet</v>
      </c>
      <c r="AA50" s="399">
        <v>12206.73104651163</v>
      </c>
      <c r="AB50" s="400" t="str">
        <f t="shared" si="20"/>
        <v>Met</v>
      </c>
      <c r="AD50" s="366" t="str">
        <f t="shared" si="0"/>
        <v>Met</v>
      </c>
      <c r="AF50" s="399">
        <v>2900</v>
      </c>
      <c r="AG50" s="400" t="str">
        <f t="shared" si="21"/>
        <v>Met</v>
      </c>
      <c r="AI50" s="399">
        <v>1379404.93</v>
      </c>
      <c r="AJ50" s="400" t="str">
        <f t="shared" si="22"/>
        <v>Met</v>
      </c>
      <c r="AL50" s="399">
        <f>VLOOKUP(A50,$A$5:$AF$315,32,0)/IFERROR(VLOOKUP(A50,'21-22 child count'!$A$3:$S$317,19,0),0)</f>
        <v>33.720930232558139</v>
      </c>
      <c r="AM50" s="400" t="str">
        <f t="shared" si="23"/>
        <v>Did not Meet</v>
      </c>
      <c r="AO50" s="399">
        <f>VLOOKUP(A50,'42. SEA or LEA Worksheet'!$A$4:$AB$318,28,0)/IFERROR(VLOOKUP('42. SEA or LEA Worksheet'!A49,'21-22 child count'!$A$3:$S$317,3,0),0)</f>
        <v>7283.0948677248671</v>
      </c>
      <c r="AP50" s="400" t="str">
        <f t="shared" si="24"/>
        <v>Did not Meet</v>
      </c>
      <c r="AR50" s="366" t="str">
        <f t="shared" si="10"/>
        <v>Met</v>
      </c>
      <c r="AU50" s="400" t="str">
        <f t="shared" si="11"/>
        <v>Did not Meet</v>
      </c>
      <c r="AX50" s="400" t="str">
        <f t="shared" si="12"/>
        <v>Did not Meet</v>
      </c>
      <c r="BA50" s="400" t="str">
        <f t="shared" si="13"/>
        <v>Did not Meet</v>
      </c>
      <c r="BD50" s="400" t="str">
        <f t="shared" si="14"/>
        <v>Did not Meet</v>
      </c>
      <c r="BF50" s="366" t="str">
        <f t="shared" si="15"/>
        <v>Met</v>
      </c>
    </row>
    <row r="51" spans="1:58">
      <c r="A51" t="s">
        <v>426</v>
      </c>
      <c r="B51" t="s">
        <v>1140</v>
      </c>
      <c r="C51" s="360"/>
      <c r="D51" s="363">
        <v>0</v>
      </c>
      <c r="E51" t="s">
        <v>1150</v>
      </c>
      <c r="F51" s="360"/>
      <c r="G51" s="363">
        <v>65254.04</v>
      </c>
      <c r="H51" t="s">
        <v>1150</v>
      </c>
      <c r="I51" s="360"/>
      <c r="J51" s="363">
        <v>0</v>
      </c>
      <c r="K51" t="s">
        <v>1150</v>
      </c>
      <c r="L51" s="360"/>
      <c r="M51" s="363">
        <v>8156.7550000000001</v>
      </c>
      <c r="N51" t="s">
        <v>1150</v>
      </c>
      <c r="O51" s="360"/>
      <c r="P51" s="366" t="s">
        <v>818</v>
      </c>
      <c r="Q51" s="360"/>
      <c r="R51" s="399">
        <v>0</v>
      </c>
      <c r="S51" s="400" t="str">
        <f t="shared" si="17"/>
        <v>Did not Meet</v>
      </c>
      <c r="U51" s="399">
        <v>77443.41</v>
      </c>
      <c r="V51" s="400" t="str">
        <f t="shared" si="18"/>
        <v>Did not Meet</v>
      </c>
      <c r="X51" s="399">
        <v>0</v>
      </c>
      <c r="Y51" s="400" t="str">
        <f t="shared" si="19"/>
        <v>Did not Meet</v>
      </c>
      <c r="AA51" s="399">
        <v>15488.682000000001</v>
      </c>
      <c r="AB51" s="400" t="str">
        <f t="shared" si="20"/>
        <v>Did not Meet</v>
      </c>
      <c r="AD51" s="366" t="str">
        <f t="shared" si="0"/>
        <v>Met</v>
      </c>
      <c r="AF51" s="399">
        <v>0</v>
      </c>
      <c r="AG51" s="400" t="str">
        <f t="shared" si="21"/>
        <v>Did not Meet</v>
      </c>
      <c r="AI51" s="399">
        <v>124227.42</v>
      </c>
      <c r="AJ51" s="400" t="str">
        <f t="shared" si="22"/>
        <v>Did not Meet</v>
      </c>
      <c r="AL51" s="399">
        <f>VLOOKUP(A51,$A$5:$AF$315,32,0)/IFERROR(VLOOKUP(A51,'21-22 child count'!$A$3:$S$317,19,0),0)</f>
        <v>0</v>
      </c>
      <c r="AM51" s="400" t="str">
        <f t="shared" si="23"/>
        <v>Did not Meet</v>
      </c>
      <c r="AO51" s="399">
        <f>VLOOKUP(A51,'42. SEA or LEA Worksheet'!$A$4:$AB$318,28,0)/IFERROR(VLOOKUP('42. SEA or LEA Worksheet'!A119,'21-22 child count'!$A$3:$S$317,3,0),0)</f>
        <v>1009.9790243902439</v>
      </c>
      <c r="AP51" s="400" t="str">
        <f t="shared" si="24"/>
        <v>Did not Meet</v>
      </c>
      <c r="AR51" s="366" t="str">
        <f t="shared" si="10"/>
        <v>Met</v>
      </c>
      <c r="AU51" s="400" t="str">
        <f t="shared" si="11"/>
        <v>Did not Meet</v>
      </c>
      <c r="AX51" s="400" t="str">
        <f t="shared" si="12"/>
        <v>Did not Meet</v>
      </c>
      <c r="BA51" s="400" t="str">
        <f t="shared" si="13"/>
        <v>Did not Meet</v>
      </c>
      <c r="BD51" s="400" t="str">
        <f t="shared" si="14"/>
        <v>Did not Meet</v>
      </c>
      <c r="BF51" s="366" t="str">
        <f t="shared" si="15"/>
        <v>Met</v>
      </c>
    </row>
    <row r="52" spans="1:58">
      <c r="A52" t="s">
        <v>291</v>
      </c>
      <c r="B52" t="s">
        <v>882</v>
      </c>
      <c r="C52" s="360"/>
      <c r="D52" s="363">
        <v>0</v>
      </c>
      <c r="E52" t="s">
        <v>834</v>
      </c>
      <c r="F52" s="360"/>
      <c r="G52" s="363">
        <v>339798.49</v>
      </c>
      <c r="H52" t="s">
        <v>834</v>
      </c>
      <c r="I52" s="360"/>
      <c r="J52" s="363">
        <v>0</v>
      </c>
      <c r="K52" t="s">
        <v>834</v>
      </c>
      <c r="L52" s="360"/>
      <c r="M52" s="363">
        <v>9994.0732352941177</v>
      </c>
      <c r="N52" t="s">
        <v>834</v>
      </c>
      <c r="O52" s="360"/>
      <c r="P52" s="366" t="str">
        <f>IF(AND(E52="Did not Meet",H52="Did not Meet",K52="Did not Meet", N52="Did not Meet"),"Did not Meet","Met")</f>
        <v>Met</v>
      </c>
      <c r="Q52" s="360"/>
      <c r="R52" s="399">
        <v>0</v>
      </c>
      <c r="S52" s="400" t="str">
        <f t="shared" si="17"/>
        <v>Met</v>
      </c>
      <c r="U52" s="399">
        <v>273545.02</v>
      </c>
      <c r="V52" s="400" t="str">
        <f t="shared" si="18"/>
        <v>Met</v>
      </c>
      <c r="X52" s="399">
        <v>0</v>
      </c>
      <c r="Y52" s="400" t="str">
        <f t="shared" si="19"/>
        <v>Met</v>
      </c>
      <c r="AA52" s="399">
        <v>12433.864545454546</v>
      </c>
      <c r="AB52" s="400" t="str">
        <f t="shared" si="20"/>
        <v>Met</v>
      </c>
      <c r="AD52" s="366" t="str">
        <f t="shared" si="0"/>
        <v>Met</v>
      </c>
      <c r="AF52" s="399">
        <v>0</v>
      </c>
      <c r="AG52" s="400" t="str">
        <f t="shared" si="21"/>
        <v>Met</v>
      </c>
      <c r="AI52" s="399">
        <v>252323.7</v>
      </c>
      <c r="AJ52" s="400" t="str">
        <f t="shared" si="22"/>
        <v>Did not Meet</v>
      </c>
      <c r="AL52" s="399">
        <f>VLOOKUP(A52,$A$5:$AF$315,32,0)/IFERROR(VLOOKUP(A52,'21-22 child count'!$A$3:$S$317,19,0),0)</f>
        <v>0</v>
      </c>
      <c r="AM52" s="400" t="str">
        <f t="shared" si="23"/>
        <v>Met</v>
      </c>
      <c r="AO52" s="399">
        <f>VLOOKUP(A52,'42. SEA or LEA Worksheet'!$A$4:$AB$318,28,0)/IFERROR(VLOOKUP('42. SEA or LEA Worksheet'!A51,'21-22 child count'!$A$3:$S$317,3,0),0)</f>
        <v>2232.9530973451328</v>
      </c>
      <c r="AP52" s="400" t="str">
        <f t="shared" si="24"/>
        <v>Did not Meet</v>
      </c>
      <c r="AR52" s="366" t="str">
        <f t="shared" si="10"/>
        <v>Met</v>
      </c>
      <c r="AU52" s="400" t="str">
        <f t="shared" si="11"/>
        <v>Met</v>
      </c>
      <c r="AX52" s="400" t="str">
        <f t="shared" si="12"/>
        <v>Did not Meet</v>
      </c>
      <c r="BA52" s="400" t="str">
        <f t="shared" si="13"/>
        <v>Met</v>
      </c>
      <c r="BD52" s="400" t="str">
        <f t="shared" si="14"/>
        <v>Did not Meet</v>
      </c>
      <c r="BF52" s="366" t="str">
        <f t="shared" si="15"/>
        <v>Met</v>
      </c>
    </row>
    <row r="53" spans="1:58">
      <c r="A53" t="s">
        <v>428</v>
      </c>
      <c r="B53" t="s">
        <v>945</v>
      </c>
      <c r="C53" s="360"/>
      <c r="D53" s="363">
        <v>198620.5</v>
      </c>
      <c r="E53" t="s">
        <v>855</v>
      </c>
      <c r="F53" s="360"/>
      <c r="G53" s="363">
        <v>2705269.16</v>
      </c>
      <c r="H53" t="s">
        <v>834</v>
      </c>
      <c r="I53" s="360"/>
      <c r="J53" s="363">
        <v>959.51932367149755</v>
      </c>
      <c r="K53" t="s">
        <v>855</v>
      </c>
      <c r="L53" s="360"/>
      <c r="M53" s="363">
        <v>13068.933140096618</v>
      </c>
      <c r="N53" t="s">
        <v>834</v>
      </c>
      <c r="O53" s="360"/>
      <c r="P53" s="366" t="str">
        <f>IF(AND(E53="Did not Meet",H53="Did not Meet",K53="Did not Meet", N53="Did not Meet"),"Did not Meet","Met")</f>
        <v>Met</v>
      </c>
      <c r="Q53" s="360"/>
      <c r="R53" s="399">
        <v>0</v>
      </c>
      <c r="S53" s="400" t="str">
        <f t="shared" si="17"/>
        <v>Did not Meet</v>
      </c>
      <c r="U53" s="399">
        <v>2692562.08</v>
      </c>
      <c r="V53" s="400" t="str">
        <f t="shared" si="18"/>
        <v>Met</v>
      </c>
      <c r="X53" s="399">
        <v>0</v>
      </c>
      <c r="Y53" s="400" t="str">
        <f t="shared" si="19"/>
        <v>Did not Meet</v>
      </c>
      <c r="AA53" s="399">
        <v>12238.918545454546</v>
      </c>
      <c r="AB53" s="400" t="str">
        <f t="shared" si="20"/>
        <v>Did not Meet</v>
      </c>
      <c r="AD53" s="366" t="str">
        <f t="shared" si="0"/>
        <v>Met</v>
      </c>
      <c r="AF53" s="399">
        <v>268730.81</v>
      </c>
      <c r="AG53" s="400" t="str">
        <f t="shared" si="21"/>
        <v>Did not Meet</v>
      </c>
      <c r="AI53" s="399">
        <v>3371203.66</v>
      </c>
      <c r="AJ53" s="400" t="str">
        <f t="shared" si="22"/>
        <v>Met</v>
      </c>
      <c r="AL53" s="399">
        <f>VLOOKUP(A53,$A$5:$AF$315,32,0)/IFERROR(VLOOKUP(A53,'21-22 child count'!$A$3:$S$317,19,0),0)</f>
        <v>1199.6911160714285</v>
      </c>
      <c r="AM53" s="400" t="str">
        <f t="shared" si="23"/>
        <v>Did not Meet</v>
      </c>
      <c r="AO53" s="399">
        <f>VLOOKUP(A53,'42. SEA or LEA Worksheet'!$A$4:$AB$318,28,0)/IFERROR(VLOOKUP('42. SEA or LEA Worksheet'!A120,'21-22 child count'!$A$3:$S$317,3,0),0)</f>
        <v>29547.360476190475</v>
      </c>
      <c r="AP53" s="400" t="str">
        <f t="shared" si="24"/>
        <v>Did not Meet</v>
      </c>
      <c r="AR53" s="366" t="str">
        <f t="shared" si="10"/>
        <v>Met</v>
      </c>
      <c r="AU53" s="400" t="str">
        <f t="shared" si="11"/>
        <v>Did not Meet</v>
      </c>
      <c r="AX53" s="400" t="str">
        <f t="shared" si="12"/>
        <v>Did not Meet</v>
      </c>
      <c r="BA53" s="400" t="str">
        <f t="shared" si="13"/>
        <v>Did not Meet</v>
      </c>
      <c r="BD53" s="400" t="str">
        <f t="shared" si="14"/>
        <v>Did not Meet</v>
      </c>
      <c r="BF53" s="366" t="str">
        <f t="shared" si="15"/>
        <v>Met</v>
      </c>
    </row>
    <row r="54" spans="1:58">
      <c r="A54" t="s">
        <v>432</v>
      </c>
      <c r="B54" t="s">
        <v>1141</v>
      </c>
      <c r="C54" s="360"/>
      <c r="D54" s="363">
        <v>0</v>
      </c>
      <c r="E54" t="s">
        <v>855</v>
      </c>
      <c r="F54" s="360"/>
      <c r="G54" s="363">
        <v>140008.98000000001</v>
      </c>
      <c r="H54" t="s">
        <v>834</v>
      </c>
      <c r="I54" s="360"/>
      <c r="J54" s="363">
        <v>0</v>
      </c>
      <c r="K54" t="s">
        <v>855</v>
      </c>
      <c r="L54" s="360"/>
      <c r="M54" s="363">
        <v>14000.898000000001</v>
      </c>
      <c r="N54" t="s">
        <v>855</v>
      </c>
      <c r="O54" s="360"/>
      <c r="P54" s="366" t="str">
        <f>IF(AND(E54="Did not Meet",H54="Did not Meet",K54="Did not Meet", N54="Did not Meet"),"Did not Meet","Met")</f>
        <v>Met</v>
      </c>
      <c r="Q54" s="360"/>
      <c r="R54" s="399">
        <v>0</v>
      </c>
      <c r="S54" s="400" t="str">
        <f t="shared" si="17"/>
        <v>Did not Meet</v>
      </c>
      <c r="U54" s="399">
        <v>171868.16</v>
      </c>
      <c r="V54" s="400" t="str">
        <f t="shared" si="18"/>
        <v>Met</v>
      </c>
      <c r="X54" s="399">
        <v>0</v>
      </c>
      <c r="Y54" s="400" t="str">
        <f t="shared" si="19"/>
        <v>Did not Meet</v>
      </c>
      <c r="AA54" s="399">
        <v>17186.815999999999</v>
      </c>
      <c r="AB54" s="400" t="str">
        <f t="shared" si="20"/>
        <v>Did not Meet</v>
      </c>
      <c r="AD54" s="366" t="str">
        <f t="shared" si="0"/>
        <v>Met</v>
      </c>
      <c r="AF54" s="399">
        <v>0</v>
      </c>
      <c r="AG54" s="400" t="str">
        <f t="shared" si="21"/>
        <v>Did not Meet</v>
      </c>
      <c r="AI54" s="399">
        <v>133159.66</v>
      </c>
      <c r="AJ54" s="400" t="str">
        <f t="shared" si="22"/>
        <v>Did not Meet</v>
      </c>
      <c r="AL54" s="399">
        <f>VLOOKUP(A54,$A$5:$AF$315,32,0)/IFERROR(VLOOKUP(A54,'21-22 child count'!$A$3:$S$317,19,0),0)</f>
        <v>0</v>
      </c>
      <c r="AM54" s="400" t="str">
        <f t="shared" si="23"/>
        <v>Did not Meet</v>
      </c>
      <c r="AO54" s="399">
        <f>VLOOKUP(A54,'42. SEA or LEA Worksheet'!$A$4:$AB$318,28,0)/IFERROR(VLOOKUP('42. SEA or LEA Worksheet'!A122,'21-22 child count'!$A$3:$S$317,3,0),0)</f>
        <v>1178.4040707964602</v>
      </c>
      <c r="AP54" s="400" t="str">
        <f t="shared" si="24"/>
        <v>Did not Meet</v>
      </c>
      <c r="AR54" s="366" t="str">
        <f t="shared" si="10"/>
        <v>Met</v>
      </c>
      <c r="AU54" s="400" t="str">
        <f t="shared" si="11"/>
        <v>Did not Meet</v>
      </c>
      <c r="AX54" s="400" t="str">
        <f t="shared" si="12"/>
        <v>Did not Meet</v>
      </c>
      <c r="BA54" s="400" t="str">
        <f t="shared" si="13"/>
        <v>Did not Meet</v>
      </c>
      <c r="BD54" s="400" t="str">
        <f t="shared" si="14"/>
        <v>Did not Meet</v>
      </c>
      <c r="BF54" s="366" t="str">
        <f t="shared" si="15"/>
        <v>Met</v>
      </c>
    </row>
    <row r="55" spans="1:58">
      <c r="A55" t="s">
        <v>436</v>
      </c>
      <c r="B55" t="s">
        <v>1142</v>
      </c>
      <c r="C55" s="360"/>
      <c r="D55" s="363">
        <v>0</v>
      </c>
      <c r="E55" t="s">
        <v>1150</v>
      </c>
      <c r="F55" s="360"/>
      <c r="G55" s="363">
        <v>343584.66</v>
      </c>
      <c r="H55" t="s">
        <v>1150</v>
      </c>
      <c r="I55" s="360"/>
      <c r="J55" s="363">
        <v>0</v>
      </c>
      <c r="K55" t="s">
        <v>1150</v>
      </c>
      <c r="L55" s="360"/>
      <c r="M55" s="363">
        <v>9041.701578947368</v>
      </c>
      <c r="N55" t="s">
        <v>1150</v>
      </c>
      <c r="O55" s="360"/>
      <c r="P55" s="366" t="s">
        <v>818</v>
      </c>
      <c r="Q55" s="360"/>
      <c r="R55" s="399">
        <v>0</v>
      </c>
      <c r="S55" s="400" t="str">
        <f t="shared" si="17"/>
        <v>Did not Meet</v>
      </c>
      <c r="U55" s="399">
        <v>293938.23</v>
      </c>
      <c r="V55" s="400" t="str">
        <f t="shared" si="18"/>
        <v>Did not Meet</v>
      </c>
      <c r="X55" s="399">
        <v>0</v>
      </c>
      <c r="Y55" s="400" t="str">
        <f t="shared" si="19"/>
        <v>Did not Meet</v>
      </c>
      <c r="AA55" s="399">
        <v>10135.801034482758</v>
      </c>
      <c r="AB55" s="400" t="str">
        <f t="shared" si="20"/>
        <v>Did not Meet</v>
      </c>
      <c r="AD55" s="366" t="str">
        <f t="shared" si="0"/>
        <v>Met</v>
      </c>
      <c r="AF55" s="399">
        <v>0</v>
      </c>
      <c r="AG55" s="400" t="str">
        <f t="shared" si="21"/>
        <v>Did not Meet</v>
      </c>
      <c r="AI55" s="399">
        <v>318397.19</v>
      </c>
      <c r="AJ55" s="400" t="str">
        <f t="shared" si="22"/>
        <v>Did not Meet</v>
      </c>
      <c r="AL55" s="399">
        <f>VLOOKUP(A55,$A$5:$AF$315,32,0)/IFERROR(VLOOKUP(A55,'21-22 child count'!$A$3:$S$317,19,0),0)</f>
        <v>0</v>
      </c>
      <c r="AM55" s="400" t="str">
        <f t="shared" si="23"/>
        <v>Did not Meet</v>
      </c>
      <c r="AO55" s="399">
        <f>VLOOKUP(A55,'42. SEA or LEA Worksheet'!$A$4:$AB$318,28,0)/IFERROR(VLOOKUP('42. SEA or LEA Worksheet'!A124,'21-22 child count'!$A$3:$S$317,3,0),0)</f>
        <v>3152.4474257425741</v>
      </c>
      <c r="AP55" s="400" t="str">
        <f t="shared" si="24"/>
        <v>Did not Meet</v>
      </c>
      <c r="AR55" s="366" t="str">
        <f t="shared" si="10"/>
        <v>Met</v>
      </c>
      <c r="AU55" s="400" t="str">
        <f t="shared" si="11"/>
        <v>Did not Meet</v>
      </c>
      <c r="AX55" s="400" t="str">
        <f t="shared" si="12"/>
        <v>Did not Meet</v>
      </c>
      <c r="BA55" s="400" t="str">
        <f t="shared" si="13"/>
        <v>Did not Meet</v>
      </c>
      <c r="BD55" s="400" t="str">
        <f t="shared" si="14"/>
        <v>Did not Meet</v>
      </c>
      <c r="BF55" s="366" t="str">
        <f t="shared" si="15"/>
        <v>Met</v>
      </c>
    </row>
    <row r="56" spans="1:58">
      <c r="A56" t="s">
        <v>438</v>
      </c>
      <c r="B56" t="s">
        <v>948</v>
      </c>
      <c r="C56" s="360"/>
      <c r="D56" s="363">
        <v>0</v>
      </c>
      <c r="E56" t="s">
        <v>855</v>
      </c>
      <c r="F56" s="360"/>
      <c r="G56" s="363">
        <v>17511941.649999999</v>
      </c>
      <c r="H56" t="s">
        <v>834</v>
      </c>
      <c r="I56" s="360"/>
      <c r="J56" s="363">
        <v>0</v>
      </c>
      <c r="K56" t="s">
        <v>855</v>
      </c>
      <c r="L56" s="360"/>
      <c r="M56" s="363">
        <v>11690.214719626167</v>
      </c>
      <c r="N56" t="s">
        <v>834</v>
      </c>
      <c r="O56" s="360"/>
      <c r="P56" s="366" t="str">
        <f t="shared" ref="P56:P119" si="25">IF(AND(E56="Did not Meet",H56="Did not Meet",K56="Did not Meet", N56="Did not Meet"),"Did not Meet","Met")</f>
        <v>Met</v>
      </c>
      <c r="Q56" s="360"/>
      <c r="R56" s="399">
        <v>0</v>
      </c>
      <c r="S56" s="400" t="str">
        <f t="shared" si="17"/>
        <v>Did not Meet</v>
      </c>
      <c r="U56" s="399">
        <v>18207624.390000001</v>
      </c>
      <c r="V56" s="400" t="str">
        <f t="shared" si="18"/>
        <v>Met</v>
      </c>
      <c r="X56" s="399">
        <v>0</v>
      </c>
      <c r="Y56" s="400" t="str">
        <f t="shared" si="19"/>
        <v>Did not Meet</v>
      </c>
      <c r="AA56" s="399">
        <v>13309.666951754387</v>
      </c>
      <c r="AB56" s="400" t="str">
        <f t="shared" si="20"/>
        <v>Met</v>
      </c>
      <c r="AD56" s="366" t="str">
        <f t="shared" si="0"/>
        <v>Met</v>
      </c>
      <c r="AF56" s="399">
        <v>0</v>
      </c>
      <c r="AG56" s="400" t="str">
        <f t="shared" si="21"/>
        <v>Did not Meet</v>
      </c>
      <c r="AI56" s="399">
        <v>19617616.32</v>
      </c>
      <c r="AJ56" s="400" t="str">
        <f t="shared" si="22"/>
        <v>Met</v>
      </c>
      <c r="AL56" s="399">
        <f>VLOOKUP(A56,$A$5:$AF$315,32,0)/IFERROR(VLOOKUP(A56,'21-22 child count'!$A$3:$S$317,19,0),0)</f>
        <v>0</v>
      </c>
      <c r="AM56" s="400" t="str">
        <f t="shared" si="23"/>
        <v>Did not Meet</v>
      </c>
      <c r="AO56" s="399">
        <f>VLOOKUP(A56,'42. SEA or LEA Worksheet'!$A$4:$AB$318,28,0)/IFERROR(VLOOKUP('42. SEA or LEA Worksheet'!A125,'21-22 child count'!$A$3:$S$317,3,0),0)</f>
        <v>114410.67520467837</v>
      </c>
      <c r="AP56" s="400" t="str">
        <f t="shared" si="24"/>
        <v>Met</v>
      </c>
      <c r="AR56" s="366" t="str">
        <f t="shared" si="10"/>
        <v>Met</v>
      </c>
      <c r="AU56" s="400" t="str">
        <f t="shared" si="11"/>
        <v>Did not Meet</v>
      </c>
      <c r="AX56" s="400" t="str">
        <f t="shared" si="12"/>
        <v>Did not Meet</v>
      </c>
      <c r="BA56" s="400" t="str">
        <f t="shared" si="13"/>
        <v>Did not Meet</v>
      </c>
      <c r="BD56" s="400" t="str">
        <f t="shared" si="14"/>
        <v>Did not Meet</v>
      </c>
      <c r="BF56" s="366" t="str">
        <f t="shared" si="15"/>
        <v>Met</v>
      </c>
    </row>
    <row r="57" spans="1:58">
      <c r="A57" t="s">
        <v>442</v>
      </c>
      <c r="B57" t="s">
        <v>950</v>
      </c>
      <c r="C57" s="360"/>
      <c r="D57" s="363">
        <v>0</v>
      </c>
      <c r="E57" t="s">
        <v>855</v>
      </c>
      <c r="F57" s="360"/>
      <c r="G57" s="363">
        <v>4777121.9000000004</v>
      </c>
      <c r="H57" t="s">
        <v>834</v>
      </c>
      <c r="I57" s="360"/>
      <c r="J57" s="363">
        <v>0</v>
      </c>
      <c r="K57" t="s">
        <v>855</v>
      </c>
      <c r="L57" s="360"/>
      <c r="M57" s="363">
        <v>11737.400245700246</v>
      </c>
      <c r="N57" t="s">
        <v>834</v>
      </c>
      <c r="O57" s="360"/>
      <c r="P57" s="366" t="str">
        <f t="shared" si="25"/>
        <v>Met</v>
      </c>
      <c r="Q57" s="360"/>
      <c r="R57" s="399">
        <v>0</v>
      </c>
      <c r="S57" s="400" t="str">
        <f t="shared" si="17"/>
        <v>Did not Meet</v>
      </c>
      <c r="U57" s="399">
        <v>4869218.3099999996</v>
      </c>
      <c r="V57" s="400" t="str">
        <f t="shared" si="18"/>
        <v>Met</v>
      </c>
      <c r="X57" s="399">
        <v>0</v>
      </c>
      <c r="Y57" s="400" t="str">
        <f t="shared" si="19"/>
        <v>Did not Meet</v>
      </c>
      <c r="AA57" s="399">
        <v>12713.363733681461</v>
      </c>
      <c r="AB57" s="400" t="str">
        <f t="shared" si="20"/>
        <v>Met</v>
      </c>
      <c r="AD57" s="366" t="str">
        <f t="shared" si="0"/>
        <v>Met</v>
      </c>
      <c r="AF57" s="399">
        <v>12420.97</v>
      </c>
      <c r="AG57" s="400" t="str">
        <f t="shared" si="21"/>
        <v>Did not Meet</v>
      </c>
      <c r="AI57" s="399">
        <v>5221264.8599999994</v>
      </c>
      <c r="AJ57" s="400" t="str">
        <f t="shared" si="22"/>
        <v>Met</v>
      </c>
      <c r="AL57" s="399">
        <f>VLOOKUP(A57,$A$5:$AF$315,32,0)/IFERROR(VLOOKUP(A57,'21-22 child count'!$A$3:$S$317,19,0),0)</f>
        <v>29.088922716627632</v>
      </c>
      <c r="AM57" s="400" t="str">
        <f t="shared" si="23"/>
        <v>Did not Meet</v>
      </c>
      <c r="AO57" s="399">
        <f>VLOOKUP(A57,'42. SEA or LEA Worksheet'!$A$4:$AB$318,28,0)/IFERROR(VLOOKUP('42. SEA or LEA Worksheet'!A127,'21-22 child count'!$A$3:$S$317,3,0),0)</f>
        <v>43000.219504132227</v>
      </c>
      <c r="AP57" s="400" t="str">
        <f t="shared" si="24"/>
        <v>Met</v>
      </c>
      <c r="AR57" s="366" t="str">
        <f t="shared" si="10"/>
        <v>Met</v>
      </c>
      <c r="AU57" s="400" t="str">
        <f t="shared" si="11"/>
        <v>Did not Meet</v>
      </c>
      <c r="AX57" s="400" t="str">
        <f t="shared" si="12"/>
        <v>Did not Meet</v>
      </c>
      <c r="BA57" s="400" t="str">
        <f t="shared" si="13"/>
        <v>Did not Meet</v>
      </c>
      <c r="BD57" s="400" t="str">
        <f t="shared" si="14"/>
        <v>Did not Meet</v>
      </c>
      <c r="BF57" s="366" t="str">
        <f t="shared" si="15"/>
        <v>Met</v>
      </c>
    </row>
    <row r="58" spans="1:58">
      <c r="A58" t="s">
        <v>446</v>
      </c>
      <c r="B58" t="s">
        <v>952</v>
      </c>
      <c r="C58" s="360"/>
      <c r="D58" s="363">
        <v>0</v>
      </c>
      <c r="E58" t="s">
        <v>855</v>
      </c>
      <c r="F58" s="360"/>
      <c r="G58" s="363">
        <v>593652.18999999994</v>
      </c>
      <c r="H58" t="s">
        <v>834</v>
      </c>
      <c r="I58" s="360"/>
      <c r="J58" s="363">
        <v>0</v>
      </c>
      <c r="K58" t="s">
        <v>855</v>
      </c>
      <c r="L58" s="360"/>
      <c r="M58" s="363">
        <v>8361.2984507042238</v>
      </c>
      <c r="N58" t="s">
        <v>855</v>
      </c>
      <c r="O58" s="360"/>
      <c r="P58" s="366" t="str">
        <f t="shared" si="25"/>
        <v>Met</v>
      </c>
      <c r="Q58" s="360"/>
      <c r="R58" s="399">
        <v>0</v>
      </c>
      <c r="S58" s="400" t="str">
        <f t="shared" si="17"/>
        <v>Did not Meet</v>
      </c>
      <c r="U58" s="399">
        <v>583885.38</v>
      </c>
      <c r="V58" s="400" t="str">
        <f t="shared" si="18"/>
        <v>Met</v>
      </c>
      <c r="X58" s="399">
        <v>0</v>
      </c>
      <c r="Y58" s="400" t="str">
        <f t="shared" si="19"/>
        <v>Did not Meet</v>
      </c>
      <c r="AA58" s="399">
        <v>9268.0219047619048</v>
      </c>
      <c r="AB58" s="400" t="str">
        <f t="shared" si="20"/>
        <v>Did not Meet</v>
      </c>
      <c r="AD58" s="366" t="str">
        <f t="shared" si="0"/>
        <v>Met</v>
      </c>
      <c r="AF58" s="399">
        <v>0</v>
      </c>
      <c r="AG58" s="400" t="str">
        <f t="shared" si="21"/>
        <v>Did not Meet</v>
      </c>
      <c r="AI58" s="399">
        <v>665758.9</v>
      </c>
      <c r="AJ58" s="400" t="str">
        <f t="shared" si="22"/>
        <v>Met</v>
      </c>
      <c r="AL58" s="399">
        <f>VLOOKUP(A58,$A$5:$AF$315,32,0)/IFERROR(VLOOKUP(A58,'21-22 child count'!$A$3:$S$317,19,0),0)</f>
        <v>0</v>
      </c>
      <c r="AM58" s="400" t="str">
        <f t="shared" si="23"/>
        <v>Did not Meet</v>
      </c>
      <c r="AO58" s="399">
        <f>VLOOKUP(A58,'42. SEA or LEA Worksheet'!$A$4:$AB$318,28,0)/IFERROR(VLOOKUP('42. SEA or LEA Worksheet'!A129,'21-22 child count'!$A$3:$S$317,3,0),0)</f>
        <v>6591.6722772277226</v>
      </c>
      <c r="AP58" s="400" t="str">
        <f t="shared" si="24"/>
        <v>Did not Meet</v>
      </c>
      <c r="AR58" s="366" t="str">
        <f t="shared" si="10"/>
        <v>Met</v>
      </c>
      <c r="AU58" s="400" t="str">
        <f t="shared" si="11"/>
        <v>Did not Meet</v>
      </c>
      <c r="AX58" s="400" t="str">
        <f t="shared" si="12"/>
        <v>Did not Meet</v>
      </c>
      <c r="BA58" s="400" t="str">
        <f t="shared" si="13"/>
        <v>Did not Meet</v>
      </c>
      <c r="BD58" s="400" t="str">
        <f t="shared" si="14"/>
        <v>Did not Meet</v>
      </c>
      <c r="BF58" s="366" t="str">
        <f t="shared" si="15"/>
        <v>Met</v>
      </c>
    </row>
    <row r="59" spans="1:58">
      <c r="A59" t="s">
        <v>452</v>
      </c>
      <c r="B59" t="s">
        <v>955</v>
      </c>
      <c r="C59" s="360"/>
      <c r="D59" s="363">
        <v>63143.54</v>
      </c>
      <c r="E59" t="s">
        <v>834</v>
      </c>
      <c r="F59" s="360"/>
      <c r="G59" s="363">
        <v>183427.44</v>
      </c>
      <c r="H59" t="s">
        <v>834</v>
      </c>
      <c r="I59" s="360"/>
      <c r="J59" s="363">
        <v>4857.1953846153847</v>
      </c>
      <c r="K59" t="s">
        <v>834</v>
      </c>
      <c r="L59" s="360"/>
      <c r="M59" s="363">
        <v>14109.803076923077</v>
      </c>
      <c r="N59" t="s">
        <v>834</v>
      </c>
      <c r="O59" s="360"/>
      <c r="P59" s="366" t="str">
        <f t="shared" si="25"/>
        <v>Met</v>
      </c>
      <c r="Q59" s="360"/>
      <c r="R59" s="399">
        <v>0</v>
      </c>
      <c r="S59" s="400" t="str">
        <f t="shared" si="17"/>
        <v>Did not Meet</v>
      </c>
      <c r="U59" s="399">
        <v>210160.43</v>
      </c>
      <c r="V59" s="400" t="str">
        <f t="shared" si="18"/>
        <v>Met</v>
      </c>
      <c r="X59" s="399">
        <v>0</v>
      </c>
      <c r="Y59" s="400" t="str">
        <f t="shared" si="19"/>
        <v>Did not Meet</v>
      </c>
      <c r="AA59" s="399">
        <v>19105.493636363637</v>
      </c>
      <c r="AB59" s="400" t="str">
        <f t="shared" si="20"/>
        <v>Met</v>
      </c>
      <c r="AD59" s="366" t="str">
        <f t="shared" si="0"/>
        <v>Met</v>
      </c>
      <c r="AF59" s="399">
        <v>0</v>
      </c>
      <c r="AG59" s="400" t="str">
        <f t="shared" si="21"/>
        <v>Did not Meet</v>
      </c>
      <c r="AI59" s="399">
        <v>265588.53999999998</v>
      </c>
      <c r="AJ59" s="400" t="str">
        <f t="shared" si="22"/>
        <v>Met</v>
      </c>
      <c r="AL59" s="399">
        <f>VLOOKUP(A59,$A$5:$AF$315,32,0)/IFERROR(VLOOKUP(A59,'21-22 child count'!$A$3:$S$317,19,0),0)</f>
        <v>0</v>
      </c>
      <c r="AM59" s="400" t="str">
        <f t="shared" si="23"/>
        <v>Did not Meet</v>
      </c>
      <c r="AO59" s="399">
        <f>VLOOKUP(A59,'42. SEA or LEA Worksheet'!$A$4:$AB$318,28,0)/IFERROR(VLOOKUP('42. SEA or LEA Worksheet'!A132,'21-22 child count'!$A$3:$S$317,3,0),0)</f>
        <v>2371.3262499999996</v>
      </c>
      <c r="AP59" s="400" t="str">
        <f t="shared" si="24"/>
        <v>Did not Meet</v>
      </c>
      <c r="AR59" s="366" t="str">
        <f t="shared" si="10"/>
        <v>Met</v>
      </c>
      <c r="AU59" s="400" t="str">
        <f t="shared" si="11"/>
        <v>Did not Meet</v>
      </c>
      <c r="AX59" s="400" t="str">
        <f t="shared" si="12"/>
        <v>Did not Meet</v>
      </c>
      <c r="BA59" s="400" t="str">
        <f t="shared" si="13"/>
        <v>Did not Meet</v>
      </c>
      <c r="BD59" s="400" t="str">
        <f t="shared" si="14"/>
        <v>Did not Meet</v>
      </c>
      <c r="BF59" s="366" t="str">
        <f t="shared" si="15"/>
        <v>Met</v>
      </c>
    </row>
    <row r="60" spans="1:58">
      <c r="A60" t="s">
        <v>454</v>
      </c>
      <c r="B60" t="s">
        <v>956</v>
      </c>
      <c r="C60" s="360"/>
      <c r="D60" s="363">
        <v>0</v>
      </c>
      <c r="E60" t="s">
        <v>855</v>
      </c>
      <c r="F60" s="360"/>
      <c r="G60" s="363">
        <v>775130.16</v>
      </c>
      <c r="H60" t="s">
        <v>834</v>
      </c>
      <c r="I60" s="360"/>
      <c r="J60" s="363">
        <v>0</v>
      </c>
      <c r="K60" t="s">
        <v>855</v>
      </c>
      <c r="L60" s="360"/>
      <c r="M60" s="363">
        <v>16850.655652173915</v>
      </c>
      <c r="N60" t="s">
        <v>834</v>
      </c>
      <c r="O60" s="360"/>
      <c r="P60" s="366" t="str">
        <f t="shared" si="25"/>
        <v>Met</v>
      </c>
      <c r="Q60" s="360"/>
      <c r="R60" s="399">
        <v>0</v>
      </c>
      <c r="S60" s="400" t="str">
        <f t="shared" si="17"/>
        <v>Did not Meet</v>
      </c>
      <c r="U60" s="399">
        <v>642169.52</v>
      </c>
      <c r="V60" s="400" t="str">
        <f t="shared" si="18"/>
        <v>Met</v>
      </c>
      <c r="X60" s="399">
        <v>0</v>
      </c>
      <c r="Y60" s="400" t="str">
        <f t="shared" si="19"/>
        <v>Did not Meet</v>
      </c>
      <c r="AA60" s="399">
        <v>16054.238000000001</v>
      </c>
      <c r="AB60" s="400" t="str">
        <f t="shared" si="20"/>
        <v>Did not Meet</v>
      </c>
      <c r="AD60" s="366" t="str">
        <f t="shared" si="0"/>
        <v>Met</v>
      </c>
      <c r="AF60" s="399">
        <v>0</v>
      </c>
      <c r="AG60" s="400" t="str">
        <f t="shared" si="21"/>
        <v>Did not Meet</v>
      </c>
      <c r="AI60" s="399">
        <v>732051.39</v>
      </c>
      <c r="AJ60" s="400" t="str">
        <f t="shared" si="22"/>
        <v>Met</v>
      </c>
      <c r="AL60" s="399">
        <f>VLOOKUP(A60,$A$5:$AF$315,32,0)/IFERROR(VLOOKUP(A60,'21-22 child count'!$A$3:$S$317,19,0),0)</f>
        <v>0</v>
      </c>
      <c r="AM60" s="400" t="str">
        <f t="shared" si="23"/>
        <v>Did not Meet</v>
      </c>
      <c r="AO60" s="399">
        <f>VLOOKUP(A60,'42. SEA or LEA Worksheet'!$A$4:$AB$318,28,0)/IFERROR(VLOOKUP('42. SEA or LEA Worksheet'!A133,'21-22 child count'!$A$3:$S$317,3,0),0)</f>
        <v>7150.4012871287132</v>
      </c>
      <c r="AP60" s="400" t="str">
        <f t="shared" si="24"/>
        <v>Did not Meet</v>
      </c>
      <c r="AR60" s="366" t="str">
        <f t="shared" si="10"/>
        <v>Met</v>
      </c>
      <c r="AU60" s="400" t="str">
        <f t="shared" si="11"/>
        <v>Did not Meet</v>
      </c>
      <c r="AX60" s="400" t="str">
        <f t="shared" si="12"/>
        <v>Did not Meet</v>
      </c>
      <c r="BA60" s="400" t="str">
        <f t="shared" si="13"/>
        <v>Did not Meet</v>
      </c>
      <c r="BD60" s="400" t="str">
        <f t="shared" si="14"/>
        <v>Did not Meet</v>
      </c>
      <c r="BF60" s="366" t="str">
        <f t="shared" si="15"/>
        <v>Met</v>
      </c>
    </row>
    <row r="61" spans="1:58">
      <c r="A61" t="s">
        <v>463</v>
      </c>
      <c r="B61" t="s">
        <v>960</v>
      </c>
      <c r="C61" s="360"/>
      <c r="D61" s="363">
        <v>17751.3</v>
      </c>
      <c r="E61" t="s">
        <v>855</v>
      </c>
      <c r="F61" s="360"/>
      <c r="G61" s="363">
        <v>121530</v>
      </c>
      <c r="H61" t="s">
        <v>834</v>
      </c>
      <c r="I61" s="360"/>
      <c r="J61" s="363">
        <v>1479.2749999999999</v>
      </c>
      <c r="K61" t="s">
        <v>855</v>
      </c>
      <c r="L61" s="360"/>
      <c r="M61" s="363">
        <v>10127.5</v>
      </c>
      <c r="N61" t="s">
        <v>834</v>
      </c>
      <c r="O61" s="360"/>
      <c r="P61" s="366" t="str">
        <f t="shared" si="25"/>
        <v>Met</v>
      </c>
      <c r="Q61" s="360"/>
      <c r="R61" s="399">
        <v>0</v>
      </c>
      <c r="S61" s="400" t="str">
        <f t="shared" si="17"/>
        <v>Did not Meet</v>
      </c>
      <c r="U61" s="399">
        <v>102490.89</v>
      </c>
      <c r="V61" s="400" t="str">
        <f t="shared" si="18"/>
        <v>Met</v>
      </c>
      <c r="X61" s="399">
        <v>0</v>
      </c>
      <c r="Y61" s="400" t="str">
        <f t="shared" si="19"/>
        <v>Did not Meet</v>
      </c>
      <c r="AA61" s="399">
        <v>8540.9074999999993</v>
      </c>
      <c r="AB61" s="400" t="str">
        <f t="shared" si="20"/>
        <v>Did not Meet</v>
      </c>
      <c r="AD61" s="366" t="str">
        <f t="shared" si="0"/>
        <v>Met</v>
      </c>
      <c r="AF61" s="399">
        <v>17498.89</v>
      </c>
      <c r="AG61" s="400" t="str">
        <f t="shared" si="21"/>
        <v>Did not Meet</v>
      </c>
      <c r="AI61" s="399">
        <v>128609.15</v>
      </c>
      <c r="AJ61" s="400" t="str">
        <f t="shared" si="22"/>
        <v>Met</v>
      </c>
      <c r="AL61" s="399">
        <f>VLOOKUP(A61,$A$5:$AF$315,32,0)/IFERROR(VLOOKUP(A61,'21-22 child count'!$A$3:$S$317,19,0),0)</f>
        <v>1749.8889999999999</v>
      </c>
      <c r="AM61" s="400" t="str">
        <f t="shared" si="23"/>
        <v>Did not Meet</v>
      </c>
      <c r="AO61" s="399">
        <f>VLOOKUP(A61,'42. SEA or LEA Worksheet'!$A$4:$AB$318,28,0)/IFERROR(VLOOKUP('42. SEA or LEA Worksheet'!A138,'21-22 child count'!$A$3:$S$317,3,0),0)</f>
        <v>1058.1929523809524</v>
      </c>
      <c r="AP61" s="400" t="str">
        <f t="shared" si="24"/>
        <v>Did not Meet</v>
      </c>
      <c r="AR61" s="366" t="str">
        <f t="shared" si="10"/>
        <v>Met</v>
      </c>
      <c r="AU61" s="400" t="str">
        <f t="shared" si="11"/>
        <v>Did not Meet</v>
      </c>
      <c r="AX61" s="400" t="str">
        <f t="shared" si="12"/>
        <v>Did not Meet</v>
      </c>
      <c r="BA61" s="400" t="str">
        <f t="shared" si="13"/>
        <v>Did not Meet</v>
      </c>
      <c r="BD61" s="400" t="str">
        <f t="shared" si="14"/>
        <v>Did not Meet</v>
      </c>
      <c r="BF61" s="366" t="str">
        <f t="shared" si="15"/>
        <v>Met</v>
      </c>
    </row>
    <row r="62" spans="1:58">
      <c r="A62" t="s">
        <v>311</v>
      </c>
      <c r="B62" t="s">
        <v>893</v>
      </c>
      <c r="C62" s="360"/>
      <c r="D62" s="363">
        <v>0</v>
      </c>
      <c r="E62" t="s">
        <v>834</v>
      </c>
      <c r="F62" s="360"/>
      <c r="G62" s="363">
        <v>522873.07</v>
      </c>
      <c r="H62" t="s">
        <v>834</v>
      </c>
      <c r="I62" s="360"/>
      <c r="J62" s="363">
        <v>0</v>
      </c>
      <c r="K62" t="s">
        <v>834</v>
      </c>
      <c r="L62" s="360"/>
      <c r="M62" s="363">
        <v>8571.6896721311477</v>
      </c>
      <c r="N62" t="s">
        <v>855</v>
      </c>
      <c r="O62" s="360"/>
      <c r="P62" s="366" t="str">
        <f t="shared" si="25"/>
        <v>Met</v>
      </c>
      <c r="Q62" s="360"/>
      <c r="R62" s="399">
        <v>0</v>
      </c>
      <c r="S62" s="400" t="str">
        <f t="shared" si="17"/>
        <v>Met</v>
      </c>
      <c r="U62" s="399">
        <v>476915.78</v>
      </c>
      <c r="V62" s="400" t="str">
        <f t="shared" si="18"/>
        <v>Met</v>
      </c>
      <c r="X62" s="399">
        <v>0</v>
      </c>
      <c r="Y62" s="400" t="str">
        <f t="shared" si="19"/>
        <v>Met</v>
      </c>
      <c r="AA62" s="399">
        <v>9935.7454166666666</v>
      </c>
      <c r="AB62" s="400" t="str">
        <f t="shared" si="20"/>
        <v>Did not Meet</v>
      </c>
      <c r="AD62" s="366" t="str">
        <f t="shared" si="0"/>
        <v>Met</v>
      </c>
      <c r="AF62" s="399">
        <v>0</v>
      </c>
      <c r="AG62" s="400" t="str">
        <f t="shared" si="21"/>
        <v>Met</v>
      </c>
      <c r="AI62" s="399">
        <v>487656.1</v>
      </c>
      <c r="AJ62" s="400" t="str">
        <f t="shared" si="22"/>
        <v>Met</v>
      </c>
      <c r="AL62" s="399">
        <f>VLOOKUP(A62,$A$5:$AF$315,32,0)/IFERROR(VLOOKUP(A62,'21-22 child count'!$A$3:$S$317,19,0),0)</f>
        <v>0</v>
      </c>
      <c r="AM62" s="400" t="str">
        <f t="shared" si="23"/>
        <v>Met</v>
      </c>
      <c r="AO62" s="399">
        <f>VLOOKUP(A62,'42. SEA or LEA Worksheet'!$A$4:$AB$318,28,0)/IFERROR(VLOOKUP('42. SEA or LEA Worksheet'!A61,'21-22 child count'!$A$3:$S$317,3,0),0)</f>
        <v>4828.2782178217822</v>
      </c>
      <c r="AP62" s="400" t="str">
        <f t="shared" si="24"/>
        <v>Did not Meet</v>
      </c>
      <c r="AR62" s="366" t="str">
        <f t="shared" si="10"/>
        <v>Met</v>
      </c>
      <c r="AU62" s="400" t="str">
        <f t="shared" si="11"/>
        <v>Met</v>
      </c>
      <c r="AX62" s="400" t="str">
        <f t="shared" si="12"/>
        <v>Did not Meet</v>
      </c>
      <c r="BA62" s="400" t="str">
        <f t="shared" si="13"/>
        <v>Met</v>
      </c>
      <c r="BD62" s="400" t="str">
        <f t="shared" si="14"/>
        <v>Did not Meet</v>
      </c>
      <c r="BF62" s="366" t="str">
        <f t="shared" si="15"/>
        <v>Met</v>
      </c>
    </row>
    <row r="63" spans="1:58">
      <c r="A63" t="s">
        <v>313</v>
      </c>
      <c r="B63" t="s">
        <v>894</v>
      </c>
      <c r="C63" s="360"/>
      <c r="D63" s="363">
        <v>0</v>
      </c>
      <c r="E63" t="s">
        <v>834</v>
      </c>
      <c r="F63" s="360"/>
      <c r="G63" s="363">
        <v>3156127.81</v>
      </c>
      <c r="H63" t="s">
        <v>834</v>
      </c>
      <c r="I63" s="360"/>
      <c r="J63" s="363">
        <v>0</v>
      </c>
      <c r="K63" t="s">
        <v>834</v>
      </c>
      <c r="L63" s="360"/>
      <c r="M63" s="363">
        <v>9832.17386292835</v>
      </c>
      <c r="N63" t="s">
        <v>834</v>
      </c>
      <c r="O63" s="360"/>
      <c r="P63" s="366" t="str">
        <f t="shared" si="25"/>
        <v>Met</v>
      </c>
      <c r="Q63" s="360"/>
      <c r="R63" s="399">
        <v>0</v>
      </c>
      <c r="S63" s="400" t="str">
        <f t="shared" si="17"/>
        <v>Met</v>
      </c>
      <c r="U63" s="399">
        <v>3178772.97</v>
      </c>
      <c r="V63" s="400" t="str">
        <f t="shared" si="18"/>
        <v>Met</v>
      </c>
      <c r="X63" s="399">
        <v>0</v>
      </c>
      <c r="Y63" s="400" t="str">
        <f t="shared" si="19"/>
        <v>Met</v>
      </c>
      <c r="AA63" s="399">
        <v>10188.374903846154</v>
      </c>
      <c r="AB63" s="400" t="str">
        <f t="shared" si="20"/>
        <v>Met</v>
      </c>
      <c r="AD63" s="366" t="str">
        <f t="shared" si="0"/>
        <v>Met</v>
      </c>
      <c r="AF63" s="399">
        <v>0</v>
      </c>
      <c r="AG63" s="400" t="str">
        <f t="shared" si="21"/>
        <v>Met</v>
      </c>
      <c r="AI63" s="399">
        <v>3041796.49</v>
      </c>
      <c r="AJ63" s="400" t="str">
        <f t="shared" si="22"/>
        <v>Did not Meet</v>
      </c>
      <c r="AL63" s="399">
        <f>VLOOKUP(A63,$A$5:$AF$315,32,0)/IFERROR(VLOOKUP(A63,'21-22 child count'!$A$3:$S$317,19,0),0)</f>
        <v>0</v>
      </c>
      <c r="AM63" s="400" t="str">
        <f t="shared" si="23"/>
        <v>Met</v>
      </c>
      <c r="AO63" s="399">
        <f>VLOOKUP(A63,'42. SEA or LEA Worksheet'!$A$4:$AB$318,28,0)/IFERROR(VLOOKUP('42. SEA or LEA Worksheet'!A62,'21-22 child count'!$A$3:$S$317,3,0),0)</f>
        <v>24730.052764227643</v>
      </c>
      <c r="AP63" s="400" t="str">
        <f t="shared" si="24"/>
        <v>Met</v>
      </c>
      <c r="AR63" s="366" t="str">
        <f t="shared" si="10"/>
        <v>Met</v>
      </c>
      <c r="AU63" s="400" t="str">
        <f t="shared" si="11"/>
        <v>Met</v>
      </c>
      <c r="AX63" s="400" t="str">
        <f t="shared" si="12"/>
        <v>Did not Meet</v>
      </c>
      <c r="BA63" s="400" t="str">
        <f t="shared" si="13"/>
        <v>Met</v>
      </c>
      <c r="BD63" s="400" t="str">
        <f t="shared" si="14"/>
        <v>Did not Meet</v>
      </c>
      <c r="BF63" s="366" t="str">
        <f t="shared" si="15"/>
        <v>Met</v>
      </c>
    </row>
    <row r="64" spans="1:58">
      <c r="A64" t="s">
        <v>467</v>
      </c>
      <c r="B64" t="s">
        <v>962</v>
      </c>
      <c r="C64" s="360"/>
      <c r="D64" s="363">
        <v>0</v>
      </c>
      <c r="E64" t="s">
        <v>855</v>
      </c>
      <c r="F64" s="360"/>
      <c r="G64" s="363">
        <v>2287396.6</v>
      </c>
      <c r="H64" t="s">
        <v>834</v>
      </c>
      <c r="I64" s="360"/>
      <c r="J64" s="363">
        <v>0</v>
      </c>
      <c r="K64" t="s">
        <v>855</v>
      </c>
      <c r="L64" s="360"/>
      <c r="M64" s="363">
        <v>8257.749458483755</v>
      </c>
      <c r="N64" t="s">
        <v>834</v>
      </c>
      <c r="O64" s="360"/>
      <c r="P64" s="366" t="str">
        <f t="shared" si="25"/>
        <v>Met</v>
      </c>
      <c r="Q64" s="360"/>
      <c r="R64" s="399">
        <v>0</v>
      </c>
      <c r="S64" s="400" t="str">
        <f t="shared" si="17"/>
        <v>Did not Meet</v>
      </c>
      <c r="U64" s="399">
        <v>2774889.7</v>
      </c>
      <c r="V64" s="400" t="str">
        <f t="shared" si="18"/>
        <v>Met</v>
      </c>
      <c r="X64" s="399">
        <v>0</v>
      </c>
      <c r="Y64" s="400" t="str">
        <f t="shared" si="19"/>
        <v>Did not Meet</v>
      </c>
      <c r="AA64" s="399">
        <v>8951.257096774194</v>
      </c>
      <c r="AB64" s="400" t="str">
        <f t="shared" si="20"/>
        <v>Met</v>
      </c>
      <c r="AD64" s="366" t="str">
        <f t="shared" si="0"/>
        <v>Met</v>
      </c>
      <c r="AF64" s="399">
        <v>0</v>
      </c>
      <c r="AG64" s="400" t="str">
        <f t="shared" si="21"/>
        <v>Did not Meet</v>
      </c>
      <c r="AI64" s="399">
        <v>1707691.13</v>
      </c>
      <c r="AJ64" s="400" t="str">
        <f t="shared" si="22"/>
        <v>Did not Meet</v>
      </c>
      <c r="AL64" s="399">
        <f>VLOOKUP(A64,$A$5:$AF$315,32,0)/IFERROR(VLOOKUP(A64,'21-22 child count'!$A$3:$S$317,19,0),0)</f>
        <v>0</v>
      </c>
      <c r="AM64" s="400" t="str">
        <f t="shared" si="23"/>
        <v>Did not Meet</v>
      </c>
      <c r="AO64" s="399">
        <f>VLOOKUP(A64,'42. SEA or LEA Worksheet'!$A$4:$AB$318,28,0)/IFERROR(VLOOKUP('42. SEA or LEA Worksheet'!A140,'21-22 child count'!$A$3:$S$317,3,0),0)</f>
        <v>9986.4978362573092</v>
      </c>
      <c r="AP64" s="400" t="str">
        <f t="shared" si="24"/>
        <v>Met</v>
      </c>
      <c r="AR64" s="366" t="str">
        <f t="shared" si="10"/>
        <v>Met</v>
      </c>
      <c r="AU64" s="400" t="str">
        <f t="shared" si="11"/>
        <v>Did not Meet</v>
      </c>
      <c r="AX64" s="400" t="str">
        <f t="shared" si="12"/>
        <v>Did not Meet</v>
      </c>
      <c r="BA64" s="400" t="str">
        <f t="shared" si="13"/>
        <v>Did not Meet</v>
      </c>
      <c r="BD64" s="400" t="str">
        <f t="shared" si="14"/>
        <v>Did not Meet</v>
      </c>
      <c r="BF64" s="366" t="str">
        <f t="shared" si="15"/>
        <v>Met</v>
      </c>
    </row>
    <row r="65" spans="1:58">
      <c r="A65" t="s">
        <v>317</v>
      </c>
      <c r="B65" t="s">
        <v>896</v>
      </c>
      <c r="C65" s="360"/>
      <c r="D65" s="363">
        <v>0</v>
      </c>
      <c r="E65" t="s">
        <v>834</v>
      </c>
      <c r="F65" s="360"/>
      <c r="G65" s="363">
        <v>29097.69</v>
      </c>
      <c r="H65" t="s">
        <v>855</v>
      </c>
      <c r="I65" s="360"/>
      <c r="J65" s="363">
        <v>0</v>
      </c>
      <c r="K65" t="s">
        <v>834</v>
      </c>
      <c r="L65" s="360"/>
      <c r="M65" s="363">
        <v>7274.4224999999997</v>
      </c>
      <c r="N65" t="s">
        <v>855</v>
      </c>
      <c r="O65" s="360"/>
      <c r="P65" s="366" t="str">
        <f t="shared" si="25"/>
        <v>Met</v>
      </c>
      <c r="Q65" s="360"/>
      <c r="R65" s="399">
        <v>0</v>
      </c>
      <c r="S65" s="400" t="str">
        <f t="shared" si="17"/>
        <v>Met</v>
      </c>
      <c r="U65" s="399">
        <v>24330.35</v>
      </c>
      <c r="V65" s="400" t="str">
        <f t="shared" si="18"/>
        <v>Did not Meet</v>
      </c>
      <c r="X65" s="399">
        <v>0</v>
      </c>
      <c r="Y65" s="400" t="str">
        <f t="shared" si="19"/>
        <v>Met</v>
      </c>
      <c r="AA65" s="399">
        <v>6082.5874999999996</v>
      </c>
      <c r="AB65" s="400" t="str">
        <f t="shared" si="20"/>
        <v>Did not Meet</v>
      </c>
      <c r="AD65" s="366" t="str">
        <f t="shared" si="0"/>
        <v>Met</v>
      </c>
      <c r="AF65" s="399">
        <v>0</v>
      </c>
      <c r="AG65" s="400" t="str">
        <f t="shared" si="21"/>
        <v>Met</v>
      </c>
      <c r="AI65" s="399">
        <v>18932.63</v>
      </c>
      <c r="AJ65" s="400" t="str">
        <f t="shared" si="22"/>
        <v>Did not Meet</v>
      </c>
      <c r="AL65" s="399">
        <f>VLOOKUP(A65,$A$5:$AF$315,32,0)/IFERROR(VLOOKUP(A65,'21-22 child count'!$A$3:$S$317,19,0),0)</f>
        <v>0</v>
      </c>
      <c r="AM65" s="400" t="str">
        <f t="shared" si="23"/>
        <v>Met</v>
      </c>
      <c r="AO65" s="399">
        <f>VLOOKUP(A65,'42. SEA or LEA Worksheet'!$A$4:$AB$318,28,0)/IFERROR(VLOOKUP('42. SEA or LEA Worksheet'!A64,'21-22 child count'!$A$3:$S$317,3,0),0)</f>
        <v>156.46801652892563</v>
      </c>
      <c r="AP65" s="400" t="str">
        <f t="shared" si="24"/>
        <v>Did not Meet</v>
      </c>
      <c r="AR65" s="366" t="str">
        <f t="shared" si="10"/>
        <v>Met</v>
      </c>
      <c r="AU65" s="400" t="str">
        <f t="shared" si="11"/>
        <v>Met</v>
      </c>
      <c r="AX65" s="400" t="str">
        <f t="shared" si="12"/>
        <v>Did not Meet</v>
      </c>
      <c r="BA65" s="400" t="str">
        <f t="shared" si="13"/>
        <v>Met</v>
      </c>
      <c r="BD65" s="400" t="str">
        <f t="shared" si="14"/>
        <v>Did not Meet</v>
      </c>
      <c r="BF65" s="366" t="str">
        <f t="shared" si="15"/>
        <v>Met</v>
      </c>
    </row>
    <row r="66" spans="1:58">
      <c r="A66" t="s">
        <v>471</v>
      </c>
      <c r="B66" t="s">
        <v>964</v>
      </c>
      <c r="C66" s="360"/>
      <c r="D66" s="363">
        <v>0</v>
      </c>
      <c r="E66" t="s">
        <v>855</v>
      </c>
      <c r="F66" s="360"/>
      <c r="G66" s="363">
        <v>22504973.34</v>
      </c>
      <c r="H66" t="s">
        <v>834</v>
      </c>
      <c r="I66" s="360"/>
      <c r="J66" s="363">
        <v>0</v>
      </c>
      <c r="K66" t="s">
        <v>855</v>
      </c>
      <c r="L66" s="360"/>
      <c r="M66" s="363">
        <v>12671.719222972974</v>
      </c>
      <c r="N66" t="s">
        <v>834</v>
      </c>
      <c r="O66" s="360"/>
      <c r="P66" s="366" t="str">
        <f t="shared" si="25"/>
        <v>Met</v>
      </c>
      <c r="Q66" s="360"/>
      <c r="R66" s="399">
        <v>0</v>
      </c>
      <c r="S66" s="400" t="str">
        <f t="shared" si="17"/>
        <v>Did not Meet</v>
      </c>
      <c r="U66" s="399">
        <v>24185096.239999998</v>
      </c>
      <c r="V66" s="400" t="str">
        <f t="shared" si="18"/>
        <v>Met</v>
      </c>
      <c r="X66" s="399">
        <v>0</v>
      </c>
      <c r="Y66" s="400" t="str">
        <f t="shared" si="19"/>
        <v>Did not Meet</v>
      </c>
      <c r="AA66" s="399">
        <v>14126.808551401868</v>
      </c>
      <c r="AB66" s="400" t="str">
        <f t="shared" si="20"/>
        <v>Met</v>
      </c>
      <c r="AD66" s="366" t="str">
        <f t="shared" si="0"/>
        <v>Met</v>
      </c>
      <c r="AF66" s="399">
        <v>0</v>
      </c>
      <c r="AG66" s="400" t="str">
        <f t="shared" si="21"/>
        <v>Did not Meet</v>
      </c>
      <c r="AI66" s="399">
        <v>25728607.879999999</v>
      </c>
      <c r="AJ66" s="400" t="str">
        <f t="shared" si="22"/>
        <v>Met</v>
      </c>
      <c r="AL66" s="399">
        <f>VLOOKUP(A66,$A$5:$AF$315,32,0)/IFERROR(VLOOKUP(A66,'21-22 child count'!$A$3:$S$317,19,0),0)</f>
        <v>0</v>
      </c>
      <c r="AM66" s="400" t="str">
        <f t="shared" si="23"/>
        <v>Did not Meet</v>
      </c>
      <c r="AO66" s="399">
        <f>VLOOKUP(A66,'42. SEA or LEA Worksheet'!$A$4:$AB$318,28,0)/IFERROR(VLOOKUP('42. SEA or LEA Worksheet'!A142,'21-22 child count'!$A$3:$S$317,3,0),0)</f>
        <v>253253.93366336633</v>
      </c>
      <c r="AP66" s="400" t="str">
        <f t="shared" si="24"/>
        <v>Met</v>
      </c>
      <c r="AR66" s="366" t="str">
        <f t="shared" si="10"/>
        <v>Met</v>
      </c>
      <c r="AU66" s="400" t="str">
        <f t="shared" si="11"/>
        <v>Did not Meet</v>
      </c>
      <c r="AX66" s="400" t="str">
        <f t="shared" si="12"/>
        <v>Did not Meet</v>
      </c>
      <c r="BA66" s="400" t="str">
        <f t="shared" si="13"/>
        <v>Did not Meet</v>
      </c>
      <c r="BD66" s="400" t="str">
        <f t="shared" si="14"/>
        <v>Did not Meet</v>
      </c>
      <c r="BF66" s="366" t="str">
        <f t="shared" si="15"/>
        <v>Met</v>
      </c>
    </row>
    <row r="67" spans="1:58">
      <c r="A67" t="s">
        <v>321</v>
      </c>
      <c r="B67" t="s">
        <v>898</v>
      </c>
      <c r="C67" s="360"/>
      <c r="D67" s="363">
        <v>320000</v>
      </c>
      <c r="E67" t="s">
        <v>834</v>
      </c>
      <c r="F67" s="360"/>
      <c r="G67" s="363">
        <v>4388098.4700000007</v>
      </c>
      <c r="H67" t="s">
        <v>834</v>
      </c>
      <c r="I67" s="360"/>
      <c r="J67" s="363">
        <v>774.81840193704602</v>
      </c>
      <c r="K67" t="s">
        <v>834</v>
      </c>
      <c r="L67" s="360"/>
      <c r="M67" s="363">
        <v>10624.935762711866</v>
      </c>
      <c r="N67" t="s">
        <v>834</v>
      </c>
      <c r="O67" s="360"/>
      <c r="P67" s="366" t="str">
        <f t="shared" si="25"/>
        <v>Met</v>
      </c>
      <c r="Q67" s="360"/>
      <c r="R67" s="399">
        <v>355000</v>
      </c>
      <c r="S67" s="400" t="str">
        <f t="shared" si="17"/>
        <v>Met</v>
      </c>
      <c r="U67" s="399">
        <v>4690544.2</v>
      </c>
      <c r="V67" s="400" t="str">
        <f t="shared" si="18"/>
        <v>Met</v>
      </c>
      <c r="X67" s="399">
        <v>849.28229665071774</v>
      </c>
      <c r="Y67" s="400" t="str">
        <f t="shared" si="19"/>
        <v>Met</v>
      </c>
      <c r="AA67" s="399">
        <v>11221.397607655503</v>
      </c>
      <c r="AB67" s="400" t="str">
        <f t="shared" si="20"/>
        <v>Met</v>
      </c>
      <c r="AD67" s="366" t="str">
        <f t="shared" si="0"/>
        <v>Met</v>
      </c>
      <c r="AF67" s="399">
        <v>440000</v>
      </c>
      <c r="AG67" s="400" t="str">
        <f t="shared" si="21"/>
        <v>Met</v>
      </c>
      <c r="AI67" s="399">
        <v>5360804.91</v>
      </c>
      <c r="AJ67" s="400" t="str">
        <f t="shared" si="22"/>
        <v>Met</v>
      </c>
      <c r="AL67" s="399">
        <f>VLOOKUP(A67,$A$5:$AF$315,32,0)/IFERROR(VLOOKUP(A67,'21-22 child count'!$A$3:$S$317,19,0),0)</f>
        <v>1073.1707317073171</v>
      </c>
      <c r="AM67" s="400" t="str">
        <f t="shared" si="23"/>
        <v>Met</v>
      </c>
      <c r="AO67" s="399">
        <f>VLOOKUP(A67,'42. SEA or LEA Worksheet'!$A$4:$AB$318,28,0)/IFERROR(VLOOKUP('42. SEA or LEA Worksheet'!A66,'21-22 child count'!$A$3:$S$317,3,0),0)</f>
        <v>46864.808666666671</v>
      </c>
      <c r="AP67" s="400" t="str">
        <f t="shared" si="24"/>
        <v>Met</v>
      </c>
      <c r="AR67" s="366" t="str">
        <f t="shared" si="10"/>
        <v>Met</v>
      </c>
      <c r="AU67" s="400" t="str">
        <f t="shared" si="11"/>
        <v>Did not Meet</v>
      </c>
      <c r="AX67" s="400" t="str">
        <f t="shared" si="12"/>
        <v>Did not Meet</v>
      </c>
      <c r="BA67" s="400" t="str">
        <f t="shared" si="13"/>
        <v>Did not Meet</v>
      </c>
      <c r="BD67" s="400" t="str">
        <f t="shared" si="14"/>
        <v>Did not Meet</v>
      </c>
      <c r="BF67" s="366" t="str">
        <f t="shared" si="15"/>
        <v>Met</v>
      </c>
    </row>
    <row r="68" spans="1:58">
      <c r="A68" t="s">
        <v>473</v>
      </c>
      <c r="B68" t="s">
        <v>965</v>
      </c>
      <c r="C68" s="360"/>
      <c r="D68" s="363">
        <v>0</v>
      </c>
      <c r="E68" t="s">
        <v>855</v>
      </c>
      <c r="F68" s="360"/>
      <c r="G68" s="363">
        <v>675594.49</v>
      </c>
      <c r="H68" t="s">
        <v>834</v>
      </c>
      <c r="I68" s="360"/>
      <c r="J68" s="363">
        <v>0</v>
      </c>
      <c r="K68" t="s">
        <v>855</v>
      </c>
      <c r="L68" s="360"/>
      <c r="M68" s="363">
        <v>9129.6552702702702</v>
      </c>
      <c r="N68" t="s">
        <v>855</v>
      </c>
      <c r="O68" s="360"/>
      <c r="P68" s="366" t="str">
        <f t="shared" si="25"/>
        <v>Met</v>
      </c>
      <c r="Q68" s="360"/>
      <c r="R68" s="399">
        <v>0</v>
      </c>
      <c r="S68" s="400" t="str">
        <f t="shared" si="17"/>
        <v>Did not Meet</v>
      </c>
      <c r="U68" s="399">
        <v>654811.34</v>
      </c>
      <c r="V68" s="400" t="str">
        <f t="shared" si="18"/>
        <v>Met</v>
      </c>
      <c r="X68" s="399">
        <v>0</v>
      </c>
      <c r="Y68" s="400" t="str">
        <f t="shared" si="19"/>
        <v>Did not Meet</v>
      </c>
      <c r="AA68" s="399">
        <v>9222.6949295774648</v>
      </c>
      <c r="AB68" s="400" t="str">
        <f t="shared" si="20"/>
        <v>Did not Meet</v>
      </c>
      <c r="AD68" s="366" t="str">
        <f t="shared" si="0"/>
        <v>Met</v>
      </c>
      <c r="AF68" s="399">
        <v>0</v>
      </c>
      <c r="AG68" s="400" t="str">
        <f t="shared" si="21"/>
        <v>Did not Meet</v>
      </c>
      <c r="AI68" s="399">
        <v>737918.47</v>
      </c>
      <c r="AJ68" s="400" t="str">
        <f t="shared" si="22"/>
        <v>Met</v>
      </c>
      <c r="AL68" s="399">
        <f>VLOOKUP(A68,$A$5:$AF$315,32,0)/IFERROR(VLOOKUP(A68,'21-22 child count'!$A$3:$S$317,19,0),0)</f>
        <v>0</v>
      </c>
      <c r="AM68" s="400" t="str">
        <f t="shared" si="23"/>
        <v>Did not Meet</v>
      </c>
      <c r="AO68" s="399">
        <f>VLOOKUP(A68,'42. SEA or LEA Worksheet'!$A$4:$AB$318,28,0)/IFERROR(VLOOKUP('42. SEA or LEA Worksheet'!A143,'21-22 child count'!$A$3:$S$317,3,0),0)</f>
        <v>3904.330529100529</v>
      </c>
      <c r="AP68" s="400" t="str">
        <f t="shared" si="24"/>
        <v>Did not Meet</v>
      </c>
      <c r="AR68" s="366" t="str">
        <f t="shared" si="10"/>
        <v>Met</v>
      </c>
      <c r="AU68" s="400" t="str">
        <f t="shared" si="11"/>
        <v>Did not Meet</v>
      </c>
      <c r="AX68" s="400" t="str">
        <f t="shared" si="12"/>
        <v>Did not Meet</v>
      </c>
      <c r="BA68" s="400" t="str">
        <f t="shared" si="13"/>
        <v>Did not Meet</v>
      </c>
      <c r="BD68" s="400" t="str">
        <f t="shared" si="14"/>
        <v>Did not Meet</v>
      </c>
      <c r="BF68" s="366" t="str">
        <f t="shared" si="15"/>
        <v>Met</v>
      </c>
    </row>
    <row r="69" spans="1:58">
      <c r="A69" t="s">
        <v>477</v>
      </c>
      <c r="B69" t="s">
        <v>967</v>
      </c>
      <c r="C69" s="360"/>
      <c r="D69" s="363">
        <v>0</v>
      </c>
      <c r="E69" t="s">
        <v>855</v>
      </c>
      <c r="F69" s="360"/>
      <c r="G69" s="363">
        <v>2550131.86</v>
      </c>
      <c r="H69" t="s">
        <v>834</v>
      </c>
      <c r="I69" s="360"/>
      <c r="J69" s="363">
        <v>0</v>
      </c>
      <c r="K69" t="s">
        <v>855</v>
      </c>
      <c r="L69" s="360"/>
      <c r="M69" s="363">
        <v>10944.771931330471</v>
      </c>
      <c r="N69" t="s">
        <v>834</v>
      </c>
      <c r="O69" s="360"/>
      <c r="P69" s="366" t="str">
        <f t="shared" si="25"/>
        <v>Met</v>
      </c>
      <c r="Q69" s="360"/>
      <c r="R69" s="399">
        <v>0</v>
      </c>
      <c r="S69" s="400" t="str">
        <f t="shared" si="17"/>
        <v>Did not Meet</v>
      </c>
      <c r="U69" s="399">
        <v>2546085.09</v>
      </c>
      <c r="V69" s="400" t="str">
        <f t="shared" si="18"/>
        <v>Met</v>
      </c>
      <c r="X69" s="399">
        <v>0</v>
      </c>
      <c r="Y69" s="400" t="str">
        <f t="shared" si="19"/>
        <v>Did not Meet</v>
      </c>
      <c r="AA69" s="399">
        <v>11679.289403669723</v>
      </c>
      <c r="AB69" s="400" t="str">
        <f t="shared" si="20"/>
        <v>Met</v>
      </c>
      <c r="AD69" s="366" t="str">
        <f t="shared" ref="AD69:AD132" si="26">IF(AND(P69="Did not Meet",S69="Did not Meet",V69="Did not Meet", Y69="Did not Meet",AB69="Did not Meet",),"Did not Meet","Met")</f>
        <v>Met</v>
      </c>
      <c r="AF69" s="399">
        <v>0</v>
      </c>
      <c r="AG69" s="400" t="str">
        <f t="shared" si="21"/>
        <v>Did not Meet</v>
      </c>
      <c r="AI69" s="399">
        <v>2672310.7200000002</v>
      </c>
      <c r="AJ69" s="400" t="str">
        <f t="shared" si="22"/>
        <v>Met</v>
      </c>
      <c r="AL69" s="399">
        <f>VLOOKUP(A69,$A$5:$AF$315,32,0)/IFERROR(VLOOKUP(A69,'21-22 child count'!$A$3:$S$317,19,0),0)</f>
        <v>0</v>
      </c>
      <c r="AM69" s="400" t="str">
        <f t="shared" si="23"/>
        <v>Did not Meet</v>
      </c>
      <c r="AO69" s="399">
        <f>VLOOKUP(A69,'42. SEA or LEA Worksheet'!$A$4:$AB$318,28,0)/IFERROR(VLOOKUP('42. SEA or LEA Worksheet'!A145,'21-22 child count'!$A$3:$S$317,3,0),0)</f>
        <v>26303.683366336634</v>
      </c>
      <c r="AP69" s="400" t="str">
        <f t="shared" si="24"/>
        <v>Met</v>
      </c>
      <c r="AR69" s="366" t="str">
        <f t="shared" si="10"/>
        <v>Met</v>
      </c>
      <c r="AU69" s="400" t="str">
        <f t="shared" si="11"/>
        <v>Did not Meet</v>
      </c>
      <c r="AX69" s="400" t="str">
        <f t="shared" si="12"/>
        <v>Did not Meet</v>
      </c>
      <c r="BA69" s="400" t="str">
        <f t="shared" si="13"/>
        <v>Did not Meet</v>
      </c>
      <c r="BD69" s="400" t="str">
        <f t="shared" si="14"/>
        <v>Did not Meet</v>
      </c>
      <c r="BF69" s="366" t="str">
        <f t="shared" si="15"/>
        <v>Met</v>
      </c>
    </row>
    <row r="70" spans="1:58">
      <c r="A70" t="s">
        <v>483</v>
      </c>
      <c r="B70" t="s">
        <v>970</v>
      </c>
      <c r="C70" s="360"/>
      <c r="D70" s="363">
        <v>0</v>
      </c>
      <c r="E70" t="s">
        <v>855</v>
      </c>
      <c r="F70" s="360"/>
      <c r="G70" s="363">
        <v>747286.38</v>
      </c>
      <c r="H70" t="s">
        <v>834</v>
      </c>
      <c r="I70" s="360"/>
      <c r="J70" s="363">
        <v>0</v>
      </c>
      <c r="K70" t="s">
        <v>855</v>
      </c>
      <c r="L70" s="360"/>
      <c r="M70" s="363">
        <v>9225.7577777777769</v>
      </c>
      <c r="N70" t="s">
        <v>834</v>
      </c>
      <c r="O70" s="360"/>
      <c r="P70" s="366" t="str">
        <f t="shared" si="25"/>
        <v>Met</v>
      </c>
      <c r="Q70" s="360"/>
      <c r="R70" s="399">
        <v>0</v>
      </c>
      <c r="S70" s="400" t="str">
        <f t="shared" si="17"/>
        <v>Did not Meet</v>
      </c>
      <c r="U70" s="399">
        <v>810324.99</v>
      </c>
      <c r="V70" s="400" t="str">
        <f t="shared" si="18"/>
        <v>Met</v>
      </c>
      <c r="X70" s="399">
        <v>0</v>
      </c>
      <c r="Y70" s="400" t="str">
        <f t="shared" si="19"/>
        <v>Did not Meet</v>
      </c>
      <c r="AA70" s="399">
        <v>9646.7260714285712</v>
      </c>
      <c r="AB70" s="400" t="str">
        <f t="shared" si="20"/>
        <v>Met</v>
      </c>
      <c r="AD70" s="366" t="str">
        <f t="shared" si="26"/>
        <v>Met</v>
      </c>
      <c r="AF70" s="399">
        <v>0</v>
      </c>
      <c r="AG70" s="400" t="str">
        <f t="shared" si="21"/>
        <v>Did not Meet</v>
      </c>
      <c r="AI70" s="399">
        <v>790090.73</v>
      </c>
      <c r="AJ70" s="400" t="str">
        <f t="shared" si="22"/>
        <v>Did not Meet</v>
      </c>
      <c r="AL70" s="399">
        <f>VLOOKUP(A70,$A$5:$AF$315,32,0)/IFERROR(VLOOKUP(A70,'21-22 child count'!$A$3:$S$317,19,0),0)</f>
        <v>0</v>
      </c>
      <c r="AM70" s="400" t="str">
        <f t="shared" si="23"/>
        <v>Did not Meet</v>
      </c>
      <c r="AO70" s="399">
        <f>VLOOKUP(A70,'42. SEA or LEA Worksheet'!$A$4:$AB$318,28,0)/IFERROR(VLOOKUP('42. SEA or LEA Worksheet'!A148,'21-22 child count'!$A$3:$S$317,3,0),0)</f>
        <v>4180.3742328042326</v>
      </c>
      <c r="AP70" s="400" t="str">
        <f t="shared" si="24"/>
        <v>Did not Meet</v>
      </c>
      <c r="AR70" s="366" t="str">
        <f t="shared" ref="AR70:AR133" si="27">IF(AND(AD70="Did not Meet",AG70="Did not Meet",AJ70="Did not Meet", AM70="Did not Meet",AP70="Did not Meet",),"Did not Meet","Met")</f>
        <v>Met</v>
      </c>
      <c r="AU70" s="400" t="str">
        <f t="shared" si="11"/>
        <v>Did not Meet</v>
      </c>
      <c r="AX70" s="400" t="str">
        <f t="shared" si="12"/>
        <v>Did not Meet</v>
      </c>
      <c r="BA70" s="400" t="str">
        <f t="shared" si="13"/>
        <v>Did not Meet</v>
      </c>
      <c r="BD70" s="400" t="str">
        <f t="shared" si="14"/>
        <v>Did not Meet</v>
      </c>
      <c r="BF70" s="366" t="str">
        <f t="shared" ref="BF70:BF133" si="28">IF(AND(AR70="Did not Meet",AU70="Did not Meet",AX70="Did not Meet", BA70="Did not Meet",BD70="Did not Meet",),"Did not Meet","Met")</f>
        <v>Met</v>
      </c>
    </row>
    <row r="71" spans="1:58">
      <c r="A71" t="s">
        <v>489</v>
      </c>
      <c r="B71" t="s">
        <v>973</v>
      </c>
      <c r="C71" s="360"/>
      <c r="D71" s="363">
        <v>0</v>
      </c>
      <c r="E71" t="s">
        <v>855</v>
      </c>
      <c r="F71" s="360"/>
      <c r="G71" s="363">
        <v>2368312.31</v>
      </c>
      <c r="H71" t="s">
        <v>834</v>
      </c>
      <c r="I71" s="360"/>
      <c r="J71" s="363">
        <v>0</v>
      </c>
      <c r="K71" t="s">
        <v>855</v>
      </c>
      <c r="L71" s="360"/>
      <c r="M71" s="363">
        <v>10525.832488888889</v>
      </c>
      <c r="N71" t="s">
        <v>834</v>
      </c>
      <c r="O71" s="360"/>
      <c r="P71" s="366" t="str">
        <f t="shared" si="25"/>
        <v>Met</v>
      </c>
      <c r="Q71" s="360"/>
      <c r="R71" s="399">
        <v>0</v>
      </c>
      <c r="S71" s="400" t="str">
        <f t="shared" si="17"/>
        <v>Did not Meet</v>
      </c>
      <c r="U71" s="399">
        <v>2214285.75</v>
      </c>
      <c r="V71" s="400" t="str">
        <f t="shared" si="18"/>
        <v>Met</v>
      </c>
      <c r="X71" s="399">
        <v>0</v>
      </c>
      <c r="Y71" s="400" t="str">
        <f t="shared" si="19"/>
        <v>Did not Meet</v>
      </c>
      <c r="AA71" s="399">
        <v>10494.245260663507</v>
      </c>
      <c r="AB71" s="400" t="str">
        <f t="shared" si="20"/>
        <v>Did not Meet</v>
      </c>
      <c r="AD71" s="366" t="str">
        <f t="shared" si="26"/>
        <v>Met</v>
      </c>
      <c r="AF71" s="399">
        <v>0</v>
      </c>
      <c r="AG71" s="400" t="str">
        <f t="shared" si="21"/>
        <v>Did not Meet</v>
      </c>
      <c r="AI71" s="399">
        <v>2670490.0499999998</v>
      </c>
      <c r="AJ71" s="400" t="str">
        <f t="shared" si="22"/>
        <v>Met</v>
      </c>
      <c r="AL71" s="399">
        <f>VLOOKUP(A71,$A$5:$AF$315,32,0)/IFERROR(VLOOKUP(A71,'21-22 child count'!$A$3:$S$317,19,0),0)</f>
        <v>0</v>
      </c>
      <c r="AM71" s="400" t="str">
        <f t="shared" si="23"/>
        <v>Did not Meet</v>
      </c>
      <c r="AO71" s="399">
        <f>VLOOKUP(A71,'42. SEA or LEA Worksheet'!$A$4:$AB$318,28,0)/IFERROR(VLOOKUP('42. SEA or LEA Worksheet'!A151,'21-22 child count'!$A$3:$S$317,3,0),0)</f>
        <v>13912.214867724868</v>
      </c>
      <c r="AP71" s="400" t="str">
        <f t="shared" si="24"/>
        <v>Did not Meet</v>
      </c>
      <c r="AR71" s="366" t="str">
        <f t="shared" si="27"/>
        <v>Met</v>
      </c>
      <c r="AU71" s="400" t="str">
        <f t="shared" ref="AU71:AU137" si="29">IF(AND(AG71="Met",AT71&gt;=AF71),"Met","Did not Meet")</f>
        <v>Did not Meet</v>
      </c>
      <c r="AX71" s="400" t="str">
        <f t="shared" ref="AX71:AX137" si="30">IF(AND(AJ71="Met",AW71&gt;=AI71),"Met","Did not Meet")</f>
        <v>Did not Meet</v>
      </c>
      <c r="BA71" s="400" t="str">
        <f t="shared" ref="BA71:BA137" si="31">IF(AND(AM71="Met",AZ71&gt;=AL71),"Met","Did not Meet")</f>
        <v>Did not Meet</v>
      </c>
      <c r="BD71" s="400" t="str">
        <f t="shared" ref="BD71:BD137" si="32">IF(AND(AP71="Met",BC71&gt;=AO71),"Met","Did not Meet")</f>
        <v>Did not Meet</v>
      </c>
      <c r="BF71" s="366" t="str">
        <f t="shared" si="28"/>
        <v>Met</v>
      </c>
    </row>
    <row r="72" spans="1:58">
      <c r="A72" t="s">
        <v>509</v>
      </c>
      <c r="B72" t="s">
        <v>983</v>
      </c>
      <c r="C72" s="360"/>
      <c r="D72" s="363">
        <v>0</v>
      </c>
      <c r="E72" t="s">
        <v>855</v>
      </c>
      <c r="F72" s="360"/>
      <c r="G72" s="363">
        <v>1251895.53</v>
      </c>
      <c r="H72" t="s">
        <v>879</v>
      </c>
      <c r="I72" s="360"/>
      <c r="J72" s="363">
        <v>0</v>
      </c>
      <c r="K72" t="s">
        <v>855</v>
      </c>
      <c r="L72" s="360"/>
      <c r="M72" s="363">
        <v>12518.9553</v>
      </c>
      <c r="N72" t="s">
        <v>834</v>
      </c>
      <c r="O72" s="360"/>
      <c r="P72" s="366" t="str">
        <f t="shared" si="25"/>
        <v>Met</v>
      </c>
      <c r="Q72" s="360"/>
      <c r="R72" s="399">
        <v>0</v>
      </c>
      <c r="S72" s="400" t="str">
        <f t="shared" ref="S72:S135" si="33">IF(AND(E72="Met",R72&gt;=D72),"Met","Did not Meet")</f>
        <v>Did not Meet</v>
      </c>
      <c r="U72" s="399">
        <v>1281510.48</v>
      </c>
      <c r="V72" s="400" t="str">
        <f t="shared" ref="V72:V135" si="34">IF(AND(H72="Met",U72&gt;=M72),"Met","Did not Meet")</f>
        <v>Did not Meet</v>
      </c>
      <c r="X72" s="399">
        <v>0</v>
      </c>
      <c r="Y72" s="400" t="str">
        <f t="shared" ref="Y72:Y135" si="35">IF(AND(K72="Met",X72&gt;=J72),"Met","Did not Meet")</f>
        <v>Did not Meet</v>
      </c>
      <c r="AA72" s="399">
        <v>14562.619090909091</v>
      </c>
      <c r="AB72" s="400" t="str">
        <f t="shared" ref="AB72:AB135" si="36">IF(AND(N72="Met",AA72&gt;=M72),"Met","Did not Meet")</f>
        <v>Met</v>
      </c>
      <c r="AD72" s="366" t="str">
        <f t="shared" si="26"/>
        <v>Met</v>
      </c>
      <c r="AF72" s="399">
        <v>0</v>
      </c>
      <c r="AG72" s="400" t="str">
        <f t="shared" ref="AG72:AG135" si="37">IF(AND(S72="Met",AF72&gt;=R72),"Met","Did not Meet")</f>
        <v>Did not Meet</v>
      </c>
      <c r="AI72" s="399">
        <v>1348860.54</v>
      </c>
      <c r="AJ72" s="400" t="str">
        <f t="shared" ref="AJ72:AJ135" si="38">IF(AND(V72="Met",AI72&gt;=U72),"Met","Did not Meet")</f>
        <v>Did not Meet</v>
      </c>
      <c r="AL72" s="399">
        <f>VLOOKUP(A72,$A$5:$AF$315,32,0)/IFERROR(VLOOKUP(A72,'21-22 child count'!$A$3:$S$317,19,0),0)</f>
        <v>0</v>
      </c>
      <c r="AM72" s="400" t="str">
        <f t="shared" ref="AM72:AM135" si="39">IF(AND(Y72="Met",AL72&gt;=X72),"Met","Did not Meet")</f>
        <v>Did not Meet</v>
      </c>
      <c r="AO72" s="399">
        <f>VLOOKUP(A72,'42. SEA or LEA Worksheet'!$A$4:$AB$318,28,0)/IFERROR(VLOOKUP('42. SEA or LEA Worksheet'!A161,'21-22 child count'!$A$3:$S$317,3,0),0)</f>
        <v>12800.929999999998</v>
      </c>
      <c r="AP72" s="400" t="str">
        <f t="shared" ref="AP72:AP135" si="40">IF(AND(AB72="Met",AO72&gt;=AA72),"Met","Did not Meet")</f>
        <v>Did not Meet</v>
      </c>
      <c r="AR72" s="366" t="str">
        <f t="shared" si="27"/>
        <v>Met</v>
      </c>
      <c r="AU72" s="400" t="str">
        <f t="shared" si="29"/>
        <v>Did not Meet</v>
      </c>
      <c r="AX72" s="400" t="str">
        <f t="shared" si="30"/>
        <v>Did not Meet</v>
      </c>
      <c r="BA72" s="400" t="str">
        <f t="shared" si="31"/>
        <v>Did not Meet</v>
      </c>
      <c r="BD72" s="400" t="str">
        <f t="shared" si="32"/>
        <v>Did not Meet</v>
      </c>
      <c r="BF72" s="366" t="str">
        <f t="shared" si="28"/>
        <v>Met</v>
      </c>
    </row>
    <row r="73" spans="1:58">
      <c r="A73" t="s">
        <v>515</v>
      </c>
      <c r="B73" t="s">
        <v>986</v>
      </c>
      <c r="C73" s="360"/>
      <c r="D73" s="363">
        <v>0</v>
      </c>
      <c r="E73" t="s">
        <v>855</v>
      </c>
      <c r="F73" s="360"/>
      <c r="G73" s="363">
        <v>1457831.63</v>
      </c>
      <c r="H73" t="s">
        <v>834</v>
      </c>
      <c r="I73" s="360"/>
      <c r="J73" s="363">
        <v>0</v>
      </c>
      <c r="K73" t="s">
        <v>855</v>
      </c>
      <c r="L73" s="360"/>
      <c r="M73" s="363">
        <v>7966.2930601092894</v>
      </c>
      <c r="N73" t="s">
        <v>834</v>
      </c>
      <c r="O73" s="360"/>
      <c r="P73" s="366" t="str">
        <f t="shared" si="25"/>
        <v>Met</v>
      </c>
      <c r="Q73" s="360"/>
      <c r="R73" s="399">
        <v>0</v>
      </c>
      <c r="S73" s="400" t="str">
        <f t="shared" si="33"/>
        <v>Did not Meet</v>
      </c>
      <c r="U73" s="399">
        <v>1657098.57</v>
      </c>
      <c r="V73" s="400" t="str">
        <f t="shared" si="34"/>
        <v>Met</v>
      </c>
      <c r="X73" s="399">
        <v>0</v>
      </c>
      <c r="Y73" s="400" t="str">
        <f t="shared" si="35"/>
        <v>Did not Meet</v>
      </c>
      <c r="AA73" s="399">
        <v>9863.6819642857154</v>
      </c>
      <c r="AB73" s="400" t="str">
        <f t="shared" si="36"/>
        <v>Met</v>
      </c>
      <c r="AD73" s="366" t="str">
        <f t="shared" si="26"/>
        <v>Met</v>
      </c>
      <c r="AF73" s="399">
        <v>0</v>
      </c>
      <c r="AG73" s="400" t="str">
        <f t="shared" si="37"/>
        <v>Did not Meet</v>
      </c>
      <c r="AI73" s="399">
        <v>1998513.78</v>
      </c>
      <c r="AJ73" s="400" t="str">
        <f t="shared" si="38"/>
        <v>Met</v>
      </c>
      <c r="AL73" s="399">
        <f>VLOOKUP(A73,$A$5:$AF$315,32,0)/IFERROR(VLOOKUP(A73,'21-22 child count'!$A$3:$S$317,19,0),0)</f>
        <v>0</v>
      </c>
      <c r="AM73" s="400" t="str">
        <f t="shared" si="39"/>
        <v>Did not Meet</v>
      </c>
      <c r="AO73" s="399">
        <f>VLOOKUP(A73,'42. SEA or LEA Worksheet'!$A$4:$AB$318,28,0)/IFERROR(VLOOKUP('42. SEA or LEA Worksheet'!A164,'21-22 child count'!$A$3:$S$317,3,0),0)</f>
        <v>11687.215087719298</v>
      </c>
      <c r="AP73" s="400" t="str">
        <f t="shared" si="40"/>
        <v>Met</v>
      </c>
      <c r="AR73" s="366" t="str">
        <f t="shared" si="27"/>
        <v>Met</v>
      </c>
      <c r="AU73" s="400" t="str">
        <f t="shared" si="29"/>
        <v>Did not Meet</v>
      </c>
      <c r="AX73" s="400" t="str">
        <f t="shared" si="30"/>
        <v>Did not Meet</v>
      </c>
      <c r="BA73" s="400" t="str">
        <f t="shared" si="31"/>
        <v>Did not Meet</v>
      </c>
      <c r="BD73" s="400" t="str">
        <f t="shared" si="32"/>
        <v>Did not Meet</v>
      </c>
      <c r="BF73" s="366" t="str">
        <f t="shared" si="28"/>
        <v>Met</v>
      </c>
    </row>
    <row r="74" spans="1:58">
      <c r="A74" t="s">
        <v>335</v>
      </c>
      <c r="B74" t="s">
        <v>905</v>
      </c>
      <c r="C74" s="360"/>
      <c r="D74" s="363">
        <v>0</v>
      </c>
      <c r="E74" t="s">
        <v>834</v>
      </c>
      <c r="F74" s="360"/>
      <c r="G74" s="363">
        <v>170731.69</v>
      </c>
      <c r="H74" t="s">
        <v>879</v>
      </c>
      <c r="I74" s="360"/>
      <c r="J74" s="363">
        <v>0</v>
      </c>
      <c r="K74" t="s">
        <v>834</v>
      </c>
      <c r="L74" s="360"/>
      <c r="M74" s="363">
        <v>14227.640833333333</v>
      </c>
      <c r="N74" t="s">
        <v>855</v>
      </c>
      <c r="O74" s="360"/>
      <c r="P74" s="366" t="str">
        <f t="shared" si="25"/>
        <v>Met</v>
      </c>
      <c r="Q74" s="360"/>
      <c r="R74" s="399">
        <v>0</v>
      </c>
      <c r="S74" s="400" t="str">
        <f t="shared" si="33"/>
        <v>Met</v>
      </c>
      <c r="U74" s="399">
        <v>211307.29</v>
      </c>
      <c r="V74" s="400" t="str">
        <f t="shared" si="34"/>
        <v>Did not Meet</v>
      </c>
      <c r="X74" s="399">
        <v>0</v>
      </c>
      <c r="Y74" s="400" t="str">
        <f t="shared" si="35"/>
        <v>Met</v>
      </c>
      <c r="AA74" s="399">
        <v>14087.152666666667</v>
      </c>
      <c r="AB74" s="400" t="str">
        <f t="shared" si="36"/>
        <v>Did not Meet</v>
      </c>
      <c r="AD74" s="366" t="str">
        <f t="shared" si="26"/>
        <v>Met</v>
      </c>
      <c r="AF74" s="399">
        <v>0</v>
      </c>
      <c r="AG74" s="400" t="str">
        <f t="shared" si="37"/>
        <v>Met</v>
      </c>
      <c r="AI74" s="399">
        <v>259655.67</v>
      </c>
      <c r="AJ74" s="400" t="str">
        <f t="shared" si="38"/>
        <v>Did not Meet</v>
      </c>
      <c r="AL74" s="399">
        <f>VLOOKUP(A74,$A$5:$AF$315,32,0)/IFERROR(VLOOKUP(A74,'21-22 child count'!$A$3:$S$317,19,0),0)</f>
        <v>0</v>
      </c>
      <c r="AM74" s="400" t="str">
        <f t="shared" si="39"/>
        <v>Met</v>
      </c>
      <c r="AO74" s="399">
        <f>VLOOKUP(A74,'42. SEA or LEA Worksheet'!$A$4:$AB$318,28,0)/IFERROR(VLOOKUP('42. SEA or LEA Worksheet'!A73,'21-22 child count'!$A$3:$S$317,3,0),0)</f>
        <v>2570.8482178217823</v>
      </c>
      <c r="AP74" s="400" t="str">
        <f t="shared" si="40"/>
        <v>Did not Meet</v>
      </c>
      <c r="AR74" s="366" t="str">
        <f t="shared" si="27"/>
        <v>Met</v>
      </c>
      <c r="AU74" s="400" t="str">
        <f t="shared" si="29"/>
        <v>Met</v>
      </c>
      <c r="AX74" s="400" t="str">
        <f t="shared" si="30"/>
        <v>Did not Meet</v>
      </c>
      <c r="BA74" s="400" t="str">
        <f t="shared" si="31"/>
        <v>Met</v>
      </c>
      <c r="BD74" s="400" t="str">
        <f t="shared" si="32"/>
        <v>Did not Meet</v>
      </c>
      <c r="BF74" s="366" t="str">
        <f t="shared" si="28"/>
        <v>Met</v>
      </c>
    </row>
    <row r="75" spans="1:58">
      <c r="A75" t="s">
        <v>517</v>
      </c>
      <c r="B75" t="s">
        <v>987</v>
      </c>
      <c r="C75" s="360"/>
      <c r="D75" s="363">
        <v>0</v>
      </c>
      <c r="E75" t="s">
        <v>855</v>
      </c>
      <c r="F75" s="360"/>
      <c r="G75" s="363">
        <v>1850592.78</v>
      </c>
      <c r="H75" t="s">
        <v>834</v>
      </c>
      <c r="I75" s="360"/>
      <c r="J75" s="363">
        <v>0</v>
      </c>
      <c r="K75" t="s">
        <v>855</v>
      </c>
      <c r="L75" s="360"/>
      <c r="M75" s="363">
        <v>9539.1380412371127</v>
      </c>
      <c r="N75" t="s">
        <v>834</v>
      </c>
      <c r="O75" s="360"/>
      <c r="P75" s="366" t="str">
        <f t="shared" si="25"/>
        <v>Met</v>
      </c>
      <c r="Q75" s="360"/>
      <c r="R75" s="399">
        <v>0</v>
      </c>
      <c r="S75" s="400" t="str">
        <f t="shared" si="33"/>
        <v>Did not Meet</v>
      </c>
      <c r="U75" s="399">
        <v>1942455.87</v>
      </c>
      <c r="V75" s="400" t="str">
        <f t="shared" si="34"/>
        <v>Met</v>
      </c>
      <c r="X75" s="399">
        <v>0</v>
      </c>
      <c r="Y75" s="400" t="str">
        <f t="shared" si="35"/>
        <v>Did not Meet</v>
      </c>
      <c r="AA75" s="399">
        <v>9910.4891326530615</v>
      </c>
      <c r="AB75" s="400" t="str">
        <f t="shared" si="36"/>
        <v>Met</v>
      </c>
      <c r="AD75" s="366" t="str">
        <f t="shared" si="26"/>
        <v>Met</v>
      </c>
      <c r="AF75" s="399">
        <v>0</v>
      </c>
      <c r="AG75" s="400" t="str">
        <f t="shared" si="37"/>
        <v>Did not Meet</v>
      </c>
      <c r="AI75" s="399">
        <v>1878549.21</v>
      </c>
      <c r="AJ75" s="400" t="str">
        <f t="shared" si="38"/>
        <v>Did not Meet</v>
      </c>
      <c r="AL75" s="399">
        <f>VLOOKUP(A75,$A$5:$AF$315,32,0)/IFERROR(VLOOKUP(A75,'21-22 child count'!$A$3:$S$317,19,0),0)</f>
        <v>0</v>
      </c>
      <c r="AM75" s="400" t="str">
        <f t="shared" si="39"/>
        <v>Did not Meet</v>
      </c>
      <c r="AO75" s="399">
        <f>VLOOKUP(A75,'42. SEA or LEA Worksheet'!$A$4:$AB$318,28,0)/IFERROR(VLOOKUP('42. SEA or LEA Worksheet'!A165,'21-22 child count'!$A$3:$S$317,3,0),0)</f>
        <v>18599.497128712872</v>
      </c>
      <c r="AP75" s="400" t="str">
        <f t="shared" si="40"/>
        <v>Met</v>
      </c>
      <c r="AR75" s="366" t="str">
        <f t="shared" si="27"/>
        <v>Met</v>
      </c>
      <c r="AU75" s="400" t="str">
        <f t="shared" si="29"/>
        <v>Did not Meet</v>
      </c>
      <c r="AX75" s="400" t="str">
        <f t="shared" si="30"/>
        <v>Did not Meet</v>
      </c>
      <c r="BA75" s="400" t="str">
        <f t="shared" si="31"/>
        <v>Did not Meet</v>
      </c>
      <c r="BD75" s="400" t="str">
        <f t="shared" si="32"/>
        <v>Did not Meet</v>
      </c>
      <c r="BF75" s="366" t="str">
        <f t="shared" si="28"/>
        <v>Met</v>
      </c>
    </row>
    <row r="76" spans="1:58">
      <c r="A76" t="s">
        <v>527</v>
      </c>
      <c r="B76" t="s">
        <v>992</v>
      </c>
      <c r="C76" s="360"/>
      <c r="D76" s="363">
        <v>119328.49</v>
      </c>
      <c r="E76" t="s">
        <v>834</v>
      </c>
      <c r="F76" s="360"/>
      <c r="G76" s="363">
        <v>3886959.52</v>
      </c>
      <c r="H76" t="s">
        <v>834</v>
      </c>
      <c r="I76" s="360"/>
      <c r="J76" s="363">
        <v>331.46802777777782</v>
      </c>
      <c r="K76" t="s">
        <v>855</v>
      </c>
      <c r="L76" s="360"/>
      <c r="M76" s="363">
        <v>10797.109777777778</v>
      </c>
      <c r="N76" t="s">
        <v>855</v>
      </c>
      <c r="O76" s="360"/>
      <c r="P76" s="366" t="str">
        <f t="shared" si="25"/>
        <v>Met</v>
      </c>
      <c r="Q76" s="360"/>
      <c r="R76" s="399">
        <v>0</v>
      </c>
      <c r="S76" s="400" t="str">
        <f t="shared" si="33"/>
        <v>Did not Meet</v>
      </c>
      <c r="U76" s="399">
        <v>3235330.34</v>
      </c>
      <c r="V76" s="400" t="str">
        <f t="shared" si="34"/>
        <v>Met</v>
      </c>
      <c r="X76" s="399">
        <v>0</v>
      </c>
      <c r="Y76" s="400" t="str">
        <f t="shared" si="35"/>
        <v>Did not Meet</v>
      </c>
      <c r="AA76" s="399">
        <v>8559.0749735449735</v>
      </c>
      <c r="AB76" s="400" t="str">
        <f t="shared" si="36"/>
        <v>Did not Meet</v>
      </c>
      <c r="AD76" s="366" t="str">
        <f t="shared" si="26"/>
        <v>Met</v>
      </c>
      <c r="AF76" s="399">
        <v>182810.25</v>
      </c>
      <c r="AG76" s="400" t="str">
        <f t="shared" si="37"/>
        <v>Did not Meet</v>
      </c>
      <c r="AI76" s="399">
        <v>4049091.74</v>
      </c>
      <c r="AJ76" s="400" t="str">
        <f t="shared" si="38"/>
        <v>Met</v>
      </c>
      <c r="AL76" s="399">
        <f>VLOOKUP(A76,$A$5:$AF$315,32,0)/IFERROR(VLOOKUP(A76,'21-22 child count'!$A$3:$S$317,19,0),0)</f>
        <v>498.12057220708448</v>
      </c>
      <c r="AM76" s="400" t="str">
        <f t="shared" si="39"/>
        <v>Did not Meet</v>
      </c>
      <c r="AO76" s="399">
        <f>VLOOKUP(A76,'42. SEA or LEA Worksheet'!$A$4:$AB$318,28,0)/IFERROR(VLOOKUP('42. SEA or LEA Worksheet'!A170,'21-22 child count'!$A$3:$S$317,3,0),0)</f>
        <v>33914.749912280706</v>
      </c>
      <c r="AP76" s="400" t="str">
        <f t="shared" si="40"/>
        <v>Did not Meet</v>
      </c>
      <c r="AR76" s="366" t="str">
        <f t="shared" si="27"/>
        <v>Met</v>
      </c>
      <c r="AU76" s="400" t="str">
        <f t="shared" si="29"/>
        <v>Did not Meet</v>
      </c>
      <c r="AX76" s="400" t="str">
        <f t="shared" si="30"/>
        <v>Did not Meet</v>
      </c>
      <c r="BA76" s="400" t="str">
        <f t="shared" si="31"/>
        <v>Did not Meet</v>
      </c>
      <c r="BD76" s="400" t="str">
        <f t="shared" si="32"/>
        <v>Did not Meet</v>
      </c>
      <c r="BF76" s="366" t="str">
        <f t="shared" si="28"/>
        <v>Met</v>
      </c>
    </row>
    <row r="77" spans="1:58">
      <c r="A77" t="s">
        <v>341</v>
      </c>
      <c r="B77" t="s">
        <v>908</v>
      </c>
      <c r="C77" s="360"/>
      <c r="D77" s="363">
        <v>0</v>
      </c>
      <c r="E77" t="s">
        <v>834</v>
      </c>
      <c r="F77" s="360"/>
      <c r="G77" s="363">
        <v>3306426.94</v>
      </c>
      <c r="H77" t="s">
        <v>834</v>
      </c>
      <c r="I77" s="360"/>
      <c r="J77" s="363">
        <v>0</v>
      </c>
      <c r="K77" t="s">
        <v>834</v>
      </c>
      <c r="L77" s="360"/>
      <c r="M77" s="363">
        <v>9235.8294413407821</v>
      </c>
      <c r="N77" t="s">
        <v>834</v>
      </c>
      <c r="O77" s="360"/>
      <c r="P77" s="366" t="str">
        <f t="shared" si="25"/>
        <v>Met</v>
      </c>
      <c r="Q77" s="360"/>
      <c r="R77" s="399">
        <v>0</v>
      </c>
      <c r="S77" s="400" t="str">
        <f t="shared" si="33"/>
        <v>Met</v>
      </c>
      <c r="U77" s="399">
        <v>3387015.47</v>
      </c>
      <c r="V77" s="400" t="str">
        <f t="shared" si="34"/>
        <v>Met</v>
      </c>
      <c r="X77" s="399">
        <v>0</v>
      </c>
      <c r="Y77" s="400" t="str">
        <f t="shared" si="35"/>
        <v>Met</v>
      </c>
      <c r="AA77" s="399">
        <v>9487.4382913165264</v>
      </c>
      <c r="AB77" s="400" t="str">
        <f t="shared" si="36"/>
        <v>Met</v>
      </c>
      <c r="AD77" s="366" t="str">
        <f t="shared" si="26"/>
        <v>Met</v>
      </c>
      <c r="AF77" s="399">
        <v>0</v>
      </c>
      <c r="AG77" s="400" t="str">
        <f t="shared" si="37"/>
        <v>Met</v>
      </c>
      <c r="AI77" s="399">
        <v>3221619.67</v>
      </c>
      <c r="AJ77" s="400" t="str">
        <f t="shared" si="38"/>
        <v>Did not Meet</v>
      </c>
      <c r="AL77" s="399">
        <f>VLOOKUP(A77,$A$5:$AF$315,32,0)/IFERROR(VLOOKUP(A77,'21-22 child count'!$A$3:$S$317,19,0),0)</f>
        <v>0</v>
      </c>
      <c r="AM77" s="400" t="str">
        <f t="shared" si="39"/>
        <v>Met</v>
      </c>
      <c r="AO77" s="399">
        <f>VLOOKUP(A77,'42. SEA or LEA Worksheet'!$A$4:$AB$318,28,0)/IFERROR(VLOOKUP('42. SEA or LEA Worksheet'!A76,'21-22 child count'!$A$3:$S$317,3,0),0)</f>
        <v>18839.88111111111</v>
      </c>
      <c r="AP77" s="400" t="str">
        <f t="shared" si="40"/>
        <v>Met</v>
      </c>
      <c r="AR77" s="366" t="str">
        <f t="shared" si="27"/>
        <v>Met</v>
      </c>
      <c r="AU77" s="400" t="str">
        <f t="shared" si="29"/>
        <v>Met</v>
      </c>
      <c r="AX77" s="400" t="str">
        <f t="shared" si="30"/>
        <v>Did not Meet</v>
      </c>
      <c r="BA77" s="400" t="str">
        <f t="shared" si="31"/>
        <v>Met</v>
      </c>
      <c r="BD77" s="400" t="str">
        <f t="shared" si="32"/>
        <v>Did not Meet</v>
      </c>
      <c r="BF77" s="366" t="str">
        <f t="shared" si="28"/>
        <v>Met</v>
      </c>
    </row>
    <row r="78" spans="1:58">
      <c r="A78" t="s">
        <v>533</v>
      </c>
      <c r="B78" t="s">
        <v>995</v>
      </c>
      <c r="C78" s="360"/>
      <c r="D78" s="363">
        <v>81890.12</v>
      </c>
      <c r="E78" t="s">
        <v>1149</v>
      </c>
      <c r="F78" s="360"/>
      <c r="G78" s="363">
        <v>409450.62</v>
      </c>
      <c r="H78" t="s">
        <v>834</v>
      </c>
      <c r="I78" s="360"/>
      <c r="J78" s="363">
        <v>3275.6047999999996</v>
      </c>
      <c r="K78" t="s">
        <v>834</v>
      </c>
      <c r="L78" s="360"/>
      <c r="M78" s="363">
        <v>16378.024799999999</v>
      </c>
      <c r="N78" t="s">
        <v>834</v>
      </c>
      <c r="O78" s="360"/>
      <c r="P78" s="366" t="str">
        <f t="shared" si="25"/>
        <v>Met</v>
      </c>
      <c r="Q78" s="360"/>
      <c r="R78" s="399">
        <v>0</v>
      </c>
      <c r="S78" s="400" t="str">
        <f t="shared" si="33"/>
        <v>Did not Meet</v>
      </c>
      <c r="U78" s="399">
        <v>364263.52</v>
      </c>
      <c r="V78" s="400" t="str">
        <f t="shared" si="34"/>
        <v>Met</v>
      </c>
      <c r="X78" s="399">
        <v>0</v>
      </c>
      <c r="Y78" s="400" t="str">
        <f t="shared" si="35"/>
        <v>Did not Meet</v>
      </c>
      <c r="AA78" s="399">
        <v>14570.540800000001</v>
      </c>
      <c r="AB78" s="400" t="str">
        <f t="shared" si="36"/>
        <v>Did not Meet</v>
      </c>
      <c r="AD78" s="366" t="str">
        <f t="shared" si="26"/>
        <v>Met</v>
      </c>
      <c r="AF78" s="399">
        <v>82000</v>
      </c>
      <c r="AG78" s="400" t="str">
        <f t="shared" si="37"/>
        <v>Did not Meet</v>
      </c>
      <c r="AI78" s="399">
        <v>399405.31</v>
      </c>
      <c r="AJ78" s="400" t="str">
        <f t="shared" si="38"/>
        <v>Met</v>
      </c>
      <c r="AL78" s="399">
        <f>VLOOKUP(A78,$A$5:$AF$315,32,0)/IFERROR(VLOOKUP(A78,'21-22 child count'!$A$3:$S$317,19,0),0)</f>
        <v>3416.6666666666665</v>
      </c>
      <c r="AM78" s="400" t="str">
        <f t="shared" si="39"/>
        <v>Did not Meet</v>
      </c>
      <c r="AO78" s="399">
        <f>VLOOKUP(A78,'42. SEA or LEA Worksheet'!$A$4:$AB$318,28,0)/IFERROR(VLOOKUP('42. SEA or LEA Worksheet'!A173,'21-22 child count'!$A$3:$S$317,3,0),0)</f>
        <v>2808.8965486725665</v>
      </c>
      <c r="AP78" s="400" t="str">
        <f t="shared" si="40"/>
        <v>Did not Meet</v>
      </c>
      <c r="AR78" s="366" t="str">
        <f t="shared" si="27"/>
        <v>Met</v>
      </c>
      <c r="AU78" s="400" t="str">
        <f t="shared" si="29"/>
        <v>Did not Meet</v>
      </c>
      <c r="AX78" s="400" t="str">
        <f t="shared" si="30"/>
        <v>Did not Meet</v>
      </c>
      <c r="BA78" s="400" t="str">
        <f t="shared" si="31"/>
        <v>Did not Meet</v>
      </c>
      <c r="BD78" s="400" t="str">
        <f t="shared" si="32"/>
        <v>Did not Meet</v>
      </c>
      <c r="BF78" s="366" t="str">
        <f t="shared" si="28"/>
        <v>Met</v>
      </c>
    </row>
    <row r="79" spans="1:58">
      <c r="A79" t="s">
        <v>541</v>
      </c>
      <c r="B79" t="s">
        <v>999</v>
      </c>
      <c r="C79" s="360"/>
      <c r="D79" s="363">
        <v>0</v>
      </c>
      <c r="E79" t="s">
        <v>855</v>
      </c>
      <c r="F79" s="360"/>
      <c r="G79" s="363">
        <v>389240.13</v>
      </c>
      <c r="H79" t="s">
        <v>834</v>
      </c>
      <c r="I79" s="360"/>
      <c r="J79" s="363">
        <v>0</v>
      </c>
      <c r="K79" t="s">
        <v>855</v>
      </c>
      <c r="L79" s="360"/>
      <c r="M79" s="363">
        <v>7208.1505555555559</v>
      </c>
      <c r="N79" t="s">
        <v>855</v>
      </c>
      <c r="O79" s="360"/>
      <c r="P79" s="366" t="str">
        <f t="shared" si="25"/>
        <v>Met</v>
      </c>
      <c r="Q79" s="360"/>
      <c r="R79" s="399">
        <v>0</v>
      </c>
      <c r="S79" s="400" t="str">
        <f t="shared" si="33"/>
        <v>Did not Meet</v>
      </c>
      <c r="U79" s="399">
        <v>461854.73</v>
      </c>
      <c r="V79" s="400" t="str">
        <f t="shared" si="34"/>
        <v>Met</v>
      </c>
      <c r="X79" s="399">
        <v>0</v>
      </c>
      <c r="Y79" s="400" t="str">
        <f t="shared" si="35"/>
        <v>Did not Meet</v>
      </c>
      <c r="AA79" s="399">
        <v>7449.2698387096771</v>
      </c>
      <c r="AB79" s="400" t="str">
        <f t="shared" si="36"/>
        <v>Did not Meet</v>
      </c>
      <c r="AD79" s="366" t="str">
        <f t="shared" si="26"/>
        <v>Met</v>
      </c>
      <c r="AF79" s="399">
        <v>0</v>
      </c>
      <c r="AG79" s="400" t="str">
        <f t="shared" si="37"/>
        <v>Did not Meet</v>
      </c>
      <c r="AI79" s="399">
        <v>565543.75</v>
      </c>
      <c r="AJ79" s="400" t="str">
        <f t="shared" si="38"/>
        <v>Met</v>
      </c>
      <c r="AL79" s="399">
        <f>VLOOKUP(A79,$A$5:$AF$315,32,0)/IFERROR(VLOOKUP(A79,'21-22 child count'!$A$3:$S$317,19,0),0)</f>
        <v>0</v>
      </c>
      <c r="AM79" s="400" t="str">
        <f t="shared" si="39"/>
        <v>Did not Meet</v>
      </c>
      <c r="AO79" s="399">
        <f>VLOOKUP(A79,'42. SEA or LEA Worksheet'!$A$4:$AB$318,28,0)/IFERROR(VLOOKUP('42. SEA or LEA Worksheet'!A177,'21-22 child count'!$A$3:$S$317,3,0),0)</f>
        <v>5599.4430693069307</v>
      </c>
      <c r="AP79" s="400" t="str">
        <f t="shared" si="40"/>
        <v>Did not Meet</v>
      </c>
      <c r="AR79" s="366" t="str">
        <f t="shared" si="27"/>
        <v>Met</v>
      </c>
      <c r="AU79" s="400" t="str">
        <f t="shared" si="29"/>
        <v>Did not Meet</v>
      </c>
      <c r="AX79" s="400" t="str">
        <f t="shared" si="30"/>
        <v>Did not Meet</v>
      </c>
      <c r="BA79" s="400" t="str">
        <f t="shared" si="31"/>
        <v>Did not Meet</v>
      </c>
      <c r="BD79" s="400" t="str">
        <f t="shared" si="32"/>
        <v>Did not Meet</v>
      </c>
      <c r="BF79" s="366" t="str">
        <f t="shared" si="28"/>
        <v>Met</v>
      </c>
    </row>
    <row r="80" spans="1:58">
      <c r="A80" t="s">
        <v>543</v>
      </c>
      <c r="B80" t="s">
        <v>1000</v>
      </c>
      <c r="C80" s="360"/>
      <c r="D80" s="363">
        <v>0</v>
      </c>
      <c r="E80" t="s">
        <v>855</v>
      </c>
      <c r="F80" s="360"/>
      <c r="G80" s="363">
        <v>2496203.4700000002</v>
      </c>
      <c r="H80" t="s">
        <v>834</v>
      </c>
      <c r="I80" s="360"/>
      <c r="J80" s="363">
        <v>0</v>
      </c>
      <c r="K80" t="s">
        <v>855</v>
      </c>
      <c r="L80" s="360"/>
      <c r="M80" s="363">
        <v>9600.7825769230785</v>
      </c>
      <c r="N80" t="s">
        <v>855</v>
      </c>
      <c r="O80" s="360"/>
      <c r="P80" s="366" t="str">
        <f t="shared" si="25"/>
        <v>Met</v>
      </c>
      <c r="Q80" s="360"/>
      <c r="R80" s="399">
        <v>0</v>
      </c>
      <c r="S80" s="400" t="str">
        <f t="shared" si="33"/>
        <v>Did not Meet</v>
      </c>
      <c r="U80" s="399">
        <v>2360942.59</v>
      </c>
      <c r="V80" s="400" t="str">
        <f t="shared" si="34"/>
        <v>Met</v>
      </c>
      <c r="X80" s="399">
        <v>0</v>
      </c>
      <c r="Y80" s="400" t="str">
        <f t="shared" si="35"/>
        <v>Did not Meet</v>
      </c>
      <c r="AA80" s="399">
        <v>9837.2607916666657</v>
      </c>
      <c r="AB80" s="400" t="str">
        <f t="shared" si="36"/>
        <v>Did not Meet</v>
      </c>
      <c r="AD80" s="366" t="str">
        <f t="shared" si="26"/>
        <v>Met</v>
      </c>
      <c r="AF80" s="399">
        <v>0</v>
      </c>
      <c r="AG80" s="400" t="str">
        <f t="shared" si="37"/>
        <v>Did not Meet</v>
      </c>
      <c r="AI80" s="399">
        <v>2211216.94</v>
      </c>
      <c r="AJ80" s="400" t="str">
        <f t="shared" si="38"/>
        <v>Did not Meet</v>
      </c>
      <c r="AL80" s="399">
        <f>VLOOKUP(A80,$A$5:$AF$315,32,0)/IFERROR(VLOOKUP(A80,'21-22 child count'!$A$3:$S$317,19,0),0)</f>
        <v>0</v>
      </c>
      <c r="AM80" s="400" t="str">
        <f t="shared" si="39"/>
        <v>Did not Meet</v>
      </c>
      <c r="AO80" s="399">
        <f>VLOOKUP(A80,'42. SEA or LEA Worksheet'!$A$4:$AB$318,28,0)/IFERROR(VLOOKUP('42. SEA or LEA Worksheet'!A178,'21-22 child count'!$A$3:$S$317,3,0),0)</f>
        <v>19568.291504424778</v>
      </c>
      <c r="AP80" s="400" t="str">
        <f t="shared" si="40"/>
        <v>Did not Meet</v>
      </c>
      <c r="AR80" s="366" t="str">
        <f t="shared" si="27"/>
        <v>Met</v>
      </c>
      <c r="AU80" s="400" t="str">
        <f t="shared" si="29"/>
        <v>Did not Meet</v>
      </c>
      <c r="AX80" s="400" t="str">
        <f t="shared" si="30"/>
        <v>Did not Meet</v>
      </c>
      <c r="BA80" s="400" t="str">
        <f t="shared" si="31"/>
        <v>Did not Meet</v>
      </c>
      <c r="BD80" s="400" t="str">
        <f t="shared" si="32"/>
        <v>Did not Meet</v>
      </c>
      <c r="BF80" s="366" t="str">
        <f t="shared" si="28"/>
        <v>Met</v>
      </c>
    </row>
    <row r="81" spans="1:58">
      <c r="A81" t="s">
        <v>349</v>
      </c>
      <c r="B81" t="s">
        <v>911</v>
      </c>
      <c r="C81" s="360"/>
      <c r="D81" s="363">
        <v>0</v>
      </c>
      <c r="E81" t="s">
        <v>834</v>
      </c>
      <c r="F81" s="360"/>
      <c r="G81" s="363">
        <v>31991.61</v>
      </c>
      <c r="H81" t="s">
        <v>834</v>
      </c>
      <c r="I81" s="360"/>
      <c r="J81" s="363">
        <v>0</v>
      </c>
      <c r="K81" t="s">
        <v>834</v>
      </c>
      <c r="L81" s="360"/>
      <c r="M81" s="363">
        <v>31991.61</v>
      </c>
      <c r="N81" t="s">
        <v>834</v>
      </c>
      <c r="O81" s="360"/>
      <c r="P81" s="366" t="str">
        <f t="shared" si="25"/>
        <v>Met</v>
      </c>
      <c r="Q81" s="360"/>
      <c r="R81" s="399">
        <v>0</v>
      </c>
      <c r="S81" s="400" t="str">
        <f t="shared" si="33"/>
        <v>Met</v>
      </c>
      <c r="U81" s="399">
        <v>33281.99</v>
      </c>
      <c r="V81" s="400" t="str">
        <f t="shared" si="34"/>
        <v>Met</v>
      </c>
      <c r="X81" s="399">
        <v>0</v>
      </c>
      <c r="Y81" s="400" t="str">
        <f t="shared" si="35"/>
        <v>Met</v>
      </c>
      <c r="AA81" s="399">
        <v>33281.99</v>
      </c>
      <c r="AB81" s="400" t="str">
        <f t="shared" si="36"/>
        <v>Met</v>
      </c>
      <c r="AD81" s="366" t="str">
        <f t="shared" si="26"/>
        <v>Met</v>
      </c>
      <c r="AF81" s="399">
        <v>0</v>
      </c>
      <c r="AG81" s="400" t="str">
        <f t="shared" si="37"/>
        <v>Met</v>
      </c>
      <c r="AI81" s="399">
        <v>32684.11</v>
      </c>
      <c r="AJ81" s="400" t="str">
        <f t="shared" si="38"/>
        <v>Did not Meet</v>
      </c>
      <c r="AL81" s="399">
        <f>VLOOKUP(A81,$A$5:$AF$315,32,0)/IFERROR(VLOOKUP(A81,'21-22 child count'!$A$3:$S$317,19,0),0)</f>
        <v>0</v>
      </c>
      <c r="AM81" s="400" t="str">
        <f t="shared" si="39"/>
        <v>Met</v>
      </c>
      <c r="AO81" s="399">
        <f>VLOOKUP(A81,'42. SEA or LEA Worksheet'!$A$4:$AB$318,28,0)/IFERROR(VLOOKUP('42. SEA or LEA Worksheet'!A80,'21-22 child count'!$A$3:$S$317,3,0),0)</f>
        <v>291.8224107142857</v>
      </c>
      <c r="AP81" s="400" t="str">
        <f t="shared" si="40"/>
        <v>Did not Meet</v>
      </c>
      <c r="AR81" s="366" t="str">
        <f t="shared" si="27"/>
        <v>Met</v>
      </c>
      <c r="AU81" s="400" t="str">
        <f t="shared" si="29"/>
        <v>Met</v>
      </c>
      <c r="AX81" s="400" t="str">
        <f t="shared" si="30"/>
        <v>Did not Meet</v>
      </c>
      <c r="BA81" s="400" t="str">
        <f t="shared" si="31"/>
        <v>Met</v>
      </c>
      <c r="BD81" s="400" t="str">
        <f t="shared" si="32"/>
        <v>Did not Meet</v>
      </c>
      <c r="BF81" s="366" t="str">
        <f t="shared" si="28"/>
        <v>Met</v>
      </c>
    </row>
    <row r="82" spans="1:58">
      <c r="A82" t="s">
        <v>545</v>
      </c>
      <c r="B82" t="s">
        <v>1001</v>
      </c>
      <c r="C82" s="360"/>
      <c r="D82" s="363">
        <v>63936.9</v>
      </c>
      <c r="E82" t="s">
        <v>834</v>
      </c>
      <c r="F82" s="360"/>
      <c r="G82" s="363">
        <v>1056353.6599999999</v>
      </c>
      <c r="H82" t="s">
        <v>834</v>
      </c>
      <c r="I82" s="360"/>
      <c r="J82" s="363">
        <v>673.02</v>
      </c>
      <c r="K82" t="s">
        <v>834</v>
      </c>
      <c r="L82" s="360"/>
      <c r="M82" s="363">
        <v>11119.512210526314</v>
      </c>
      <c r="N82" t="s">
        <v>834</v>
      </c>
      <c r="O82" s="360"/>
      <c r="P82" s="366" t="str">
        <f t="shared" si="25"/>
        <v>Met</v>
      </c>
      <c r="Q82" s="360"/>
      <c r="R82" s="399">
        <v>0</v>
      </c>
      <c r="S82" s="400" t="str">
        <f t="shared" si="33"/>
        <v>Did not Meet</v>
      </c>
      <c r="U82" s="399">
        <v>842610.79</v>
      </c>
      <c r="V82" s="400" t="str">
        <f t="shared" si="34"/>
        <v>Met</v>
      </c>
      <c r="X82" s="399">
        <v>0</v>
      </c>
      <c r="Y82" s="400" t="str">
        <f t="shared" si="35"/>
        <v>Did not Meet</v>
      </c>
      <c r="AA82" s="399">
        <v>11234.810533333333</v>
      </c>
      <c r="AB82" s="400" t="str">
        <f t="shared" si="36"/>
        <v>Met</v>
      </c>
      <c r="AD82" s="366" t="str">
        <f t="shared" si="26"/>
        <v>Met</v>
      </c>
      <c r="AF82" s="399">
        <v>0</v>
      </c>
      <c r="AG82" s="400" t="str">
        <f t="shared" si="37"/>
        <v>Did not Meet</v>
      </c>
      <c r="AI82" s="399">
        <v>804001</v>
      </c>
      <c r="AJ82" s="400" t="str">
        <f t="shared" si="38"/>
        <v>Did not Meet</v>
      </c>
      <c r="AL82" s="399">
        <f>VLOOKUP(A82,$A$5:$AF$315,32,0)/IFERROR(VLOOKUP(A82,'21-22 child count'!$A$3:$S$317,19,0),0)</f>
        <v>0</v>
      </c>
      <c r="AM82" s="400" t="str">
        <f t="shared" si="39"/>
        <v>Did not Meet</v>
      </c>
      <c r="AO82" s="399">
        <f>VLOOKUP(A82,'42. SEA or LEA Worksheet'!$A$4:$AB$318,28,0)/IFERROR(VLOOKUP('42. SEA or LEA Worksheet'!A179,'21-22 child count'!$A$3:$S$317,3,0),0)</f>
        <v>7178.5803571428569</v>
      </c>
      <c r="AP82" s="400" t="str">
        <f t="shared" si="40"/>
        <v>Did not Meet</v>
      </c>
      <c r="AR82" s="366" t="str">
        <f t="shared" si="27"/>
        <v>Met</v>
      </c>
      <c r="AU82" s="400" t="str">
        <f t="shared" si="29"/>
        <v>Did not Meet</v>
      </c>
      <c r="AX82" s="400" t="str">
        <f t="shared" si="30"/>
        <v>Did not Meet</v>
      </c>
      <c r="BA82" s="400" t="str">
        <f t="shared" si="31"/>
        <v>Did not Meet</v>
      </c>
      <c r="BD82" s="400" t="str">
        <f t="shared" si="32"/>
        <v>Did not Meet</v>
      </c>
      <c r="BF82" s="366" t="str">
        <f t="shared" si="28"/>
        <v>Met</v>
      </c>
    </row>
    <row r="83" spans="1:58">
      <c r="A83" t="s">
        <v>351</v>
      </c>
      <c r="B83" t="s">
        <v>912</v>
      </c>
      <c r="C83" s="360"/>
      <c r="D83" s="363">
        <v>0</v>
      </c>
      <c r="E83" t="s">
        <v>834</v>
      </c>
      <c r="F83" s="360"/>
      <c r="G83" s="363">
        <v>44178341.93</v>
      </c>
      <c r="H83" t="s">
        <v>834</v>
      </c>
      <c r="I83" s="360"/>
      <c r="J83" s="363">
        <v>0</v>
      </c>
      <c r="K83" t="s">
        <v>834</v>
      </c>
      <c r="L83" s="360"/>
      <c r="M83" s="363">
        <v>13993.773180234399</v>
      </c>
      <c r="N83" t="s">
        <v>855</v>
      </c>
      <c r="O83" s="360"/>
      <c r="P83" s="366" t="str">
        <f t="shared" si="25"/>
        <v>Met</v>
      </c>
      <c r="Q83" s="360"/>
      <c r="R83" s="399">
        <v>0</v>
      </c>
      <c r="S83" s="400" t="str">
        <f t="shared" si="33"/>
        <v>Met</v>
      </c>
      <c r="U83" s="399">
        <v>43772852.810000002</v>
      </c>
      <c r="V83" s="400" t="str">
        <f t="shared" si="34"/>
        <v>Met</v>
      </c>
      <c r="X83" s="399">
        <v>0</v>
      </c>
      <c r="Y83" s="400" t="str">
        <f t="shared" si="35"/>
        <v>Met</v>
      </c>
      <c r="AA83" s="399">
        <v>14356.46205641194</v>
      </c>
      <c r="AB83" s="400" t="str">
        <f t="shared" si="36"/>
        <v>Did not Meet</v>
      </c>
      <c r="AD83" s="366" t="str">
        <f t="shared" si="26"/>
        <v>Met</v>
      </c>
      <c r="AF83" s="399">
        <v>0</v>
      </c>
      <c r="AG83" s="400" t="str">
        <f t="shared" si="37"/>
        <v>Met</v>
      </c>
      <c r="AI83" s="399">
        <v>42927160.549999997</v>
      </c>
      <c r="AJ83" s="400" t="str">
        <f t="shared" si="38"/>
        <v>Did not Meet</v>
      </c>
      <c r="AL83" s="399">
        <f>VLOOKUP(A83,$A$5:$AF$315,32,0)/IFERROR(VLOOKUP(A83,'21-22 child count'!$A$3:$S$317,19,0),0)</f>
        <v>0</v>
      </c>
      <c r="AM83" s="400" t="str">
        <f t="shared" si="39"/>
        <v>Met</v>
      </c>
      <c r="AO83" s="399">
        <f>VLOOKUP(A83,'42. SEA or LEA Worksheet'!$A$4:$AB$318,28,0)/IFERROR(VLOOKUP('42. SEA or LEA Worksheet'!A82,'21-22 child count'!$A$3:$S$317,3,0),0)</f>
        <v>354466.98991735536</v>
      </c>
      <c r="AP83" s="400" t="str">
        <f t="shared" si="40"/>
        <v>Did not Meet</v>
      </c>
      <c r="AR83" s="366" t="str">
        <f t="shared" si="27"/>
        <v>Met</v>
      </c>
      <c r="AU83" s="400" t="str">
        <f t="shared" si="29"/>
        <v>Met</v>
      </c>
      <c r="AX83" s="400" t="str">
        <f t="shared" si="30"/>
        <v>Did not Meet</v>
      </c>
      <c r="BA83" s="400" t="str">
        <f t="shared" si="31"/>
        <v>Met</v>
      </c>
      <c r="BD83" s="400" t="str">
        <f t="shared" si="32"/>
        <v>Did not Meet</v>
      </c>
      <c r="BF83" s="366" t="str">
        <f t="shared" si="28"/>
        <v>Met</v>
      </c>
    </row>
    <row r="84" spans="1:58">
      <c r="A84" t="s">
        <v>549</v>
      </c>
      <c r="B84" t="s">
        <v>1003</v>
      </c>
      <c r="C84" s="360"/>
      <c r="D84" s="363">
        <v>0</v>
      </c>
      <c r="E84" t="s">
        <v>855</v>
      </c>
      <c r="F84" s="360"/>
      <c r="G84" s="363">
        <v>1634107.65</v>
      </c>
      <c r="H84" t="s">
        <v>834</v>
      </c>
      <c r="I84" s="360"/>
      <c r="J84" s="363">
        <v>0</v>
      </c>
      <c r="K84" t="s">
        <v>855</v>
      </c>
      <c r="L84" s="360"/>
      <c r="M84" s="363">
        <v>9445.708959537571</v>
      </c>
      <c r="N84" t="s">
        <v>834</v>
      </c>
      <c r="O84" s="360"/>
      <c r="P84" s="366" t="str">
        <f t="shared" si="25"/>
        <v>Met</v>
      </c>
      <c r="Q84" s="360"/>
      <c r="R84" s="399">
        <v>0</v>
      </c>
      <c r="S84" s="400" t="str">
        <f t="shared" si="33"/>
        <v>Did not Meet</v>
      </c>
      <c r="U84" s="399">
        <v>1560675.25</v>
      </c>
      <c r="V84" s="400" t="str">
        <f t="shared" si="34"/>
        <v>Met</v>
      </c>
      <c r="X84" s="399">
        <v>0</v>
      </c>
      <c r="Y84" s="400" t="str">
        <f t="shared" si="35"/>
        <v>Did not Meet</v>
      </c>
      <c r="AA84" s="399">
        <v>9073.6933139534885</v>
      </c>
      <c r="AB84" s="400" t="str">
        <f t="shared" si="36"/>
        <v>Did not Meet</v>
      </c>
      <c r="AD84" s="366" t="str">
        <f t="shared" si="26"/>
        <v>Met</v>
      </c>
      <c r="AF84" s="399">
        <v>0</v>
      </c>
      <c r="AG84" s="400" t="str">
        <f t="shared" si="37"/>
        <v>Did not Meet</v>
      </c>
      <c r="AI84" s="399">
        <v>1827388.1</v>
      </c>
      <c r="AJ84" s="400" t="str">
        <f t="shared" si="38"/>
        <v>Met</v>
      </c>
      <c r="AL84" s="399">
        <f>VLOOKUP(A84,$A$5:$AF$315,32,0)/IFERROR(VLOOKUP(A84,'21-22 child count'!$A$3:$S$317,19,0),0)</f>
        <v>0</v>
      </c>
      <c r="AM84" s="400" t="str">
        <f t="shared" si="39"/>
        <v>Did not Meet</v>
      </c>
      <c r="AO84" s="399">
        <f>VLOOKUP(A84,'42. SEA or LEA Worksheet'!$A$4:$AB$318,28,0)/IFERROR(VLOOKUP('42. SEA or LEA Worksheet'!A181,'21-22 child count'!$A$3:$S$317,3,0),0)</f>
        <v>18092.951485148515</v>
      </c>
      <c r="AP84" s="400" t="str">
        <f t="shared" si="40"/>
        <v>Did not Meet</v>
      </c>
      <c r="AR84" s="366" t="str">
        <f t="shared" si="27"/>
        <v>Met</v>
      </c>
      <c r="AU84" s="400" t="str">
        <f t="shared" si="29"/>
        <v>Did not Meet</v>
      </c>
      <c r="AX84" s="400" t="str">
        <f t="shared" si="30"/>
        <v>Did not Meet</v>
      </c>
      <c r="BA84" s="400" t="str">
        <f t="shared" si="31"/>
        <v>Did not Meet</v>
      </c>
      <c r="BD84" s="400" t="str">
        <f t="shared" si="32"/>
        <v>Did not Meet</v>
      </c>
      <c r="BF84" s="366" t="str">
        <f t="shared" si="28"/>
        <v>Met</v>
      </c>
    </row>
    <row r="85" spans="1:58">
      <c r="A85" t="s">
        <v>557</v>
      </c>
      <c r="B85" t="s">
        <v>1007</v>
      </c>
      <c r="C85" s="360"/>
      <c r="D85" s="363">
        <v>0</v>
      </c>
      <c r="E85" t="s">
        <v>855</v>
      </c>
      <c r="F85" s="360"/>
      <c r="G85" s="363">
        <v>33214.44</v>
      </c>
      <c r="H85" t="s">
        <v>855</v>
      </c>
      <c r="I85" s="360"/>
      <c r="J85" s="363">
        <v>0</v>
      </c>
      <c r="K85" t="s">
        <v>855</v>
      </c>
      <c r="L85" s="360"/>
      <c r="M85" s="363">
        <v>11071.480000000001</v>
      </c>
      <c r="N85" t="s">
        <v>834</v>
      </c>
      <c r="O85" s="360"/>
      <c r="P85" s="366" t="str">
        <f t="shared" si="25"/>
        <v>Met</v>
      </c>
      <c r="Q85" s="360"/>
      <c r="R85" s="399">
        <v>0</v>
      </c>
      <c r="S85" s="400" t="str">
        <f t="shared" si="33"/>
        <v>Did not Meet</v>
      </c>
      <c r="U85" s="399">
        <v>33395.51</v>
      </c>
      <c r="V85" s="400" t="str">
        <f t="shared" si="34"/>
        <v>Did not Meet</v>
      </c>
      <c r="X85" s="399">
        <v>0</v>
      </c>
      <c r="Y85" s="400" t="str">
        <f t="shared" si="35"/>
        <v>Did not Meet</v>
      </c>
      <c r="AA85" s="399">
        <v>11131.836666666668</v>
      </c>
      <c r="AB85" s="400" t="str">
        <f t="shared" si="36"/>
        <v>Met</v>
      </c>
      <c r="AD85" s="366" t="str">
        <f t="shared" si="26"/>
        <v>Met</v>
      </c>
      <c r="AF85" s="399">
        <v>0</v>
      </c>
      <c r="AG85" s="400" t="str">
        <f t="shared" si="37"/>
        <v>Did not Meet</v>
      </c>
      <c r="AI85" s="399">
        <v>42825.15</v>
      </c>
      <c r="AJ85" s="400" t="str">
        <f t="shared" si="38"/>
        <v>Did not Meet</v>
      </c>
      <c r="AL85" s="399">
        <f>VLOOKUP(A85,$A$5:$AF$315,32,0)/IFERROR(VLOOKUP(A85,'21-22 child count'!$A$3:$S$317,19,0),0)</f>
        <v>0</v>
      </c>
      <c r="AM85" s="400" t="str">
        <f t="shared" si="39"/>
        <v>Did not Meet</v>
      </c>
      <c r="AO85" s="399">
        <f>VLOOKUP(A85,'42. SEA or LEA Worksheet'!$A$4:$AB$318,28,0)/IFERROR(VLOOKUP('42. SEA or LEA Worksheet'!A185,'21-22 child count'!$A$3:$S$317,3,0),0)</f>
        <v>378.98362831858407</v>
      </c>
      <c r="AP85" s="400" t="str">
        <f t="shared" si="40"/>
        <v>Did not Meet</v>
      </c>
      <c r="AR85" s="366" t="str">
        <f t="shared" si="27"/>
        <v>Met</v>
      </c>
      <c r="AU85" s="400" t="str">
        <f t="shared" si="29"/>
        <v>Did not Meet</v>
      </c>
      <c r="AX85" s="400" t="str">
        <f t="shared" si="30"/>
        <v>Did not Meet</v>
      </c>
      <c r="BA85" s="400" t="str">
        <f t="shared" si="31"/>
        <v>Did not Meet</v>
      </c>
      <c r="BD85" s="400" t="str">
        <f t="shared" si="32"/>
        <v>Did not Meet</v>
      </c>
      <c r="BF85" s="366" t="str">
        <f t="shared" si="28"/>
        <v>Met</v>
      </c>
    </row>
    <row r="86" spans="1:58">
      <c r="A86" t="s">
        <v>561</v>
      </c>
      <c r="B86" t="s">
        <v>1009</v>
      </c>
      <c r="C86" s="360"/>
      <c r="D86" s="363">
        <v>0</v>
      </c>
      <c r="E86" t="s">
        <v>855</v>
      </c>
      <c r="F86" s="360"/>
      <c r="G86" s="363">
        <v>89541</v>
      </c>
      <c r="H86" t="s">
        <v>855</v>
      </c>
      <c r="I86" s="360"/>
      <c r="J86" s="363">
        <v>0</v>
      </c>
      <c r="K86" t="s">
        <v>855</v>
      </c>
      <c r="L86" s="360"/>
      <c r="M86" s="363">
        <v>14923.5</v>
      </c>
      <c r="N86" t="s">
        <v>834</v>
      </c>
      <c r="O86" s="360"/>
      <c r="P86" s="366" t="str">
        <f t="shared" si="25"/>
        <v>Met</v>
      </c>
      <c r="Q86" s="360"/>
      <c r="R86" s="399">
        <v>0</v>
      </c>
      <c r="S86" s="400" t="str">
        <f t="shared" si="33"/>
        <v>Did not Meet</v>
      </c>
      <c r="U86" s="399">
        <v>67825.67</v>
      </c>
      <c r="V86" s="400" t="str">
        <f t="shared" si="34"/>
        <v>Did not Meet</v>
      </c>
      <c r="X86" s="399">
        <v>0</v>
      </c>
      <c r="Y86" s="400" t="str">
        <f t="shared" si="35"/>
        <v>Did not Meet</v>
      </c>
      <c r="AA86" s="399">
        <v>22608.556666666667</v>
      </c>
      <c r="AB86" s="400" t="str">
        <f t="shared" si="36"/>
        <v>Met</v>
      </c>
      <c r="AD86" s="366" t="str">
        <f t="shared" si="26"/>
        <v>Met</v>
      </c>
      <c r="AF86" s="399">
        <v>0</v>
      </c>
      <c r="AG86" s="400" t="str">
        <f t="shared" si="37"/>
        <v>Did not Meet</v>
      </c>
      <c r="AI86" s="399">
        <v>91110.69</v>
      </c>
      <c r="AJ86" s="400" t="str">
        <f t="shared" si="38"/>
        <v>Did not Meet</v>
      </c>
      <c r="AL86" s="399">
        <f>VLOOKUP(A86,$A$5:$AF$315,32,0)/IFERROR(VLOOKUP(A86,'21-22 child count'!$A$3:$S$317,19,0),0)</f>
        <v>0</v>
      </c>
      <c r="AM86" s="400" t="str">
        <f t="shared" si="39"/>
        <v>Did not Meet</v>
      </c>
      <c r="AO86" s="399">
        <f>VLOOKUP(A86,'42. SEA or LEA Worksheet'!$A$4:$AB$318,28,0)/IFERROR(VLOOKUP('42. SEA or LEA Worksheet'!A187,'21-22 child count'!$A$3:$S$317,3,0),0)</f>
        <v>482.06714285714287</v>
      </c>
      <c r="AP86" s="400" t="str">
        <f t="shared" si="40"/>
        <v>Did not Meet</v>
      </c>
      <c r="AR86" s="366" t="str">
        <f t="shared" si="27"/>
        <v>Met</v>
      </c>
      <c r="AU86" s="400" t="str">
        <f t="shared" si="29"/>
        <v>Did not Meet</v>
      </c>
      <c r="AX86" s="400" t="str">
        <f t="shared" si="30"/>
        <v>Did not Meet</v>
      </c>
      <c r="BA86" s="400" t="str">
        <f t="shared" si="31"/>
        <v>Did not Meet</v>
      </c>
      <c r="BD86" s="400" t="str">
        <f t="shared" si="32"/>
        <v>Did not Meet</v>
      </c>
      <c r="BF86" s="366" t="str">
        <f t="shared" si="28"/>
        <v>Met</v>
      </c>
    </row>
    <row r="87" spans="1:58">
      <c r="A87" t="s">
        <v>563</v>
      </c>
      <c r="B87" t="s">
        <v>1010</v>
      </c>
      <c r="C87" s="360"/>
      <c r="D87" s="363">
        <v>0</v>
      </c>
      <c r="E87" t="s">
        <v>855</v>
      </c>
      <c r="F87" s="360"/>
      <c r="G87" s="363">
        <v>108475.34</v>
      </c>
      <c r="H87" t="s">
        <v>834</v>
      </c>
      <c r="I87" s="360"/>
      <c r="J87" s="363">
        <v>0</v>
      </c>
      <c r="K87" t="s">
        <v>855</v>
      </c>
      <c r="L87" s="360"/>
      <c r="M87" s="363">
        <v>7748.238571428571</v>
      </c>
      <c r="N87" t="s">
        <v>855</v>
      </c>
      <c r="O87" s="360"/>
      <c r="P87" s="366" t="str">
        <f t="shared" si="25"/>
        <v>Met</v>
      </c>
      <c r="Q87" s="360"/>
      <c r="R87" s="399">
        <v>0</v>
      </c>
      <c r="S87" s="400" t="str">
        <f t="shared" si="33"/>
        <v>Did not Meet</v>
      </c>
      <c r="U87" s="399">
        <v>107572.82</v>
      </c>
      <c r="V87" s="400" t="str">
        <f t="shared" si="34"/>
        <v>Met</v>
      </c>
      <c r="X87" s="399">
        <v>0</v>
      </c>
      <c r="Y87" s="400" t="str">
        <f t="shared" si="35"/>
        <v>Did not Meet</v>
      </c>
      <c r="AA87" s="399">
        <v>11952.535555555556</v>
      </c>
      <c r="AB87" s="400" t="str">
        <f t="shared" si="36"/>
        <v>Did not Meet</v>
      </c>
      <c r="AD87" s="366" t="str">
        <f t="shared" si="26"/>
        <v>Met</v>
      </c>
      <c r="AF87" s="399">
        <v>0</v>
      </c>
      <c r="AG87" s="400" t="str">
        <f t="shared" si="37"/>
        <v>Did not Meet</v>
      </c>
      <c r="AI87" s="399">
        <v>91784.54</v>
      </c>
      <c r="AJ87" s="400" t="str">
        <f t="shared" si="38"/>
        <v>Did not Meet</v>
      </c>
      <c r="AL87" s="399">
        <f>VLOOKUP(A87,$A$5:$AF$315,32,0)/IFERROR(VLOOKUP(A87,'21-22 child count'!$A$3:$S$317,19,0),0)</f>
        <v>0</v>
      </c>
      <c r="AM87" s="400" t="str">
        <f t="shared" si="39"/>
        <v>Did not Meet</v>
      </c>
      <c r="AO87" s="399">
        <f>VLOOKUP(A87,'42. SEA or LEA Worksheet'!$A$4:$AB$318,28,0)/IFERROR(VLOOKUP('42. SEA or LEA Worksheet'!A188,'21-22 child count'!$A$3:$S$317,3,0),0)</f>
        <v>908.7578217821781</v>
      </c>
      <c r="AP87" s="400" t="str">
        <f t="shared" si="40"/>
        <v>Did not Meet</v>
      </c>
      <c r="AR87" s="366" t="str">
        <f t="shared" si="27"/>
        <v>Met</v>
      </c>
      <c r="AU87" s="400" t="str">
        <f t="shared" si="29"/>
        <v>Did not Meet</v>
      </c>
      <c r="AX87" s="400" t="str">
        <f t="shared" si="30"/>
        <v>Did not Meet</v>
      </c>
      <c r="BA87" s="400" t="str">
        <f t="shared" si="31"/>
        <v>Did not Meet</v>
      </c>
      <c r="BD87" s="400" t="str">
        <f t="shared" si="32"/>
        <v>Did not Meet</v>
      </c>
      <c r="BF87" s="366" t="str">
        <f t="shared" si="28"/>
        <v>Met</v>
      </c>
    </row>
    <row r="88" spans="1:58">
      <c r="A88" t="s">
        <v>565</v>
      </c>
      <c r="B88" t="s">
        <v>1011</v>
      </c>
      <c r="C88" s="360"/>
      <c r="D88" s="363">
        <v>0</v>
      </c>
      <c r="E88" t="s">
        <v>855</v>
      </c>
      <c r="F88" s="360"/>
      <c r="G88" s="363">
        <v>207623.56</v>
      </c>
      <c r="H88" t="s">
        <v>834</v>
      </c>
      <c r="I88" s="360"/>
      <c r="J88" s="363">
        <v>0</v>
      </c>
      <c r="K88" t="s">
        <v>855</v>
      </c>
      <c r="L88" s="360"/>
      <c r="M88" s="363">
        <v>7985.5215384615385</v>
      </c>
      <c r="N88" t="s">
        <v>855</v>
      </c>
      <c r="O88" s="360"/>
      <c r="P88" s="366" t="str">
        <f t="shared" si="25"/>
        <v>Met</v>
      </c>
      <c r="Q88" s="360"/>
      <c r="R88" s="399">
        <v>0</v>
      </c>
      <c r="S88" s="400" t="str">
        <f t="shared" si="33"/>
        <v>Did not Meet</v>
      </c>
      <c r="U88" s="399">
        <v>165855.29999999999</v>
      </c>
      <c r="V88" s="400" t="str">
        <f t="shared" si="34"/>
        <v>Met</v>
      </c>
      <c r="X88" s="399">
        <v>0</v>
      </c>
      <c r="Y88" s="400" t="str">
        <f t="shared" si="35"/>
        <v>Did not Meet</v>
      </c>
      <c r="AA88" s="399">
        <v>9214.1833333333325</v>
      </c>
      <c r="AB88" s="400" t="str">
        <f t="shared" si="36"/>
        <v>Did not Meet</v>
      </c>
      <c r="AD88" s="366" t="str">
        <f t="shared" si="26"/>
        <v>Met</v>
      </c>
      <c r="AF88" s="399">
        <v>0</v>
      </c>
      <c r="AG88" s="400" t="str">
        <f t="shared" si="37"/>
        <v>Did not Meet</v>
      </c>
      <c r="AI88" s="399">
        <v>153288.82999999999</v>
      </c>
      <c r="AJ88" s="400" t="str">
        <f t="shared" si="38"/>
        <v>Did not Meet</v>
      </c>
      <c r="AL88" s="399">
        <f>VLOOKUP(A88,$A$5:$AF$315,32,0)/IFERROR(VLOOKUP(A88,'21-22 child count'!$A$3:$S$317,19,0),0)</f>
        <v>0</v>
      </c>
      <c r="AM88" s="400" t="str">
        <f t="shared" si="39"/>
        <v>Did not Meet</v>
      </c>
      <c r="AO88" s="399">
        <f>VLOOKUP(A88,'42. SEA or LEA Worksheet'!$A$4:$AB$318,28,0)/IFERROR(VLOOKUP('42. SEA or LEA Worksheet'!A189,'21-22 child count'!$A$3:$S$317,3,0),0)</f>
        <v>1517.7111881188118</v>
      </c>
      <c r="AP88" s="400" t="str">
        <f t="shared" si="40"/>
        <v>Did not Meet</v>
      </c>
      <c r="AR88" s="366" t="str">
        <f t="shared" si="27"/>
        <v>Met</v>
      </c>
      <c r="AU88" s="400" t="str">
        <f t="shared" si="29"/>
        <v>Did not Meet</v>
      </c>
      <c r="AX88" s="400" t="str">
        <f t="shared" si="30"/>
        <v>Did not Meet</v>
      </c>
      <c r="BA88" s="400" t="str">
        <f t="shared" si="31"/>
        <v>Did not Meet</v>
      </c>
      <c r="BD88" s="400" t="str">
        <f t="shared" si="32"/>
        <v>Did not Meet</v>
      </c>
      <c r="BF88" s="366" t="str">
        <f t="shared" si="28"/>
        <v>Met</v>
      </c>
    </row>
    <row r="89" spans="1:58">
      <c r="A89" t="s">
        <v>567</v>
      </c>
      <c r="B89" t="s">
        <v>1012</v>
      </c>
      <c r="C89" s="360"/>
      <c r="D89" s="363">
        <v>18022.169999999998</v>
      </c>
      <c r="E89" t="s">
        <v>834</v>
      </c>
      <c r="F89" s="360"/>
      <c r="G89" s="363">
        <v>713543.37</v>
      </c>
      <c r="H89" t="s">
        <v>834</v>
      </c>
      <c r="I89" s="360"/>
      <c r="J89" s="363">
        <v>228.12873417721516</v>
      </c>
      <c r="K89" t="s">
        <v>834</v>
      </c>
      <c r="L89" s="360"/>
      <c r="M89" s="363">
        <v>9032.1945569620257</v>
      </c>
      <c r="N89" t="s">
        <v>855</v>
      </c>
      <c r="O89" s="360"/>
      <c r="P89" s="366" t="str">
        <f t="shared" si="25"/>
        <v>Met</v>
      </c>
      <c r="Q89" s="360"/>
      <c r="R89" s="399">
        <v>0</v>
      </c>
      <c r="S89" s="400" t="str">
        <f t="shared" si="33"/>
        <v>Did not Meet</v>
      </c>
      <c r="U89" s="399">
        <v>746856.44</v>
      </c>
      <c r="V89" s="400" t="str">
        <f t="shared" si="34"/>
        <v>Met</v>
      </c>
      <c r="X89" s="399">
        <v>0</v>
      </c>
      <c r="Y89" s="400" t="str">
        <f t="shared" si="35"/>
        <v>Did not Meet</v>
      </c>
      <c r="AA89" s="399">
        <v>9453.8789873417718</v>
      </c>
      <c r="AB89" s="400" t="str">
        <f t="shared" si="36"/>
        <v>Did not Meet</v>
      </c>
      <c r="AD89" s="366" t="str">
        <f t="shared" si="26"/>
        <v>Met</v>
      </c>
      <c r="AF89" s="399">
        <v>3862.25</v>
      </c>
      <c r="AG89" s="400" t="str">
        <f t="shared" si="37"/>
        <v>Did not Meet</v>
      </c>
      <c r="AI89" s="399">
        <v>692471.28</v>
      </c>
      <c r="AJ89" s="400" t="str">
        <f t="shared" si="38"/>
        <v>Did not Meet</v>
      </c>
      <c r="AL89" s="399">
        <f>VLOOKUP(A89,$A$5:$AF$315,32,0)/IFERROR(VLOOKUP(A89,'21-22 child count'!$A$3:$S$317,19,0),0)</f>
        <v>57.645522388059703</v>
      </c>
      <c r="AM89" s="400" t="str">
        <f t="shared" si="39"/>
        <v>Did not Meet</v>
      </c>
      <c r="AO89" s="399">
        <f>VLOOKUP(A89,'42. SEA or LEA Worksheet'!$A$4:$AB$318,28,0)/IFERROR(VLOOKUP('42. SEA or LEA Worksheet'!A190,'21-22 child count'!$A$3:$S$317,3,0),0)</f>
        <v>4026.9533918128654</v>
      </c>
      <c r="AP89" s="400" t="str">
        <f t="shared" si="40"/>
        <v>Did not Meet</v>
      </c>
      <c r="AR89" s="366" t="str">
        <f t="shared" si="27"/>
        <v>Met</v>
      </c>
      <c r="AU89" s="400" t="str">
        <f t="shared" si="29"/>
        <v>Did not Meet</v>
      </c>
      <c r="AX89" s="400" t="str">
        <f t="shared" si="30"/>
        <v>Did not Meet</v>
      </c>
      <c r="BA89" s="400" t="str">
        <f t="shared" si="31"/>
        <v>Did not Meet</v>
      </c>
      <c r="BD89" s="400" t="str">
        <f t="shared" si="32"/>
        <v>Did not Meet</v>
      </c>
      <c r="BF89" s="366" t="str">
        <f t="shared" si="28"/>
        <v>Met</v>
      </c>
    </row>
    <row r="90" spans="1:58">
      <c r="A90" t="s">
        <v>581</v>
      </c>
      <c r="B90" t="s">
        <v>1143</v>
      </c>
      <c r="C90" s="360"/>
      <c r="D90" s="363">
        <v>0</v>
      </c>
      <c r="E90" t="s">
        <v>855</v>
      </c>
      <c r="F90" s="360"/>
      <c r="G90" s="363">
        <v>125389.81</v>
      </c>
      <c r="H90" t="s">
        <v>834</v>
      </c>
      <c r="I90" s="360"/>
      <c r="J90" s="363">
        <v>0</v>
      </c>
      <c r="K90" t="s">
        <v>855</v>
      </c>
      <c r="L90" s="360"/>
      <c r="M90" s="363">
        <v>5970.9433333333336</v>
      </c>
      <c r="N90" t="s">
        <v>855</v>
      </c>
      <c r="O90" s="360"/>
      <c r="P90" s="366" t="str">
        <f t="shared" si="25"/>
        <v>Met</v>
      </c>
      <c r="Q90" s="360"/>
      <c r="R90" s="399">
        <v>0</v>
      </c>
      <c r="S90" s="400" t="str">
        <f t="shared" si="33"/>
        <v>Did not Meet</v>
      </c>
      <c r="U90" s="399">
        <v>157980.21</v>
      </c>
      <c r="V90" s="400" t="str">
        <f t="shared" si="34"/>
        <v>Met</v>
      </c>
      <c r="X90" s="399">
        <v>0</v>
      </c>
      <c r="Y90" s="400" t="str">
        <f t="shared" si="35"/>
        <v>Did not Meet</v>
      </c>
      <c r="AA90" s="399">
        <v>7899.0104999999994</v>
      </c>
      <c r="AB90" s="400" t="str">
        <f t="shared" si="36"/>
        <v>Did not Meet</v>
      </c>
      <c r="AD90" s="366" t="str">
        <f t="shared" si="26"/>
        <v>Met</v>
      </c>
      <c r="AF90" s="399">
        <v>0</v>
      </c>
      <c r="AG90" s="400" t="str">
        <f t="shared" si="37"/>
        <v>Did not Meet</v>
      </c>
      <c r="AI90" s="399">
        <v>157706.95000000001</v>
      </c>
      <c r="AJ90" s="400" t="str">
        <f t="shared" si="38"/>
        <v>Did not Meet</v>
      </c>
      <c r="AL90" s="399">
        <f>VLOOKUP(A90,$A$5:$AF$315,32,0)/IFERROR(VLOOKUP(A90,'21-22 child count'!$A$3:$S$317,19,0),0)</f>
        <v>0</v>
      </c>
      <c r="AM90" s="400" t="str">
        <f t="shared" si="39"/>
        <v>Did not Meet</v>
      </c>
      <c r="AO90" s="399">
        <f>VLOOKUP(A90,'42. SEA or LEA Worksheet'!$A$4:$AB$318,28,0)/IFERROR(VLOOKUP('42. SEA or LEA Worksheet'!A197,'21-22 child count'!$A$3:$S$317,3,0),0)</f>
        <v>922.26286549707606</v>
      </c>
      <c r="AP90" s="400" t="str">
        <f t="shared" si="40"/>
        <v>Did not Meet</v>
      </c>
      <c r="AR90" s="366" t="str">
        <f t="shared" si="27"/>
        <v>Met</v>
      </c>
      <c r="AU90" s="400" t="str">
        <f t="shared" si="29"/>
        <v>Did not Meet</v>
      </c>
      <c r="AX90" s="400" t="str">
        <f t="shared" si="30"/>
        <v>Did not Meet</v>
      </c>
      <c r="BA90" s="400" t="str">
        <f t="shared" si="31"/>
        <v>Did not Meet</v>
      </c>
      <c r="BD90" s="400" t="str">
        <f t="shared" si="32"/>
        <v>Did not Meet</v>
      </c>
      <c r="BF90" s="366" t="str">
        <f t="shared" si="28"/>
        <v>Met</v>
      </c>
    </row>
    <row r="91" spans="1:58">
      <c r="A91" t="s">
        <v>367</v>
      </c>
      <c r="B91" t="s">
        <v>920</v>
      </c>
      <c r="C91" s="360"/>
      <c r="D91" s="363">
        <v>0</v>
      </c>
      <c r="E91" t="s">
        <v>834</v>
      </c>
      <c r="F91" s="360"/>
      <c r="G91" s="363">
        <v>1158150.1599999999</v>
      </c>
      <c r="H91" t="s">
        <v>834</v>
      </c>
      <c r="I91" s="360"/>
      <c r="J91" s="363">
        <v>0</v>
      </c>
      <c r="K91" t="s">
        <v>834</v>
      </c>
      <c r="L91" s="360"/>
      <c r="M91" s="363">
        <v>9493.0340983606548</v>
      </c>
      <c r="N91" t="s">
        <v>855</v>
      </c>
      <c r="O91" s="360"/>
      <c r="P91" s="366" t="str">
        <f t="shared" si="25"/>
        <v>Met</v>
      </c>
      <c r="Q91" s="360"/>
      <c r="R91" s="399">
        <v>0</v>
      </c>
      <c r="S91" s="400" t="str">
        <f t="shared" si="33"/>
        <v>Met</v>
      </c>
      <c r="U91" s="399">
        <v>2534143.91</v>
      </c>
      <c r="V91" s="400" t="str">
        <f t="shared" si="34"/>
        <v>Met</v>
      </c>
      <c r="X91" s="399">
        <v>0</v>
      </c>
      <c r="Y91" s="400" t="str">
        <f t="shared" si="35"/>
        <v>Met</v>
      </c>
      <c r="AA91" s="399">
        <v>9784.339420849421</v>
      </c>
      <c r="AB91" s="400" t="str">
        <f t="shared" si="36"/>
        <v>Did not Meet</v>
      </c>
      <c r="AD91" s="366" t="str">
        <f t="shared" si="26"/>
        <v>Met</v>
      </c>
      <c r="AF91" s="399">
        <v>0</v>
      </c>
      <c r="AG91" s="400" t="str">
        <f t="shared" si="37"/>
        <v>Met</v>
      </c>
      <c r="AI91" s="399">
        <v>3007033.3</v>
      </c>
      <c r="AJ91" s="400" t="str">
        <f t="shared" si="38"/>
        <v>Met</v>
      </c>
      <c r="AL91" s="399">
        <f>VLOOKUP(A91,$A$5:$AF$315,32,0)/IFERROR(VLOOKUP(A91,'21-22 child count'!$A$3:$S$317,19,0),0)</f>
        <v>0</v>
      </c>
      <c r="AM91" s="400" t="str">
        <f t="shared" si="39"/>
        <v>Met</v>
      </c>
      <c r="AO91" s="399">
        <f>VLOOKUP(A91,'42. SEA or LEA Worksheet'!$A$4:$AB$318,28,0)/IFERROR(VLOOKUP('42. SEA or LEA Worksheet'!A90,'21-22 child count'!$A$3:$S$317,3,0),0)</f>
        <v>29772.606930693066</v>
      </c>
      <c r="AP91" s="400" t="str">
        <f t="shared" si="40"/>
        <v>Did not Meet</v>
      </c>
      <c r="AR91" s="366" t="str">
        <f t="shared" si="27"/>
        <v>Met</v>
      </c>
      <c r="AU91" s="400" t="str">
        <f t="shared" si="29"/>
        <v>Met</v>
      </c>
      <c r="AX91" s="400" t="str">
        <f t="shared" si="30"/>
        <v>Did not Meet</v>
      </c>
      <c r="BA91" s="400" t="str">
        <f t="shared" si="31"/>
        <v>Met</v>
      </c>
      <c r="BD91" s="400" t="str">
        <f t="shared" si="32"/>
        <v>Did not Meet</v>
      </c>
      <c r="BF91" s="366" t="str">
        <f t="shared" si="28"/>
        <v>Met</v>
      </c>
    </row>
    <row r="92" spans="1:58">
      <c r="A92" t="s">
        <v>585</v>
      </c>
      <c r="B92" t="s">
        <v>1020</v>
      </c>
      <c r="C92" s="360"/>
      <c r="D92" s="363">
        <v>0</v>
      </c>
      <c r="E92" t="s">
        <v>855</v>
      </c>
      <c r="F92" s="360"/>
      <c r="G92" s="363">
        <v>19312190.690000001</v>
      </c>
      <c r="H92" t="s">
        <v>834</v>
      </c>
      <c r="I92" s="360"/>
      <c r="J92" s="363">
        <v>0</v>
      </c>
      <c r="K92" t="s">
        <v>855</v>
      </c>
      <c r="L92" s="360"/>
      <c r="M92" s="363">
        <v>14719.657538109757</v>
      </c>
      <c r="N92" t="s">
        <v>834</v>
      </c>
      <c r="O92" s="360"/>
      <c r="P92" s="366" t="str">
        <f t="shared" si="25"/>
        <v>Met</v>
      </c>
      <c r="Q92" s="360"/>
      <c r="R92" s="399">
        <v>0</v>
      </c>
      <c r="S92" s="400" t="str">
        <f t="shared" si="33"/>
        <v>Did not Meet</v>
      </c>
      <c r="U92" s="399">
        <v>19522035.260000002</v>
      </c>
      <c r="V92" s="400" t="str">
        <f t="shared" si="34"/>
        <v>Met</v>
      </c>
      <c r="X92" s="399">
        <v>0</v>
      </c>
      <c r="Y92" s="400" t="str">
        <f t="shared" si="35"/>
        <v>Did not Meet</v>
      </c>
      <c r="AA92" s="399">
        <v>16931.513668690375</v>
      </c>
      <c r="AB92" s="400" t="str">
        <f t="shared" si="36"/>
        <v>Met</v>
      </c>
      <c r="AD92" s="366" t="str">
        <f t="shared" si="26"/>
        <v>Met</v>
      </c>
      <c r="AF92" s="399">
        <v>0</v>
      </c>
      <c r="AG92" s="400" t="str">
        <f t="shared" si="37"/>
        <v>Did not Meet</v>
      </c>
      <c r="AI92" s="399">
        <v>18787994.59</v>
      </c>
      <c r="AJ92" s="400" t="str">
        <f t="shared" si="38"/>
        <v>Did not Meet</v>
      </c>
      <c r="AL92" s="399">
        <f>VLOOKUP(A92,$A$5:$AF$315,32,0)/IFERROR(VLOOKUP(A92,'21-22 child count'!$A$3:$S$317,19,0),0)</f>
        <v>0</v>
      </c>
      <c r="AM92" s="400" t="str">
        <f t="shared" si="39"/>
        <v>Did not Meet</v>
      </c>
      <c r="AO92" s="399">
        <f>VLOOKUP(A92,'42. SEA or LEA Worksheet'!$A$4:$AB$318,28,0)/IFERROR(VLOOKUP('42. SEA or LEA Worksheet'!A199,'21-22 child count'!$A$3:$S$317,3,0),0)</f>
        <v>166265.43884955751</v>
      </c>
      <c r="AP92" s="400" t="str">
        <f t="shared" si="40"/>
        <v>Met</v>
      </c>
      <c r="AR92" s="366" t="str">
        <f t="shared" si="27"/>
        <v>Met</v>
      </c>
      <c r="AU92" s="400" t="str">
        <f t="shared" si="29"/>
        <v>Did not Meet</v>
      </c>
      <c r="AX92" s="400" t="str">
        <f t="shared" si="30"/>
        <v>Did not Meet</v>
      </c>
      <c r="BA92" s="400" t="str">
        <f t="shared" si="31"/>
        <v>Did not Meet</v>
      </c>
      <c r="BD92" s="400" t="str">
        <f t="shared" si="32"/>
        <v>Did not Meet</v>
      </c>
      <c r="BF92" s="366" t="str">
        <f t="shared" si="28"/>
        <v>Met</v>
      </c>
    </row>
    <row r="93" spans="1:58">
      <c r="A93" t="s">
        <v>371</v>
      </c>
      <c r="B93" t="s">
        <v>922</v>
      </c>
      <c r="C93" s="360"/>
      <c r="D93" s="363">
        <v>0</v>
      </c>
      <c r="E93" t="s">
        <v>834</v>
      </c>
      <c r="F93" s="360"/>
      <c r="G93" s="363">
        <v>5304574.3</v>
      </c>
      <c r="H93" t="s">
        <v>834</v>
      </c>
      <c r="I93" s="360"/>
      <c r="J93" s="363">
        <v>0</v>
      </c>
      <c r="K93" t="s">
        <v>834</v>
      </c>
      <c r="L93" s="360"/>
      <c r="M93" s="363">
        <v>10340.300779727095</v>
      </c>
      <c r="N93" t="s">
        <v>834</v>
      </c>
      <c r="O93" s="360"/>
      <c r="P93" s="366" t="str">
        <f t="shared" si="25"/>
        <v>Met</v>
      </c>
      <c r="Q93" s="360"/>
      <c r="R93" s="399">
        <v>0</v>
      </c>
      <c r="S93" s="400" t="str">
        <f t="shared" si="33"/>
        <v>Met</v>
      </c>
      <c r="U93" s="399">
        <v>5621644.7300000004</v>
      </c>
      <c r="V93" s="400" t="str">
        <f t="shared" si="34"/>
        <v>Met</v>
      </c>
      <c r="X93" s="399">
        <v>0</v>
      </c>
      <c r="Y93" s="400" t="str">
        <f t="shared" si="35"/>
        <v>Met</v>
      </c>
      <c r="AA93" s="399">
        <v>10728.32963740458</v>
      </c>
      <c r="AB93" s="400" t="str">
        <f t="shared" si="36"/>
        <v>Met</v>
      </c>
      <c r="AD93" s="366" t="str">
        <f t="shared" si="26"/>
        <v>Met</v>
      </c>
      <c r="AF93" s="399">
        <v>0</v>
      </c>
      <c r="AG93" s="400" t="str">
        <f t="shared" si="37"/>
        <v>Met</v>
      </c>
      <c r="AI93" s="399">
        <v>5775391.6100000003</v>
      </c>
      <c r="AJ93" s="400" t="str">
        <f t="shared" si="38"/>
        <v>Met</v>
      </c>
      <c r="AL93" s="399">
        <f>VLOOKUP(A93,$A$5:$AF$315,32,0)/IFERROR(VLOOKUP(A93,'21-22 child count'!$A$3:$S$317,19,0),0)</f>
        <v>0</v>
      </c>
      <c r="AM93" s="400" t="str">
        <f t="shared" si="39"/>
        <v>Met</v>
      </c>
      <c r="AO93" s="399">
        <f>VLOOKUP(A93,'42. SEA or LEA Worksheet'!$A$4:$AB$318,28,0)/IFERROR(VLOOKUP('42. SEA or LEA Worksheet'!A92,'21-22 child count'!$A$3:$S$317,3,0),0)</f>
        <v>55003.729619047619</v>
      </c>
      <c r="AP93" s="400" t="str">
        <f t="shared" si="40"/>
        <v>Met</v>
      </c>
      <c r="AR93" s="366" t="str">
        <f t="shared" si="27"/>
        <v>Met</v>
      </c>
      <c r="AU93" s="400" t="str">
        <f t="shared" si="29"/>
        <v>Met</v>
      </c>
      <c r="AX93" s="400" t="str">
        <f t="shared" si="30"/>
        <v>Did not Meet</v>
      </c>
      <c r="BA93" s="400" t="str">
        <f t="shared" si="31"/>
        <v>Met</v>
      </c>
      <c r="BD93" s="400" t="str">
        <f t="shared" si="32"/>
        <v>Did not Meet</v>
      </c>
      <c r="BF93" s="366" t="str">
        <f t="shared" si="28"/>
        <v>Met</v>
      </c>
    </row>
    <row r="94" spans="1:58">
      <c r="A94" t="s">
        <v>373</v>
      </c>
      <c r="B94" t="s">
        <v>923</v>
      </c>
      <c r="C94" s="360"/>
      <c r="D94" s="363">
        <v>0</v>
      </c>
      <c r="E94" t="s">
        <v>834</v>
      </c>
      <c r="F94" s="360"/>
      <c r="G94" s="363">
        <v>1786085.03</v>
      </c>
      <c r="H94" t="s">
        <v>834</v>
      </c>
      <c r="I94" s="360"/>
      <c r="J94" s="363">
        <v>0</v>
      </c>
      <c r="K94" t="s">
        <v>834</v>
      </c>
      <c r="L94" s="360"/>
      <c r="M94" s="363">
        <v>8385.3757276995311</v>
      </c>
      <c r="N94" t="s">
        <v>834</v>
      </c>
      <c r="O94" s="360"/>
      <c r="P94" s="366" t="str">
        <f t="shared" si="25"/>
        <v>Met</v>
      </c>
      <c r="Q94" s="360"/>
      <c r="R94" s="399">
        <v>0</v>
      </c>
      <c r="S94" s="400" t="str">
        <f t="shared" si="33"/>
        <v>Met</v>
      </c>
      <c r="U94" s="399">
        <v>1935371.76</v>
      </c>
      <c r="V94" s="400" t="str">
        <f t="shared" si="34"/>
        <v>Met</v>
      </c>
      <c r="X94" s="399">
        <v>0</v>
      </c>
      <c r="Y94" s="400" t="str">
        <f t="shared" si="35"/>
        <v>Met</v>
      </c>
      <c r="AA94" s="399">
        <v>9628.7152238805975</v>
      </c>
      <c r="AB94" s="400" t="str">
        <f t="shared" si="36"/>
        <v>Met</v>
      </c>
      <c r="AD94" s="366" t="str">
        <f t="shared" si="26"/>
        <v>Met</v>
      </c>
      <c r="AF94" s="399">
        <v>0</v>
      </c>
      <c r="AG94" s="400" t="str">
        <f t="shared" si="37"/>
        <v>Met</v>
      </c>
      <c r="AI94" s="399">
        <v>1965377.29</v>
      </c>
      <c r="AJ94" s="400" t="str">
        <f t="shared" si="38"/>
        <v>Met</v>
      </c>
      <c r="AL94" s="399">
        <f>VLOOKUP(A94,$A$5:$AF$315,32,0)/IFERROR(VLOOKUP(A94,'21-22 child count'!$A$3:$S$317,19,0),0)</f>
        <v>0</v>
      </c>
      <c r="AM94" s="400" t="str">
        <f t="shared" si="39"/>
        <v>Met</v>
      </c>
      <c r="AO94" s="399">
        <f>VLOOKUP(A94,'42. SEA or LEA Worksheet'!$A$4:$AB$318,28,0)/IFERROR(VLOOKUP('42. SEA or LEA Worksheet'!A93,'21-22 child count'!$A$3:$S$317,3,0),0)</f>
        <v>18717.878952380954</v>
      </c>
      <c r="AP94" s="400" t="str">
        <f t="shared" si="40"/>
        <v>Met</v>
      </c>
      <c r="AR94" s="366" t="str">
        <f t="shared" si="27"/>
        <v>Met</v>
      </c>
      <c r="AU94" s="400" t="str">
        <f t="shared" si="29"/>
        <v>Met</v>
      </c>
      <c r="AX94" s="400" t="str">
        <f t="shared" si="30"/>
        <v>Did not Meet</v>
      </c>
      <c r="BA94" s="400" t="str">
        <f t="shared" si="31"/>
        <v>Met</v>
      </c>
      <c r="BD94" s="400" t="str">
        <f t="shared" si="32"/>
        <v>Did not Meet</v>
      </c>
      <c r="BF94" s="366" t="str">
        <f t="shared" si="28"/>
        <v>Met</v>
      </c>
    </row>
    <row r="95" spans="1:58">
      <c r="A95" t="s">
        <v>587</v>
      </c>
      <c r="B95" t="s">
        <v>1021</v>
      </c>
      <c r="C95" s="360"/>
      <c r="D95" s="363">
        <v>421645.18</v>
      </c>
      <c r="E95" t="s">
        <v>834</v>
      </c>
      <c r="F95" s="360"/>
      <c r="G95" s="363">
        <v>1649503.52</v>
      </c>
      <c r="H95" t="s">
        <v>834</v>
      </c>
      <c r="I95" s="360"/>
      <c r="J95" s="363">
        <v>3400.3643548387095</v>
      </c>
      <c r="K95" t="s">
        <v>834</v>
      </c>
      <c r="L95" s="360"/>
      <c r="M95" s="363">
        <v>13302.447741935484</v>
      </c>
      <c r="N95" t="s">
        <v>834</v>
      </c>
      <c r="O95" s="360"/>
      <c r="P95" s="366" t="str">
        <f t="shared" si="25"/>
        <v>Met</v>
      </c>
      <c r="Q95" s="360"/>
      <c r="R95" s="399">
        <v>0</v>
      </c>
      <c r="S95" s="400" t="str">
        <f t="shared" si="33"/>
        <v>Did not Meet</v>
      </c>
      <c r="U95" s="399">
        <v>1718274.19</v>
      </c>
      <c r="V95" s="400" t="str">
        <f t="shared" si="34"/>
        <v>Met</v>
      </c>
      <c r="X95" s="399">
        <v>0</v>
      </c>
      <c r="Y95" s="400" t="str">
        <f t="shared" si="35"/>
        <v>Did not Meet</v>
      </c>
      <c r="AA95" s="399">
        <v>15341.733839285715</v>
      </c>
      <c r="AB95" s="400" t="str">
        <f t="shared" si="36"/>
        <v>Met</v>
      </c>
      <c r="AD95" s="366" t="str">
        <f t="shared" si="26"/>
        <v>Met</v>
      </c>
      <c r="AF95" s="399">
        <v>421646</v>
      </c>
      <c r="AG95" s="400" t="str">
        <f t="shared" si="37"/>
        <v>Did not Meet</v>
      </c>
      <c r="AI95" s="399">
        <v>2025304.93</v>
      </c>
      <c r="AJ95" s="400" t="str">
        <f t="shared" si="38"/>
        <v>Met</v>
      </c>
      <c r="AL95" s="399">
        <f>VLOOKUP(A95,$A$5:$AF$315,32,0)/IFERROR(VLOOKUP(A95,'21-22 child count'!$A$3:$S$317,19,0),0)</f>
        <v>3456.1147540983607</v>
      </c>
      <c r="AM95" s="400" t="str">
        <f t="shared" si="39"/>
        <v>Did not Meet</v>
      </c>
      <c r="AO95" s="399">
        <f>VLOOKUP(A95,'42. SEA or LEA Worksheet'!$A$4:$AB$318,28,0)/IFERROR(VLOOKUP('42. SEA or LEA Worksheet'!A200,'21-22 child count'!$A$3:$S$317,3,0),0)</f>
        <v>13253.379586776859</v>
      </c>
      <c r="AP95" s="400" t="str">
        <f t="shared" si="40"/>
        <v>Did not Meet</v>
      </c>
      <c r="AR95" s="366" t="str">
        <f t="shared" si="27"/>
        <v>Met</v>
      </c>
      <c r="AU95" s="400" t="str">
        <f t="shared" si="29"/>
        <v>Did not Meet</v>
      </c>
      <c r="AX95" s="400" t="str">
        <f t="shared" si="30"/>
        <v>Did not Meet</v>
      </c>
      <c r="BA95" s="400" t="str">
        <f t="shared" si="31"/>
        <v>Did not Meet</v>
      </c>
      <c r="BD95" s="400" t="str">
        <f t="shared" si="32"/>
        <v>Did not Meet</v>
      </c>
      <c r="BF95" s="366" t="str">
        <f t="shared" si="28"/>
        <v>Met</v>
      </c>
    </row>
    <row r="96" spans="1:58">
      <c r="A96" t="s">
        <v>595</v>
      </c>
      <c r="B96" t="s">
        <v>1025</v>
      </c>
      <c r="C96" s="360"/>
      <c r="D96" s="363">
        <v>0</v>
      </c>
      <c r="E96" t="s">
        <v>855</v>
      </c>
      <c r="F96" s="360"/>
      <c r="G96" s="363">
        <v>304570.48</v>
      </c>
      <c r="H96" t="s">
        <v>834</v>
      </c>
      <c r="I96" s="360"/>
      <c r="J96" s="363">
        <v>0</v>
      </c>
      <c r="K96" t="s">
        <v>855</v>
      </c>
      <c r="L96" s="360"/>
      <c r="M96" s="363">
        <v>10877.517142857143</v>
      </c>
      <c r="N96" t="s">
        <v>834</v>
      </c>
      <c r="O96" s="360"/>
      <c r="P96" s="366" t="str">
        <f t="shared" si="25"/>
        <v>Met</v>
      </c>
      <c r="Q96" s="360"/>
      <c r="R96" s="399">
        <v>0</v>
      </c>
      <c r="S96" s="400" t="str">
        <f t="shared" si="33"/>
        <v>Did not Meet</v>
      </c>
      <c r="U96" s="399">
        <v>321331.53000000003</v>
      </c>
      <c r="V96" s="400" t="str">
        <f t="shared" si="34"/>
        <v>Met</v>
      </c>
      <c r="X96" s="399">
        <v>0</v>
      </c>
      <c r="Y96" s="400" t="str">
        <f t="shared" si="35"/>
        <v>Did not Meet</v>
      </c>
      <c r="AA96" s="399">
        <v>10711.051000000001</v>
      </c>
      <c r="AB96" s="400" t="str">
        <f t="shared" si="36"/>
        <v>Did not Meet</v>
      </c>
      <c r="AD96" s="366" t="str">
        <f t="shared" si="26"/>
        <v>Met</v>
      </c>
      <c r="AF96" s="399">
        <v>1646.34</v>
      </c>
      <c r="AG96" s="400" t="str">
        <f t="shared" si="37"/>
        <v>Did not Meet</v>
      </c>
      <c r="AI96" s="399">
        <v>382711.78</v>
      </c>
      <c r="AJ96" s="400" t="str">
        <f t="shared" si="38"/>
        <v>Met</v>
      </c>
      <c r="AL96" s="399">
        <f>VLOOKUP(A96,$A$5:$AF$315,32,0)/IFERROR(VLOOKUP(A96,'21-22 child count'!$A$3:$S$317,19,0),0)</f>
        <v>49.889090909090903</v>
      </c>
      <c r="AM96" s="400" t="str">
        <f t="shared" si="39"/>
        <v>Did not Meet</v>
      </c>
      <c r="AO96" s="399">
        <f>VLOOKUP(A96,'42. SEA or LEA Worksheet'!$A$4:$AB$318,28,0)/IFERROR(VLOOKUP('42. SEA or LEA Worksheet'!A204,'21-22 child count'!$A$3:$S$317,3,0),0)</f>
        <v>3342.6792982456141</v>
      </c>
      <c r="AP96" s="400" t="str">
        <f t="shared" si="40"/>
        <v>Did not Meet</v>
      </c>
      <c r="AR96" s="366" t="str">
        <f t="shared" si="27"/>
        <v>Met</v>
      </c>
      <c r="AU96" s="400" t="str">
        <f t="shared" si="29"/>
        <v>Did not Meet</v>
      </c>
      <c r="AX96" s="400" t="str">
        <f t="shared" si="30"/>
        <v>Did not Meet</v>
      </c>
      <c r="BA96" s="400" t="str">
        <f t="shared" si="31"/>
        <v>Did not Meet</v>
      </c>
      <c r="BD96" s="400" t="str">
        <f t="shared" si="32"/>
        <v>Did not Meet</v>
      </c>
      <c r="BF96" s="366" t="str">
        <f t="shared" si="28"/>
        <v>Met</v>
      </c>
    </row>
    <row r="97" spans="1:58">
      <c r="A97" t="s">
        <v>597</v>
      </c>
      <c r="B97" t="s">
        <v>1026</v>
      </c>
      <c r="C97" s="360"/>
      <c r="D97" s="363">
        <v>0</v>
      </c>
      <c r="E97" t="s">
        <v>855</v>
      </c>
      <c r="F97" s="360"/>
      <c r="G97" s="363">
        <v>805265.51</v>
      </c>
      <c r="H97" t="s">
        <v>834</v>
      </c>
      <c r="I97" s="360"/>
      <c r="J97" s="363">
        <v>0</v>
      </c>
      <c r="K97" t="s">
        <v>855</v>
      </c>
      <c r="L97" s="360"/>
      <c r="M97" s="363">
        <v>8658.7689247311828</v>
      </c>
      <c r="N97" t="s">
        <v>834</v>
      </c>
      <c r="O97" s="360"/>
      <c r="P97" s="366" t="str">
        <f t="shared" si="25"/>
        <v>Met</v>
      </c>
      <c r="Q97" s="360"/>
      <c r="R97" s="399">
        <v>0</v>
      </c>
      <c r="S97" s="400" t="str">
        <f t="shared" si="33"/>
        <v>Did not Meet</v>
      </c>
      <c r="U97" s="399">
        <v>835250.05</v>
      </c>
      <c r="V97" s="400" t="str">
        <f t="shared" si="34"/>
        <v>Met</v>
      </c>
      <c r="X97" s="399">
        <v>0</v>
      </c>
      <c r="Y97" s="400" t="str">
        <f t="shared" si="35"/>
        <v>Did not Meet</v>
      </c>
      <c r="AA97" s="399">
        <v>6576.7720472440951</v>
      </c>
      <c r="AB97" s="400" t="str">
        <f t="shared" si="36"/>
        <v>Did not Meet</v>
      </c>
      <c r="AD97" s="366" t="str">
        <f t="shared" si="26"/>
        <v>Met</v>
      </c>
      <c r="AF97" s="399">
        <v>0</v>
      </c>
      <c r="AG97" s="400" t="str">
        <f t="shared" si="37"/>
        <v>Did not Meet</v>
      </c>
      <c r="AI97" s="399">
        <v>721482.86</v>
      </c>
      <c r="AJ97" s="400" t="str">
        <f t="shared" si="38"/>
        <v>Did not Meet</v>
      </c>
      <c r="AL97" s="399">
        <f>VLOOKUP(A97,$A$5:$AF$315,32,0)/IFERROR(VLOOKUP(A97,'21-22 child count'!$A$3:$S$317,19,0),0)</f>
        <v>0</v>
      </c>
      <c r="AM97" s="400" t="str">
        <f t="shared" si="39"/>
        <v>Did not Meet</v>
      </c>
      <c r="AO97" s="399">
        <f>VLOOKUP(A97,'42. SEA or LEA Worksheet'!$A$4:$AB$318,28,0)/IFERROR(VLOOKUP('42. SEA or LEA Worksheet'!A205,'21-22 child count'!$A$3:$S$317,3,0),0)</f>
        <v>6328.7970175438595</v>
      </c>
      <c r="AP97" s="400" t="str">
        <f t="shared" si="40"/>
        <v>Did not Meet</v>
      </c>
      <c r="AR97" s="366" t="str">
        <f t="shared" si="27"/>
        <v>Met</v>
      </c>
      <c r="AU97" s="400" t="str">
        <f t="shared" si="29"/>
        <v>Did not Meet</v>
      </c>
      <c r="AX97" s="400" t="str">
        <f t="shared" si="30"/>
        <v>Did not Meet</v>
      </c>
      <c r="BA97" s="400" t="str">
        <f t="shared" si="31"/>
        <v>Did not Meet</v>
      </c>
      <c r="BD97" s="400" t="str">
        <f t="shared" si="32"/>
        <v>Did not Meet</v>
      </c>
      <c r="BF97" s="366" t="str">
        <f t="shared" si="28"/>
        <v>Met</v>
      </c>
    </row>
    <row r="98" spans="1:58">
      <c r="A98" t="s">
        <v>599</v>
      </c>
      <c r="B98" t="s">
        <v>1027</v>
      </c>
      <c r="C98" s="360"/>
      <c r="D98" s="363">
        <v>0</v>
      </c>
      <c r="E98" t="s">
        <v>855</v>
      </c>
      <c r="F98" s="360"/>
      <c r="G98" s="363">
        <v>3663174.81</v>
      </c>
      <c r="H98" t="s">
        <v>834</v>
      </c>
      <c r="I98" s="360"/>
      <c r="J98" s="363">
        <v>0</v>
      </c>
      <c r="K98" t="s">
        <v>855</v>
      </c>
      <c r="L98" s="360"/>
      <c r="M98" s="363">
        <v>10377.265750708215</v>
      </c>
      <c r="N98" t="s">
        <v>855</v>
      </c>
      <c r="O98" s="360"/>
      <c r="P98" s="366" t="str">
        <f t="shared" si="25"/>
        <v>Met</v>
      </c>
      <c r="Q98" s="360"/>
      <c r="R98" s="399">
        <v>0</v>
      </c>
      <c r="S98" s="400" t="str">
        <f t="shared" si="33"/>
        <v>Did not Meet</v>
      </c>
      <c r="U98" s="399">
        <v>3325485.19</v>
      </c>
      <c r="V98" s="400" t="str">
        <f t="shared" si="34"/>
        <v>Met</v>
      </c>
      <c r="X98" s="399">
        <v>0</v>
      </c>
      <c r="Y98" s="400" t="str">
        <f t="shared" si="35"/>
        <v>Did not Meet</v>
      </c>
      <c r="AA98" s="399">
        <v>9555.9919252873569</v>
      </c>
      <c r="AB98" s="400" t="str">
        <f t="shared" si="36"/>
        <v>Did not Meet</v>
      </c>
      <c r="AD98" s="366" t="str">
        <f t="shared" si="26"/>
        <v>Met</v>
      </c>
      <c r="AF98" s="399">
        <v>130756.61</v>
      </c>
      <c r="AG98" s="400" t="str">
        <f t="shared" si="37"/>
        <v>Did not Meet</v>
      </c>
      <c r="AI98" s="399">
        <v>3766719.06</v>
      </c>
      <c r="AJ98" s="400" t="str">
        <f t="shared" si="38"/>
        <v>Met</v>
      </c>
      <c r="AL98" s="399">
        <f>VLOOKUP(A98,$A$5:$AF$315,32,0)/IFERROR(VLOOKUP(A98,'21-22 child count'!$A$3:$S$317,19,0),0)</f>
        <v>398.6482012195122</v>
      </c>
      <c r="AM98" s="400" t="str">
        <f t="shared" si="39"/>
        <v>Did not Meet</v>
      </c>
      <c r="AO98" s="399">
        <f>VLOOKUP(A98,'42. SEA or LEA Worksheet'!$A$4:$AB$318,28,0)/IFERROR(VLOOKUP('42. SEA or LEA Worksheet'!A206,'21-22 child count'!$A$3:$S$317,3,0),0)</f>
        <v>29539.119918699187</v>
      </c>
      <c r="AP98" s="400" t="str">
        <f t="shared" si="40"/>
        <v>Did not Meet</v>
      </c>
      <c r="AR98" s="366" t="str">
        <f t="shared" si="27"/>
        <v>Met</v>
      </c>
      <c r="AU98" s="400" t="str">
        <f t="shared" si="29"/>
        <v>Did not Meet</v>
      </c>
      <c r="AX98" s="400" t="str">
        <f t="shared" si="30"/>
        <v>Did not Meet</v>
      </c>
      <c r="BA98" s="400" t="str">
        <f t="shared" si="31"/>
        <v>Did not Meet</v>
      </c>
      <c r="BD98" s="400" t="str">
        <f t="shared" si="32"/>
        <v>Did not Meet</v>
      </c>
      <c r="BF98" s="366" t="str">
        <f t="shared" si="28"/>
        <v>Met</v>
      </c>
    </row>
    <row r="99" spans="1:58">
      <c r="A99" t="s">
        <v>601</v>
      </c>
      <c r="B99" t="s">
        <v>1028</v>
      </c>
      <c r="C99" s="360"/>
      <c r="D99" s="363">
        <v>0</v>
      </c>
      <c r="E99" t="s">
        <v>855</v>
      </c>
      <c r="F99" s="360"/>
      <c r="G99" s="363">
        <v>3347651.13</v>
      </c>
      <c r="H99" t="s">
        <v>834</v>
      </c>
      <c r="I99" s="360"/>
      <c r="J99" s="363">
        <v>0</v>
      </c>
      <c r="K99" t="s">
        <v>855</v>
      </c>
      <c r="L99" s="360"/>
      <c r="M99" s="363">
        <v>9647.4095965417873</v>
      </c>
      <c r="N99" t="s">
        <v>834</v>
      </c>
      <c r="O99" s="360"/>
      <c r="P99" s="366" t="str">
        <f t="shared" si="25"/>
        <v>Met</v>
      </c>
      <c r="Q99" s="360"/>
      <c r="R99" s="399">
        <v>0</v>
      </c>
      <c r="S99" s="400" t="str">
        <f t="shared" si="33"/>
        <v>Did not Meet</v>
      </c>
      <c r="U99" s="399">
        <v>3524599.57</v>
      </c>
      <c r="V99" s="400" t="str">
        <f t="shared" si="34"/>
        <v>Met</v>
      </c>
      <c r="X99" s="399">
        <v>0</v>
      </c>
      <c r="Y99" s="400" t="str">
        <f t="shared" si="35"/>
        <v>Did not Meet</v>
      </c>
      <c r="AA99" s="399">
        <v>10157.347463976945</v>
      </c>
      <c r="AB99" s="400" t="str">
        <f t="shared" si="36"/>
        <v>Met</v>
      </c>
      <c r="AD99" s="366" t="str">
        <f t="shared" si="26"/>
        <v>Met</v>
      </c>
      <c r="AF99" s="399">
        <v>0</v>
      </c>
      <c r="AG99" s="400" t="str">
        <f t="shared" si="37"/>
        <v>Did not Meet</v>
      </c>
      <c r="AI99" s="399">
        <v>3622682.22</v>
      </c>
      <c r="AJ99" s="400" t="str">
        <f t="shared" si="38"/>
        <v>Met</v>
      </c>
      <c r="AL99" s="399">
        <f>VLOOKUP(A99,$A$5:$AF$315,32,0)/IFERROR(VLOOKUP(A99,'21-22 child count'!$A$3:$S$317,19,0),0)</f>
        <v>0</v>
      </c>
      <c r="AM99" s="400" t="str">
        <f t="shared" si="39"/>
        <v>Did not Meet</v>
      </c>
      <c r="AO99" s="399">
        <f>VLOOKUP(A99,'42. SEA or LEA Worksheet'!$A$4:$AB$318,28,0)/IFERROR(VLOOKUP('42. SEA or LEA Worksheet'!A207,'21-22 child count'!$A$3:$S$317,3,0),0)</f>
        <v>35308.695841584158</v>
      </c>
      <c r="AP99" s="400" t="str">
        <f t="shared" si="40"/>
        <v>Met</v>
      </c>
      <c r="AR99" s="366" t="str">
        <f t="shared" si="27"/>
        <v>Met</v>
      </c>
      <c r="AU99" s="400" t="str">
        <f t="shared" si="29"/>
        <v>Did not Meet</v>
      </c>
      <c r="AX99" s="400" t="str">
        <f t="shared" si="30"/>
        <v>Did not Meet</v>
      </c>
      <c r="BA99" s="400" t="str">
        <f t="shared" si="31"/>
        <v>Did not Meet</v>
      </c>
      <c r="BD99" s="400" t="str">
        <f t="shared" si="32"/>
        <v>Did not Meet</v>
      </c>
      <c r="BF99" s="366" t="str">
        <f t="shared" si="28"/>
        <v>Met</v>
      </c>
    </row>
    <row r="100" spans="1:58">
      <c r="A100" t="s">
        <v>383</v>
      </c>
      <c r="B100" t="s">
        <v>926</v>
      </c>
      <c r="C100" s="360"/>
      <c r="D100" s="363">
        <v>0</v>
      </c>
      <c r="E100" t="s">
        <v>834</v>
      </c>
      <c r="F100" s="360"/>
      <c r="G100" s="363">
        <v>183280.16</v>
      </c>
      <c r="H100" t="s">
        <v>834</v>
      </c>
      <c r="I100" s="360"/>
      <c r="J100" s="363">
        <v>0</v>
      </c>
      <c r="K100" t="s">
        <v>834</v>
      </c>
      <c r="L100" s="360"/>
      <c r="M100" s="363">
        <v>9646.3242105263162</v>
      </c>
      <c r="N100" t="s">
        <v>834</v>
      </c>
      <c r="O100" s="360"/>
      <c r="P100" s="366" t="str">
        <f t="shared" si="25"/>
        <v>Met</v>
      </c>
      <c r="Q100" s="360"/>
      <c r="R100" s="399">
        <v>0</v>
      </c>
      <c r="S100" s="400" t="str">
        <f t="shared" si="33"/>
        <v>Met</v>
      </c>
      <c r="U100" s="399">
        <v>189322.61</v>
      </c>
      <c r="V100" s="400" t="str">
        <f t="shared" si="34"/>
        <v>Met</v>
      </c>
      <c r="X100" s="399">
        <v>0</v>
      </c>
      <c r="Y100" s="400" t="str">
        <f t="shared" si="35"/>
        <v>Met</v>
      </c>
      <c r="AA100" s="399">
        <v>11136.624117647058</v>
      </c>
      <c r="AB100" s="400" t="str">
        <f t="shared" si="36"/>
        <v>Met</v>
      </c>
      <c r="AD100" s="366" t="str">
        <f t="shared" si="26"/>
        <v>Met</v>
      </c>
      <c r="AF100" s="399">
        <v>0</v>
      </c>
      <c r="AG100" s="400" t="str">
        <f t="shared" si="37"/>
        <v>Met</v>
      </c>
      <c r="AI100" s="399">
        <v>194224.95</v>
      </c>
      <c r="AJ100" s="400" t="str">
        <f t="shared" si="38"/>
        <v>Met</v>
      </c>
      <c r="AL100" s="399">
        <f>VLOOKUP(A100,$A$5:$AF$315,32,0)/IFERROR(VLOOKUP(A100,'21-22 child count'!$A$3:$S$317,19,0),0)</f>
        <v>0</v>
      </c>
      <c r="AM100" s="400" t="str">
        <f t="shared" si="39"/>
        <v>Met</v>
      </c>
      <c r="AO100" s="399">
        <f>AI100/'21-22 child count'!S95</f>
        <v>9711.2475000000013</v>
      </c>
      <c r="AP100" s="400" t="str">
        <f t="shared" si="40"/>
        <v>Did not Meet</v>
      </c>
      <c r="AR100" s="366" t="str">
        <f t="shared" si="27"/>
        <v>Met</v>
      </c>
      <c r="AU100" s="400" t="str">
        <f t="shared" si="29"/>
        <v>Met</v>
      </c>
      <c r="AX100" s="400" t="str">
        <f t="shared" si="30"/>
        <v>Did not Meet</v>
      </c>
      <c r="BA100" s="400" t="str">
        <f t="shared" si="31"/>
        <v>Met</v>
      </c>
      <c r="BD100" s="400" t="str">
        <f t="shared" si="32"/>
        <v>Did not Meet</v>
      </c>
      <c r="BF100" s="366" t="str">
        <f t="shared" si="28"/>
        <v>Met</v>
      </c>
    </row>
    <row r="101" spans="1:58">
      <c r="A101" t="s">
        <v>605</v>
      </c>
      <c r="B101" t="s">
        <v>1030</v>
      </c>
      <c r="C101" s="360"/>
      <c r="D101" s="363">
        <v>0</v>
      </c>
      <c r="E101" t="s">
        <v>855</v>
      </c>
      <c r="F101" s="360"/>
      <c r="G101" s="363">
        <v>48577.22</v>
      </c>
      <c r="H101" t="s">
        <v>855</v>
      </c>
      <c r="I101" s="360"/>
      <c r="J101" s="363">
        <v>0</v>
      </c>
      <c r="K101" t="s">
        <v>855</v>
      </c>
      <c r="L101" s="360"/>
      <c r="M101" s="363">
        <v>48577.22</v>
      </c>
      <c r="N101" t="s">
        <v>834</v>
      </c>
      <c r="O101" s="360"/>
      <c r="P101" s="366" t="str">
        <f t="shared" si="25"/>
        <v>Met</v>
      </c>
      <c r="Q101" s="360"/>
      <c r="R101" s="399">
        <v>0</v>
      </c>
      <c r="S101" s="400" t="str">
        <f t="shared" si="33"/>
        <v>Did not Meet</v>
      </c>
      <c r="U101" s="399">
        <v>62587.39</v>
      </c>
      <c r="V101" s="400" t="str">
        <f t="shared" si="34"/>
        <v>Did not Meet</v>
      </c>
      <c r="X101" s="399">
        <v>0</v>
      </c>
      <c r="Y101" s="400" t="str">
        <f t="shared" si="35"/>
        <v>Did not Meet</v>
      </c>
      <c r="AA101" s="399">
        <v>12517.477999999999</v>
      </c>
      <c r="AB101" s="400" t="str">
        <f t="shared" si="36"/>
        <v>Did not Meet</v>
      </c>
      <c r="AD101" s="366" t="str">
        <f t="shared" si="26"/>
        <v>Met</v>
      </c>
      <c r="AF101" s="399">
        <v>27540.38</v>
      </c>
      <c r="AG101" s="400" t="str">
        <f t="shared" si="37"/>
        <v>Did not Meet</v>
      </c>
      <c r="AI101" s="399">
        <v>131385.12</v>
      </c>
      <c r="AJ101" s="400" t="str">
        <f t="shared" si="38"/>
        <v>Did not Meet</v>
      </c>
      <c r="AL101" s="399">
        <f>VLOOKUP(A101,$A$5:$AF$315,32,0)/IFERROR(VLOOKUP(A101,'21-22 child count'!$A$3:$S$317,19,0),0)</f>
        <v>2754.038</v>
      </c>
      <c r="AM101" s="400" t="str">
        <f t="shared" si="39"/>
        <v>Did not Meet</v>
      </c>
      <c r="AO101" s="399">
        <f>VLOOKUP(A101,'42. SEA or LEA Worksheet'!$A$4:$AB$318,28,0)/IFERROR(VLOOKUP('42. SEA or LEA Worksheet'!A209,'21-22 child count'!$A$3:$S$317,3,0),0)</f>
        <v>1028.1657425742574</v>
      </c>
      <c r="AP101" s="400" t="str">
        <f t="shared" si="40"/>
        <v>Did not Meet</v>
      </c>
      <c r="AR101" s="366" t="str">
        <f t="shared" si="27"/>
        <v>Met</v>
      </c>
      <c r="AU101" s="400" t="str">
        <f t="shared" si="29"/>
        <v>Did not Meet</v>
      </c>
      <c r="AX101" s="400" t="str">
        <f t="shared" si="30"/>
        <v>Did not Meet</v>
      </c>
      <c r="BA101" s="400" t="str">
        <f t="shared" si="31"/>
        <v>Did not Meet</v>
      </c>
      <c r="BD101" s="400" t="str">
        <f t="shared" si="32"/>
        <v>Did not Meet</v>
      </c>
      <c r="BF101" s="366" t="str">
        <f t="shared" si="28"/>
        <v>Met</v>
      </c>
    </row>
    <row r="102" spans="1:58">
      <c r="A102" t="s">
        <v>607</v>
      </c>
      <c r="B102" t="s">
        <v>1031</v>
      </c>
      <c r="C102" s="360"/>
      <c r="D102" s="363">
        <v>0</v>
      </c>
      <c r="E102" t="s">
        <v>855</v>
      </c>
      <c r="F102" s="360"/>
      <c r="G102" s="363">
        <v>719402.15</v>
      </c>
      <c r="H102" t="s">
        <v>879</v>
      </c>
      <c r="I102" s="360"/>
      <c r="J102" s="363">
        <v>0</v>
      </c>
      <c r="K102" t="s">
        <v>855</v>
      </c>
      <c r="L102" s="360"/>
      <c r="M102" s="363">
        <v>13573.625471698113</v>
      </c>
      <c r="N102" t="s">
        <v>834</v>
      </c>
      <c r="O102" s="360"/>
      <c r="P102" s="366" t="str">
        <f t="shared" si="25"/>
        <v>Met</v>
      </c>
      <c r="Q102" s="360"/>
      <c r="R102" s="399">
        <v>0</v>
      </c>
      <c r="S102" s="400" t="str">
        <f t="shared" si="33"/>
        <v>Did not Meet</v>
      </c>
      <c r="U102" s="399">
        <v>917405.55</v>
      </c>
      <c r="V102" s="400" t="str">
        <f t="shared" si="34"/>
        <v>Did not Meet</v>
      </c>
      <c r="X102" s="399">
        <v>0</v>
      </c>
      <c r="Y102" s="400" t="str">
        <f t="shared" si="35"/>
        <v>Did not Meet</v>
      </c>
      <c r="AA102" s="399">
        <v>16680.10090909091</v>
      </c>
      <c r="AB102" s="400" t="str">
        <f t="shared" si="36"/>
        <v>Met</v>
      </c>
      <c r="AD102" s="366" t="str">
        <f t="shared" si="26"/>
        <v>Met</v>
      </c>
      <c r="AF102" s="399">
        <v>0</v>
      </c>
      <c r="AG102" s="400" t="str">
        <f t="shared" si="37"/>
        <v>Did not Meet</v>
      </c>
      <c r="AI102" s="399">
        <v>806732.91</v>
      </c>
      <c r="AJ102" s="400" t="str">
        <f t="shared" si="38"/>
        <v>Did not Meet</v>
      </c>
      <c r="AL102" s="399">
        <f>VLOOKUP(A102,$A$5:$AF$315,32,0)/IFERROR(VLOOKUP(A102,'21-22 child count'!$A$3:$S$317,19,0),0)</f>
        <v>0</v>
      </c>
      <c r="AM102" s="400" t="str">
        <f t="shared" si="39"/>
        <v>Did not Meet</v>
      </c>
      <c r="AO102" s="399">
        <f>VLOOKUP(A102,'42. SEA or LEA Worksheet'!$A$4:$AB$318,28,0)/IFERROR(VLOOKUP('42. SEA or LEA Worksheet'!A210,'21-22 child count'!$A$3:$S$317,3,0),0)</f>
        <v>7987.4545544554458</v>
      </c>
      <c r="AP102" s="400" t="str">
        <f t="shared" si="40"/>
        <v>Did not Meet</v>
      </c>
      <c r="AR102" s="366" t="str">
        <f t="shared" si="27"/>
        <v>Met</v>
      </c>
      <c r="AU102" s="400" t="str">
        <f t="shared" si="29"/>
        <v>Did not Meet</v>
      </c>
      <c r="AX102" s="400" t="str">
        <f t="shared" si="30"/>
        <v>Did not Meet</v>
      </c>
      <c r="BA102" s="400" t="str">
        <f t="shared" si="31"/>
        <v>Did not Meet</v>
      </c>
      <c r="BD102" s="400" t="str">
        <f t="shared" si="32"/>
        <v>Did not Meet</v>
      </c>
      <c r="BF102" s="366" t="str">
        <f t="shared" si="28"/>
        <v>Met</v>
      </c>
    </row>
    <row r="103" spans="1:58">
      <c r="A103" t="s">
        <v>389</v>
      </c>
      <c r="B103" t="s">
        <v>929</v>
      </c>
      <c r="C103" s="360"/>
      <c r="D103" s="363">
        <v>0</v>
      </c>
      <c r="E103" t="s">
        <v>834</v>
      </c>
      <c r="F103" s="360"/>
      <c r="G103" s="363">
        <v>1327237.92</v>
      </c>
      <c r="H103" t="s">
        <v>834</v>
      </c>
      <c r="I103" s="360"/>
      <c r="J103" s="363">
        <v>0</v>
      </c>
      <c r="K103" t="s">
        <v>834</v>
      </c>
      <c r="L103" s="360"/>
      <c r="M103" s="363">
        <v>9548.4742446043165</v>
      </c>
      <c r="N103" t="s">
        <v>834</v>
      </c>
      <c r="O103" s="360"/>
      <c r="P103" s="366" t="str">
        <f t="shared" si="25"/>
        <v>Met</v>
      </c>
      <c r="Q103" s="360"/>
      <c r="R103" s="399">
        <v>0</v>
      </c>
      <c r="S103" s="400" t="str">
        <f t="shared" si="33"/>
        <v>Met</v>
      </c>
      <c r="U103" s="399">
        <v>1356056.94</v>
      </c>
      <c r="V103" s="400" t="str">
        <f t="shared" si="34"/>
        <v>Met</v>
      </c>
      <c r="X103" s="399">
        <v>0</v>
      </c>
      <c r="Y103" s="400" t="str">
        <f t="shared" si="35"/>
        <v>Met</v>
      </c>
      <c r="AA103" s="399">
        <v>9617.4251063829779</v>
      </c>
      <c r="AB103" s="400" t="str">
        <f t="shared" si="36"/>
        <v>Met</v>
      </c>
      <c r="AD103" s="366" t="str">
        <f t="shared" si="26"/>
        <v>Met</v>
      </c>
      <c r="AF103" s="399">
        <v>117184.58</v>
      </c>
      <c r="AG103" s="400" t="str">
        <f t="shared" si="37"/>
        <v>Met</v>
      </c>
      <c r="AI103" s="399">
        <v>1487039.1500000001</v>
      </c>
      <c r="AJ103" s="400" t="str">
        <f t="shared" si="38"/>
        <v>Met</v>
      </c>
      <c r="AL103" s="399">
        <f>VLOOKUP(A103,$A$5:$AF$315,32,0)/IFERROR(VLOOKUP(A103,'21-22 child count'!$A$3:$S$317,19,0),0)</f>
        <v>894.53877862595425</v>
      </c>
      <c r="AM103" s="400" t="str">
        <f t="shared" si="39"/>
        <v>Met</v>
      </c>
      <c r="AO103" s="399">
        <f>VLOOKUP(A103,'42. SEA or LEA Worksheet'!$A$4:$AB$318,28,0)/IFERROR(VLOOKUP('42. SEA or LEA Worksheet'!A100,'21-22 child count'!$A$3:$S$317,3,0),0)</f>
        <v>13046.234</v>
      </c>
      <c r="AP103" s="400" t="str">
        <f t="shared" si="40"/>
        <v>Met</v>
      </c>
      <c r="AR103" s="366" t="str">
        <f t="shared" si="27"/>
        <v>Met</v>
      </c>
      <c r="AU103" s="400" t="str">
        <f t="shared" si="29"/>
        <v>Did not Meet</v>
      </c>
      <c r="AX103" s="400" t="str">
        <f t="shared" si="30"/>
        <v>Did not Meet</v>
      </c>
      <c r="BA103" s="400" t="str">
        <f t="shared" si="31"/>
        <v>Did not Meet</v>
      </c>
      <c r="BD103" s="400" t="str">
        <f t="shared" si="32"/>
        <v>Did not Meet</v>
      </c>
      <c r="BF103" s="366" t="str">
        <f t="shared" si="28"/>
        <v>Met</v>
      </c>
    </row>
    <row r="104" spans="1:58">
      <c r="A104" t="s">
        <v>391</v>
      </c>
      <c r="B104" t="s">
        <v>930</v>
      </c>
      <c r="C104" s="360"/>
      <c r="D104" s="363">
        <v>6299226.71</v>
      </c>
      <c r="E104" t="s">
        <v>834</v>
      </c>
      <c r="F104" s="360"/>
      <c r="G104" s="363">
        <v>40913684.660000004</v>
      </c>
      <c r="H104" t="s">
        <v>834</v>
      </c>
      <c r="I104" s="360"/>
      <c r="J104" s="363">
        <v>2249.723825</v>
      </c>
      <c r="K104" t="s">
        <v>855</v>
      </c>
      <c r="L104" s="360"/>
      <c r="M104" s="363">
        <v>14612.030235714286</v>
      </c>
      <c r="N104" t="s">
        <v>834</v>
      </c>
      <c r="O104" s="360"/>
      <c r="P104" s="366" t="str">
        <f t="shared" si="25"/>
        <v>Met</v>
      </c>
      <c r="Q104" s="360"/>
      <c r="R104" s="399">
        <v>9601210.7400000002</v>
      </c>
      <c r="S104" s="400" t="str">
        <f t="shared" si="33"/>
        <v>Met</v>
      </c>
      <c r="U104" s="399">
        <v>43476084.18</v>
      </c>
      <c r="V104" s="400" t="str">
        <f t="shared" si="34"/>
        <v>Met</v>
      </c>
      <c r="X104" s="399">
        <v>3451.190057512581</v>
      </c>
      <c r="Y104" s="400" t="str">
        <f t="shared" si="35"/>
        <v>Did not Meet</v>
      </c>
      <c r="AA104" s="399">
        <v>15627.636297627607</v>
      </c>
      <c r="AB104" s="400" t="str">
        <f t="shared" si="36"/>
        <v>Met</v>
      </c>
      <c r="AD104" s="366" t="str">
        <f t="shared" si="26"/>
        <v>Met</v>
      </c>
      <c r="AF104" s="399">
        <v>10578962.119999999</v>
      </c>
      <c r="AG104" s="400" t="str">
        <f t="shared" si="37"/>
        <v>Met</v>
      </c>
      <c r="AI104" s="399">
        <v>55844451.309999995</v>
      </c>
      <c r="AJ104" s="400" t="str">
        <f t="shared" si="38"/>
        <v>Met</v>
      </c>
      <c r="AL104" s="399">
        <f>VLOOKUP(A104,$A$5:$AF$315,32,0)/IFERROR(VLOOKUP(A104,'21-22 child count'!$A$3:$S$317,19,0),0)</f>
        <v>3956.231159311892</v>
      </c>
      <c r="AM104" s="400" t="str">
        <f t="shared" si="39"/>
        <v>Did not Meet</v>
      </c>
      <c r="AO104" s="399">
        <f>VLOOKUP(A104,'42. SEA or LEA Worksheet'!$A$4:$AB$318,28,0)/IFERROR(VLOOKUP('42. SEA or LEA Worksheet'!A101,'21-22 child count'!$A$3:$S$317,3,0),0)</f>
        <v>366145.69471074379</v>
      </c>
      <c r="AP104" s="400" t="str">
        <f t="shared" si="40"/>
        <v>Met</v>
      </c>
      <c r="AR104" s="366" t="str">
        <f t="shared" si="27"/>
        <v>Met</v>
      </c>
      <c r="AU104" s="400" t="str">
        <f t="shared" si="29"/>
        <v>Did not Meet</v>
      </c>
      <c r="AX104" s="400" t="str">
        <f t="shared" si="30"/>
        <v>Did not Meet</v>
      </c>
      <c r="BA104" s="400" t="str">
        <f t="shared" si="31"/>
        <v>Did not Meet</v>
      </c>
      <c r="BD104" s="400" t="str">
        <f t="shared" si="32"/>
        <v>Did not Meet</v>
      </c>
      <c r="BF104" s="366" t="str">
        <f t="shared" si="28"/>
        <v>Met</v>
      </c>
    </row>
    <row r="105" spans="1:58">
      <c r="A105" t="s">
        <v>615</v>
      </c>
      <c r="B105" t="s">
        <v>1034</v>
      </c>
      <c r="C105" s="360"/>
      <c r="D105" s="363">
        <v>0</v>
      </c>
      <c r="E105" t="s">
        <v>855</v>
      </c>
      <c r="F105" s="360"/>
      <c r="G105" s="363">
        <v>1069716.6000000001</v>
      </c>
      <c r="H105" t="s">
        <v>834</v>
      </c>
      <c r="I105" s="360"/>
      <c r="J105" s="363">
        <v>0</v>
      </c>
      <c r="K105" t="s">
        <v>834</v>
      </c>
      <c r="L105" s="360"/>
      <c r="M105" s="363">
        <v>8357.1609375000007</v>
      </c>
      <c r="N105" t="s">
        <v>834</v>
      </c>
      <c r="O105" s="360"/>
      <c r="P105" s="366" t="str">
        <f t="shared" si="25"/>
        <v>Met</v>
      </c>
      <c r="Q105" s="360"/>
      <c r="R105" s="399">
        <v>0</v>
      </c>
      <c r="S105" s="400" t="str">
        <f t="shared" si="33"/>
        <v>Did not Meet</v>
      </c>
      <c r="U105" s="399">
        <v>1124546.1499999999</v>
      </c>
      <c r="V105" s="400" t="str">
        <f t="shared" si="34"/>
        <v>Met</v>
      </c>
      <c r="X105" s="399">
        <v>0</v>
      </c>
      <c r="Y105" s="400" t="str">
        <f t="shared" si="35"/>
        <v>Met</v>
      </c>
      <c r="AA105" s="399">
        <v>8329.9714814814815</v>
      </c>
      <c r="AB105" s="400" t="str">
        <f t="shared" si="36"/>
        <v>Did not Meet</v>
      </c>
      <c r="AD105" s="366" t="str">
        <f t="shared" si="26"/>
        <v>Met</v>
      </c>
      <c r="AF105" s="399">
        <v>0</v>
      </c>
      <c r="AG105" s="400" t="str">
        <f t="shared" si="37"/>
        <v>Did not Meet</v>
      </c>
      <c r="AI105" s="399">
        <v>1270856.8400000001</v>
      </c>
      <c r="AJ105" s="400" t="str">
        <f t="shared" si="38"/>
        <v>Met</v>
      </c>
      <c r="AL105" s="399">
        <f>VLOOKUP(A105,$A$5:$AF$315,32,0)/IFERROR(VLOOKUP(A105,'21-22 child count'!$A$3:$S$317,19,0),0)</f>
        <v>0</v>
      </c>
      <c r="AM105" s="400" t="str">
        <f t="shared" si="39"/>
        <v>Met</v>
      </c>
      <c r="AO105" s="399">
        <f>VLOOKUP(A105,'42. SEA or LEA Worksheet'!$A$4:$AB$318,28,0)/IFERROR(VLOOKUP('42. SEA or LEA Worksheet'!A213,'21-22 child count'!$A$3:$S$317,3,0),0)</f>
        <v>11146.112631578948</v>
      </c>
      <c r="AP105" s="400" t="str">
        <f t="shared" si="40"/>
        <v>Did not Meet</v>
      </c>
      <c r="AR105" s="366" t="str">
        <f t="shared" si="27"/>
        <v>Met</v>
      </c>
      <c r="AU105" s="400" t="str">
        <f t="shared" si="29"/>
        <v>Did not Meet</v>
      </c>
      <c r="AX105" s="400" t="str">
        <f t="shared" si="30"/>
        <v>Did not Meet</v>
      </c>
      <c r="BA105" s="400" t="str">
        <f t="shared" si="31"/>
        <v>Met</v>
      </c>
      <c r="BD105" s="400" t="str">
        <f t="shared" si="32"/>
        <v>Did not Meet</v>
      </c>
      <c r="BF105" s="366" t="str">
        <f t="shared" si="28"/>
        <v>Met</v>
      </c>
    </row>
    <row r="106" spans="1:58">
      <c r="A106" t="s">
        <v>395</v>
      </c>
      <c r="B106" t="s">
        <v>932</v>
      </c>
      <c r="C106" s="360"/>
      <c r="D106" s="363">
        <v>0</v>
      </c>
      <c r="E106" t="s">
        <v>834</v>
      </c>
      <c r="F106" s="360"/>
      <c r="G106" s="363">
        <v>810584.2</v>
      </c>
      <c r="H106" t="s">
        <v>855</v>
      </c>
      <c r="I106" s="360"/>
      <c r="J106" s="363">
        <v>0</v>
      </c>
      <c r="K106" t="s">
        <v>834</v>
      </c>
      <c r="L106" s="360"/>
      <c r="M106" s="363">
        <v>16542.534693877551</v>
      </c>
      <c r="N106" t="s">
        <v>855</v>
      </c>
      <c r="O106" s="360"/>
      <c r="P106" s="366" t="str">
        <f t="shared" si="25"/>
        <v>Met</v>
      </c>
      <c r="Q106" s="360"/>
      <c r="R106" s="399">
        <v>0</v>
      </c>
      <c r="S106" s="400" t="str">
        <f t="shared" si="33"/>
        <v>Met</v>
      </c>
      <c r="U106" s="399">
        <v>740819.86</v>
      </c>
      <c r="V106" s="400" t="str">
        <f t="shared" si="34"/>
        <v>Did not Meet</v>
      </c>
      <c r="X106" s="399">
        <v>0</v>
      </c>
      <c r="Y106" s="400" t="str">
        <f t="shared" si="35"/>
        <v>Met</v>
      </c>
      <c r="AA106" s="399">
        <v>17638.568095238094</v>
      </c>
      <c r="AB106" s="400" t="str">
        <f t="shared" si="36"/>
        <v>Did not Meet</v>
      </c>
      <c r="AD106" s="366" t="str">
        <f t="shared" si="26"/>
        <v>Met</v>
      </c>
      <c r="AF106" s="399">
        <v>0</v>
      </c>
      <c r="AG106" s="400" t="str">
        <f t="shared" si="37"/>
        <v>Met</v>
      </c>
      <c r="AI106" s="399">
        <v>791057.47</v>
      </c>
      <c r="AJ106" s="400" t="str">
        <f t="shared" si="38"/>
        <v>Did not Meet</v>
      </c>
      <c r="AL106" s="399">
        <f>VLOOKUP(A106,$A$5:$AF$315,32,0)/IFERROR(VLOOKUP(A106,'21-22 child count'!$A$3:$S$317,19,0),0)</f>
        <v>0</v>
      </c>
      <c r="AM106" s="400" t="str">
        <f t="shared" si="39"/>
        <v>Met</v>
      </c>
      <c r="AO106" s="399">
        <f>VLOOKUP(A106,'42. SEA or LEA Worksheet'!$A$4:$AB$318,28,0)/IFERROR(VLOOKUP('42. SEA or LEA Worksheet'!A103,'21-22 child count'!$A$3:$S$317,3,0),0)</f>
        <v>7000.5085840707961</v>
      </c>
      <c r="AP106" s="400" t="str">
        <f t="shared" si="40"/>
        <v>Did not Meet</v>
      </c>
      <c r="AR106" s="366" t="str">
        <f t="shared" si="27"/>
        <v>Met</v>
      </c>
      <c r="AU106" s="400" t="str">
        <f t="shared" si="29"/>
        <v>Met</v>
      </c>
      <c r="AX106" s="400" t="str">
        <f t="shared" si="30"/>
        <v>Did not Meet</v>
      </c>
      <c r="BA106" s="400" t="str">
        <f t="shared" si="31"/>
        <v>Met</v>
      </c>
      <c r="BD106" s="400" t="str">
        <f t="shared" si="32"/>
        <v>Did not Meet</v>
      </c>
      <c r="BF106" s="366" t="str">
        <f t="shared" si="28"/>
        <v>Met</v>
      </c>
    </row>
    <row r="107" spans="1:58">
      <c r="A107" t="s">
        <v>617</v>
      </c>
      <c r="B107" t="s">
        <v>1035</v>
      </c>
      <c r="C107" s="360"/>
      <c r="D107" s="363">
        <v>0</v>
      </c>
      <c r="E107" t="s">
        <v>855</v>
      </c>
      <c r="F107" s="360"/>
      <c r="G107" s="363">
        <v>349985</v>
      </c>
      <c r="H107" t="s">
        <v>834</v>
      </c>
      <c r="I107" s="360"/>
      <c r="J107" s="363">
        <v>0</v>
      </c>
      <c r="K107" t="s">
        <v>855</v>
      </c>
      <c r="L107" s="360"/>
      <c r="M107" s="363">
        <v>9210.1315789473683</v>
      </c>
      <c r="N107" t="s">
        <v>834</v>
      </c>
      <c r="O107" s="360"/>
      <c r="P107" s="366" t="str">
        <f t="shared" si="25"/>
        <v>Met</v>
      </c>
      <c r="Q107" s="360"/>
      <c r="R107" s="399">
        <v>0</v>
      </c>
      <c r="S107" s="400" t="str">
        <f t="shared" si="33"/>
        <v>Did not Meet</v>
      </c>
      <c r="U107" s="399">
        <v>281275.31</v>
      </c>
      <c r="V107" s="400" t="str">
        <f t="shared" si="34"/>
        <v>Met</v>
      </c>
      <c r="X107" s="399">
        <v>0</v>
      </c>
      <c r="Y107" s="400" t="str">
        <f t="shared" si="35"/>
        <v>Did not Meet</v>
      </c>
      <c r="AA107" s="399">
        <v>8036.4374285714284</v>
      </c>
      <c r="AB107" s="400" t="str">
        <f t="shared" si="36"/>
        <v>Did not Meet</v>
      </c>
      <c r="AD107" s="366" t="str">
        <f t="shared" si="26"/>
        <v>Met</v>
      </c>
      <c r="AF107" s="399">
        <v>0</v>
      </c>
      <c r="AG107" s="400" t="str">
        <f t="shared" si="37"/>
        <v>Did not Meet</v>
      </c>
      <c r="AI107" s="399">
        <v>460791.13</v>
      </c>
      <c r="AJ107" s="400" t="str">
        <f t="shared" si="38"/>
        <v>Met</v>
      </c>
      <c r="AL107" s="399">
        <f>VLOOKUP(A107,$A$5:$AF$315,32,0)/IFERROR(VLOOKUP(A107,'21-22 child count'!$A$3:$S$317,19,0),0)</f>
        <v>0</v>
      </c>
      <c r="AM107" s="400" t="str">
        <f t="shared" si="39"/>
        <v>Did not Meet</v>
      </c>
      <c r="AO107" s="399">
        <f>AI107/'21-22 child count'!S218</f>
        <v>19199.630416666667</v>
      </c>
      <c r="AP107" s="400" t="str">
        <f t="shared" si="40"/>
        <v>Did not Meet</v>
      </c>
      <c r="AR107" s="366" t="str">
        <f t="shared" si="27"/>
        <v>Met</v>
      </c>
      <c r="AU107" s="400" t="str">
        <f t="shared" si="29"/>
        <v>Did not Meet</v>
      </c>
      <c r="AX107" s="400" t="str">
        <f t="shared" si="30"/>
        <v>Did not Meet</v>
      </c>
      <c r="BA107" s="400" t="str">
        <f t="shared" si="31"/>
        <v>Did not Meet</v>
      </c>
      <c r="BD107" s="400" t="str">
        <f t="shared" si="32"/>
        <v>Did not Meet</v>
      </c>
      <c r="BF107" s="366" t="str">
        <f t="shared" si="28"/>
        <v>Met</v>
      </c>
    </row>
    <row r="108" spans="1:58">
      <c r="A108" t="s">
        <v>402</v>
      </c>
      <c r="B108" t="s">
        <v>934</v>
      </c>
      <c r="C108" s="360"/>
      <c r="D108" s="363">
        <v>0</v>
      </c>
      <c r="E108" t="s">
        <v>834</v>
      </c>
      <c r="F108" s="360"/>
      <c r="G108" s="363">
        <v>338468.73</v>
      </c>
      <c r="H108" t="s">
        <v>855</v>
      </c>
      <c r="I108" s="360"/>
      <c r="J108" s="363">
        <v>0</v>
      </c>
      <c r="K108" t="s">
        <v>834</v>
      </c>
      <c r="L108" s="360"/>
      <c r="M108" s="363">
        <v>14102.863749999999</v>
      </c>
      <c r="N108" t="s">
        <v>855</v>
      </c>
      <c r="O108" s="360"/>
      <c r="P108" s="366" t="str">
        <f t="shared" si="25"/>
        <v>Met</v>
      </c>
      <c r="Q108" s="360"/>
      <c r="R108" s="399">
        <v>0</v>
      </c>
      <c r="S108" s="400" t="str">
        <f t="shared" si="33"/>
        <v>Met</v>
      </c>
      <c r="U108" s="399">
        <v>341731.04</v>
      </c>
      <c r="V108" s="400" t="str">
        <f t="shared" si="34"/>
        <v>Did not Meet</v>
      </c>
      <c r="X108" s="399">
        <v>0</v>
      </c>
      <c r="Y108" s="400" t="str">
        <f t="shared" si="35"/>
        <v>Met</v>
      </c>
      <c r="AA108" s="399">
        <v>14238.793333333333</v>
      </c>
      <c r="AB108" s="400" t="str">
        <f t="shared" si="36"/>
        <v>Did not Meet</v>
      </c>
      <c r="AD108" s="366" t="str">
        <f t="shared" si="26"/>
        <v>Met</v>
      </c>
      <c r="AF108" s="399">
        <v>0</v>
      </c>
      <c r="AG108" s="400" t="str">
        <f t="shared" si="37"/>
        <v>Met</v>
      </c>
      <c r="AI108" s="399">
        <v>368862.91</v>
      </c>
      <c r="AJ108" s="400" t="str">
        <f t="shared" si="38"/>
        <v>Did not Meet</v>
      </c>
      <c r="AL108" s="399">
        <f>VLOOKUP(A108,$A$5:$AF$315,32,0)/IFERROR(VLOOKUP(A108,'21-22 child count'!$A$3:$S$317,19,0),0)</f>
        <v>0</v>
      </c>
      <c r="AM108" s="400" t="str">
        <f t="shared" si="39"/>
        <v>Met</v>
      </c>
      <c r="AO108" s="399">
        <f>VLOOKUP(A108,'42. SEA or LEA Worksheet'!$A$4:$AB$318,28,0)/IFERROR(VLOOKUP('42. SEA or LEA Worksheet'!A105,'21-22 child count'!$A$3:$S$317,3,0),0)</f>
        <v>3048.4538016528923</v>
      </c>
      <c r="AP108" s="400" t="str">
        <f t="shared" si="40"/>
        <v>Did not Meet</v>
      </c>
      <c r="AR108" s="366" t="str">
        <f t="shared" si="27"/>
        <v>Met</v>
      </c>
      <c r="AU108" s="400" t="str">
        <f t="shared" si="29"/>
        <v>Met</v>
      </c>
      <c r="AX108" s="400" t="str">
        <f t="shared" si="30"/>
        <v>Did not Meet</v>
      </c>
      <c r="BA108" s="400" t="str">
        <f t="shared" si="31"/>
        <v>Met</v>
      </c>
      <c r="BD108" s="400" t="str">
        <f t="shared" si="32"/>
        <v>Did not Meet</v>
      </c>
      <c r="BF108" s="366" t="str">
        <f t="shared" si="28"/>
        <v>Met</v>
      </c>
    </row>
    <row r="109" spans="1:58">
      <c r="A109" t="s">
        <v>404</v>
      </c>
      <c r="B109" t="s">
        <v>935</v>
      </c>
      <c r="C109" s="360"/>
      <c r="D109" s="363">
        <v>0</v>
      </c>
      <c r="E109" t="s">
        <v>834</v>
      </c>
      <c r="F109" s="360"/>
      <c r="G109" s="363">
        <v>53171.26</v>
      </c>
      <c r="H109" t="s">
        <v>834</v>
      </c>
      <c r="I109" s="360"/>
      <c r="J109" s="363">
        <v>0</v>
      </c>
      <c r="K109" t="s">
        <v>834</v>
      </c>
      <c r="L109" s="360"/>
      <c r="M109" s="363">
        <v>7595.8942857142856</v>
      </c>
      <c r="N109" t="s">
        <v>855</v>
      </c>
      <c r="O109" s="360"/>
      <c r="P109" s="366" t="str">
        <f t="shared" si="25"/>
        <v>Met</v>
      </c>
      <c r="Q109" s="360"/>
      <c r="R109" s="399">
        <v>0</v>
      </c>
      <c r="S109" s="400" t="str">
        <f t="shared" si="33"/>
        <v>Met</v>
      </c>
      <c r="U109" s="399">
        <v>32330.15</v>
      </c>
      <c r="V109" s="400" t="str">
        <f t="shared" si="34"/>
        <v>Met</v>
      </c>
      <c r="X109" s="399">
        <v>0</v>
      </c>
      <c r="Y109" s="400" t="str">
        <f t="shared" si="35"/>
        <v>Met</v>
      </c>
      <c r="AA109" s="399">
        <v>6466.0300000000007</v>
      </c>
      <c r="AB109" s="400" t="str">
        <f t="shared" si="36"/>
        <v>Did not Meet</v>
      </c>
      <c r="AD109" s="366" t="str">
        <f t="shared" si="26"/>
        <v>Met</v>
      </c>
      <c r="AF109" s="399">
        <v>0</v>
      </c>
      <c r="AG109" s="400" t="str">
        <f t="shared" si="37"/>
        <v>Met</v>
      </c>
      <c r="AI109" s="399">
        <v>37255.51</v>
      </c>
      <c r="AJ109" s="400" t="str">
        <f t="shared" si="38"/>
        <v>Met</v>
      </c>
      <c r="AL109" s="399">
        <f>VLOOKUP(A109,$A$5:$AF$315,32,0)/IFERROR(VLOOKUP(A109,'21-22 child count'!$A$3:$S$317,19,0),0)</f>
        <v>0</v>
      </c>
      <c r="AM109" s="400" t="str">
        <f t="shared" si="39"/>
        <v>Met</v>
      </c>
      <c r="AO109" s="399">
        <f>VLOOKUP(A109,'42. SEA or LEA Worksheet'!$A$4:$AB$318,28,0)/IFERROR(VLOOKUP('42. SEA or LEA Worksheet'!A106,'21-22 child count'!$A$3:$S$317,3,0),0)</f>
        <v>307.89677685950414</v>
      </c>
      <c r="AP109" s="400" t="str">
        <f t="shared" si="40"/>
        <v>Did not Meet</v>
      </c>
      <c r="AR109" s="366" t="str">
        <f t="shared" si="27"/>
        <v>Met</v>
      </c>
      <c r="AU109" s="400" t="str">
        <f t="shared" si="29"/>
        <v>Met</v>
      </c>
      <c r="AX109" s="400" t="str">
        <f t="shared" si="30"/>
        <v>Did not Meet</v>
      </c>
      <c r="BA109" s="400" t="str">
        <f t="shared" si="31"/>
        <v>Met</v>
      </c>
      <c r="BD109" s="400" t="str">
        <f t="shared" si="32"/>
        <v>Did not Meet</v>
      </c>
      <c r="BF109" s="366" t="str">
        <f t="shared" si="28"/>
        <v>Met</v>
      </c>
    </row>
    <row r="110" spans="1:58">
      <c r="A110" t="s">
        <v>620</v>
      </c>
      <c r="B110" t="s">
        <v>1267</v>
      </c>
      <c r="C110" s="360"/>
      <c r="D110" s="363">
        <v>0</v>
      </c>
      <c r="E110" t="s">
        <v>855</v>
      </c>
      <c r="F110" s="360"/>
      <c r="G110" s="363">
        <v>968667.79</v>
      </c>
      <c r="H110" t="s">
        <v>834</v>
      </c>
      <c r="I110" s="360"/>
      <c r="J110" s="363">
        <v>0</v>
      </c>
      <c r="K110" t="s">
        <v>855</v>
      </c>
      <c r="L110" s="360"/>
      <c r="M110" s="363">
        <v>10644.700989010989</v>
      </c>
      <c r="N110" t="s">
        <v>834</v>
      </c>
      <c r="O110" s="360"/>
      <c r="P110" s="366" t="str">
        <f t="shared" si="25"/>
        <v>Met</v>
      </c>
      <c r="Q110" s="360"/>
      <c r="R110" s="399">
        <v>0</v>
      </c>
      <c r="S110" s="400" t="str">
        <f t="shared" si="33"/>
        <v>Did not Meet</v>
      </c>
      <c r="U110" s="399">
        <v>856302.19</v>
      </c>
      <c r="V110" s="400" t="str">
        <f t="shared" si="34"/>
        <v>Met</v>
      </c>
      <c r="X110" s="399">
        <v>0</v>
      </c>
      <c r="Y110" s="400" t="str">
        <f t="shared" si="35"/>
        <v>Did not Meet</v>
      </c>
      <c r="AA110" s="399">
        <v>9730.7067045454532</v>
      </c>
      <c r="AB110" s="400" t="str">
        <f t="shared" si="36"/>
        <v>Did not Meet</v>
      </c>
      <c r="AD110" s="366" t="str">
        <f t="shared" si="26"/>
        <v>Met</v>
      </c>
      <c r="AF110" s="399">
        <v>0</v>
      </c>
      <c r="AG110" s="400" t="str">
        <f t="shared" si="37"/>
        <v>Did not Meet</v>
      </c>
      <c r="AI110" s="399">
        <v>675730.1</v>
      </c>
      <c r="AJ110" s="400" t="str">
        <f t="shared" si="38"/>
        <v>Did not Meet</v>
      </c>
      <c r="AL110" s="399">
        <f>VLOOKUP(A110,$A$5:$AF$315,32,0)/IFERROR(VLOOKUP(A110,'21-22 child count'!$A$3:$S$317,19,0),0)</f>
        <v>0</v>
      </c>
      <c r="AM110" s="400" t="str">
        <f t="shared" si="39"/>
        <v>Did not Meet</v>
      </c>
      <c r="AO110" s="399">
        <f>VLOOKUP(A110,'42. SEA or LEA Worksheet'!$A$4:$AB$318,28,0)/IFERROR(VLOOKUP('42. SEA or LEA Worksheet'!A214,'21-22 child count'!$A$3:$S$317,3,0),0)</f>
        <v>5927.4570175438594</v>
      </c>
      <c r="AP110" s="400" t="str">
        <f t="shared" si="40"/>
        <v>Did not Meet</v>
      </c>
      <c r="AR110" s="366" t="str">
        <f t="shared" si="27"/>
        <v>Met</v>
      </c>
      <c r="AU110" s="400" t="str">
        <f t="shared" si="29"/>
        <v>Did not Meet</v>
      </c>
      <c r="AX110" s="400" t="str">
        <f t="shared" si="30"/>
        <v>Did not Meet</v>
      </c>
      <c r="BA110" s="400" t="str">
        <f t="shared" si="31"/>
        <v>Did not Meet</v>
      </c>
      <c r="BD110" s="400" t="str">
        <f t="shared" si="32"/>
        <v>Did not Meet</v>
      </c>
      <c r="BF110" s="366" t="str">
        <f t="shared" si="28"/>
        <v>Met</v>
      </c>
    </row>
    <row r="111" spans="1:58">
      <c r="A111" t="s">
        <v>622</v>
      </c>
      <c r="B111" t="s">
        <v>1036</v>
      </c>
      <c r="C111" s="360"/>
      <c r="D111" s="363">
        <v>0</v>
      </c>
      <c r="E111" t="s">
        <v>855</v>
      </c>
      <c r="F111" s="360"/>
      <c r="G111" s="363">
        <v>747105.53</v>
      </c>
      <c r="H111" t="s">
        <v>834</v>
      </c>
      <c r="I111" s="360"/>
      <c r="J111" s="363">
        <v>0</v>
      </c>
      <c r="K111" t="s">
        <v>855</v>
      </c>
      <c r="L111" s="360"/>
      <c r="M111" s="363">
        <v>9338.819125</v>
      </c>
      <c r="N111" t="s">
        <v>834</v>
      </c>
      <c r="O111" s="360"/>
      <c r="P111" s="366" t="str">
        <f t="shared" si="25"/>
        <v>Met</v>
      </c>
      <c r="Q111" s="360"/>
      <c r="R111" s="399">
        <v>0</v>
      </c>
      <c r="S111" s="400" t="str">
        <f t="shared" si="33"/>
        <v>Did not Meet</v>
      </c>
      <c r="U111" s="399">
        <v>724421.79</v>
      </c>
      <c r="V111" s="400" t="str">
        <f t="shared" si="34"/>
        <v>Met</v>
      </c>
      <c r="X111" s="399">
        <v>0</v>
      </c>
      <c r="Y111" s="400" t="str">
        <f t="shared" si="35"/>
        <v>Did not Meet</v>
      </c>
      <c r="AA111" s="399">
        <v>8522.6092941176466</v>
      </c>
      <c r="AB111" s="400" t="str">
        <f t="shared" si="36"/>
        <v>Did not Meet</v>
      </c>
      <c r="AD111" s="366" t="str">
        <f t="shared" si="26"/>
        <v>Met</v>
      </c>
      <c r="AF111" s="399">
        <v>0</v>
      </c>
      <c r="AG111" s="400" t="str">
        <f t="shared" si="37"/>
        <v>Did not Meet</v>
      </c>
      <c r="AI111" s="399">
        <v>728357.83</v>
      </c>
      <c r="AJ111" s="400" t="str">
        <f t="shared" si="38"/>
        <v>Met</v>
      </c>
      <c r="AL111" s="399">
        <f>VLOOKUP(A111,$A$5:$AF$315,32,0)/IFERROR(VLOOKUP(A111,'21-22 child count'!$A$3:$S$317,19,0),0)</f>
        <v>0</v>
      </c>
      <c r="AM111" s="400" t="str">
        <f t="shared" si="39"/>
        <v>Did not Meet</v>
      </c>
      <c r="AO111" s="399">
        <f>VLOOKUP(A111,'42. SEA or LEA Worksheet'!$A$4:$AB$318,28,0)/IFERROR(VLOOKUP('42. SEA or LEA Worksheet'!A215,'21-22 child count'!$A$3:$S$317,3,0),0)</f>
        <v>4259.4025146198828</v>
      </c>
      <c r="AP111" s="400" t="str">
        <f t="shared" si="40"/>
        <v>Did not Meet</v>
      </c>
      <c r="AR111" s="366" t="str">
        <f t="shared" si="27"/>
        <v>Met</v>
      </c>
      <c r="AU111" s="400" t="str">
        <f t="shared" si="29"/>
        <v>Did not Meet</v>
      </c>
      <c r="AX111" s="400" t="str">
        <f t="shared" si="30"/>
        <v>Did not Meet</v>
      </c>
      <c r="BA111" s="400" t="str">
        <f t="shared" si="31"/>
        <v>Did not Meet</v>
      </c>
      <c r="BD111" s="400" t="str">
        <f t="shared" si="32"/>
        <v>Did not Meet</v>
      </c>
      <c r="BF111" s="366" t="str">
        <f t="shared" si="28"/>
        <v>Met</v>
      </c>
    </row>
    <row r="112" spans="1:58">
      <c r="A112" t="s">
        <v>626</v>
      </c>
      <c r="B112" t="s">
        <v>1038</v>
      </c>
      <c r="C112" s="360"/>
      <c r="D112" s="363">
        <v>18188.8</v>
      </c>
      <c r="E112" t="s">
        <v>834</v>
      </c>
      <c r="F112" s="360"/>
      <c r="G112" s="363">
        <v>408671.82</v>
      </c>
      <c r="H112" t="s">
        <v>834</v>
      </c>
      <c r="I112" s="360"/>
      <c r="J112" s="363">
        <v>433.06666666666666</v>
      </c>
      <c r="K112" t="s">
        <v>834</v>
      </c>
      <c r="L112" s="360"/>
      <c r="M112" s="363">
        <v>9730.2814285714285</v>
      </c>
      <c r="N112" t="s">
        <v>834</v>
      </c>
      <c r="O112" s="360"/>
      <c r="P112" s="366" t="str">
        <f t="shared" si="25"/>
        <v>Met</v>
      </c>
      <c r="Q112" s="360"/>
      <c r="R112" s="399">
        <v>0</v>
      </c>
      <c r="S112" s="400" t="str">
        <f t="shared" si="33"/>
        <v>Did not Meet</v>
      </c>
      <c r="U112" s="399">
        <v>425650.74</v>
      </c>
      <c r="V112" s="400" t="str">
        <f t="shared" si="34"/>
        <v>Met</v>
      </c>
      <c r="X112" s="399">
        <v>0</v>
      </c>
      <c r="Y112" s="400" t="str">
        <f t="shared" si="35"/>
        <v>Did not Meet</v>
      </c>
      <c r="AA112" s="399">
        <v>9898.8544186046511</v>
      </c>
      <c r="AB112" s="400" t="str">
        <f t="shared" si="36"/>
        <v>Met</v>
      </c>
      <c r="AD112" s="366" t="str">
        <f t="shared" si="26"/>
        <v>Met</v>
      </c>
      <c r="AF112" s="399">
        <v>0</v>
      </c>
      <c r="AG112" s="400" t="str">
        <f t="shared" si="37"/>
        <v>Did not Meet</v>
      </c>
      <c r="AI112" s="399">
        <v>439668.28</v>
      </c>
      <c r="AJ112" s="400" t="str">
        <f t="shared" si="38"/>
        <v>Met</v>
      </c>
      <c r="AL112" s="399">
        <f>VLOOKUP(A112,$A$5:$AF$315,32,0)/IFERROR(VLOOKUP(A112,'21-22 child count'!$A$3:$S$317,19,0),0)</f>
        <v>0</v>
      </c>
      <c r="AM112" s="400" t="str">
        <f t="shared" si="39"/>
        <v>Did not Meet</v>
      </c>
      <c r="AO112" s="399">
        <f>VLOOKUP(A112,'42. SEA or LEA Worksheet'!$A$4:$AB$318,28,0)/IFERROR(VLOOKUP('42. SEA or LEA Worksheet'!A217,'21-22 child count'!$A$3:$S$317,3,0),0)</f>
        <v>3633.6221487603307</v>
      </c>
      <c r="AP112" s="400" t="str">
        <f t="shared" si="40"/>
        <v>Did not Meet</v>
      </c>
      <c r="AR112" s="366" t="str">
        <f t="shared" si="27"/>
        <v>Met</v>
      </c>
      <c r="AU112" s="400" t="str">
        <f t="shared" si="29"/>
        <v>Did not Meet</v>
      </c>
      <c r="AX112" s="400" t="str">
        <f t="shared" si="30"/>
        <v>Did not Meet</v>
      </c>
      <c r="BA112" s="400" t="str">
        <f t="shared" si="31"/>
        <v>Did not Meet</v>
      </c>
      <c r="BD112" s="400" t="str">
        <f t="shared" si="32"/>
        <v>Did not Meet</v>
      </c>
      <c r="BF112" s="366" t="str">
        <f t="shared" si="28"/>
        <v>Met</v>
      </c>
    </row>
    <row r="113" spans="1:58">
      <c r="A113" t="s">
        <v>406</v>
      </c>
      <c r="B113" t="s">
        <v>936</v>
      </c>
      <c r="C113" s="360"/>
      <c r="D113" s="363">
        <v>157310.82</v>
      </c>
      <c r="E113" t="s">
        <v>834</v>
      </c>
      <c r="F113" s="360"/>
      <c r="G113" s="363">
        <v>29482793.66</v>
      </c>
      <c r="H113" t="s">
        <v>834</v>
      </c>
      <c r="I113" s="360"/>
      <c r="J113" s="363">
        <v>92.156309314587006</v>
      </c>
      <c r="K113" t="s">
        <v>855</v>
      </c>
      <c r="L113" s="360"/>
      <c r="M113" s="363">
        <v>17271.701031048622</v>
      </c>
      <c r="N113" t="s">
        <v>834</v>
      </c>
      <c r="O113" s="360"/>
      <c r="P113" s="366" t="str">
        <f t="shared" si="25"/>
        <v>Met</v>
      </c>
      <c r="Q113" s="360"/>
      <c r="R113" s="399">
        <v>172959.73</v>
      </c>
      <c r="S113" s="400" t="str">
        <f t="shared" si="33"/>
        <v>Met</v>
      </c>
      <c r="U113" s="399">
        <v>31421916.27</v>
      </c>
      <c r="V113" s="400" t="str">
        <f t="shared" si="34"/>
        <v>Met</v>
      </c>
      <c r="X113" s="399">
        <v>104.12987959060807</v>
      </c>
      <c r="Y113" s="400" t="str">
        <f t="shared" si="35"/>
        <v>Did not Meet</v>
      </c>
      <c r="AA113" s="399">
        <v>18917.469157134256</v>
      </c>
      <c r="AB113" s="400" t="str">
        <f t="shared" si="36"/>
        <v>Met</v>
      </c>
      <c r="AD113" s="366" t="str">
        <f t="shared" si="26"/>
        <v>Met</v>
      </c>
      <c r="AF113" s="399">
        <v>8175715.2400000002</v>
      </c>
      <c r="AG113" s="400" t="str">
        <f t="shared" si="37"/>
        <v>Met</v>
      </c>
      <c r="AI113" s="399">
        <v>41022891.060000002</v>
      </c>
      <c r="AJ113" s="400" t="str">
        <f t="shared" si="38"/>
        <v>Met</v>
      </c>
      <c r="AL113" s="399">
        <f>VLOOKUP(A113,$A$5:$AF$315,32,0)/IFERROR(VLOOKUP(A113,'21-22 child count'!$A$3:$S$317,19,0),0)</f>
        <v>4922.1645033112582</v>
      </c>
      <c r="AM113" s="400" t="str">
        <f t="shared" si="39"/>
        <v>Did not Meet</v>
      </c>
      <c r="AO113" s="399">
        <f>VLOOKUP(A113,'42. SEA or LEA Worksheet'!$A$4:$AB$318,28,0)/IFERROR(VLOOKUP('42. SEA or LEA Worksheet'!A110,'21-22 child count'!$A$3:$S$317,3,0),0)</f>
        <v>325218.85237623769</v>
      </c>
      <c r="AP113" s="400" t="str">
        <f t="shared" si="40"/>
        <v>Met</v>
      </c>
      <c r="AR113" s="366" t="str">
        <f t="shared" si="27"/>
        <v>Met</v>
      </c>
      <c r="AU113" s="400" t="str">
        <f t="shared" si="29"/>
        <v>Did not Meet</v>
      </c>
      <c r="AX113" s="400" t="str">
        <f t="shared" si="30"/>
        <v>Did not Meet</v>
      </c>
      <c r="BA113" s="400" t="str">
        <f t="shared" si="31"/>
        <v>Did not Meet</v>
      </c>
      <c r="BD113" s="400" t="str">
        <f t="shared" si="32"/>
        <v>Did not Meet</v>
      </c>
      <c r="BF113" s="366" t="str">
        <f t="shared" si="28"/>
        <v>Met</v>
      </c>
    </row>
    <row r="114" spans="1:58">
      <c r="A114" t="s">
        <v>408</v>
      </c>
      <c r="B114" t="s">
        <v>937</v>
      </c>
      <c r="C114" s="360"/>
      <c r="D114" s="363">
        <v>0</v>
      </c>
      <c r="E114" t="s">
        <v>834</v>
      </c>
      <c r="F114" s="360"/>
      <c r="G114" s="363">
        <v>59369.09</v>
      </c>
      <c r="H114" t="s">
        <v>834</v>
      </c>
      <c r="I114" s="360"/>
      <c r="J114" s="363">
        <v>0</v>
      </c>
      <c r="K114" t="s">
        <v>834</v>
      </c>
      <c r="L114" s="360"/>
      <c r="M114" s="363">
        <v>14842.272499999999</v>
      </c>
      <c r="N114" t="s">
        <v>834</v>
      </c>
      <c r="O114" s="360"/>
      <c r="P114" s="366" t="str">
        <f t="shared" si="25"/>
        <v>Met</v>
      </c>
      <c r="Q114" s="360"/>
      <c r="R114" s="399">
        <v>0</v>
      </c>
      <c r="S114" s="400" t="str">
        <f t="shared" si="33"/>
        <v>Met</v>
      </c>
      <c r="U114" s="399">
        <v>55051.61</v>
      </c>
      <c r="V114" s="400" t="str">
        <f t="shared" si="34"/>
        <v>Met</v>
      </c>
      <c r="X114" s="399">
        <v>0</v>
      </c>
      <c r="Y114" s="400" t="str">
        <f t="shared" si="35"/>
        <v>Met</v>
      </c>
      <c r="AA114" s="399">
        <v>9175.2683333333334</v>
      </c>
      <c r="AB114" s="400" t="str">
        <f t="shared" si="36"/>
        <v>Did not Meet</v>
      </c>
      <c r="AD114" s="366" t="str">
        <f t="shared" si="26"/>
        <v>Met</v>
      </c>
      <c r="AF114" s="399">
        <v>0</v>
      </c>
      <c r="AG114" s="400" t="str">
        <f t="shared" si="37"/>
        <v>Met</v>
      </c>
      <c r="AI114" s="399">
        <v>73202.64</v>
      </c>
      <c r="AJ114" s="400" t="str">
        <f t="shared" si="38"/>
        <v>Met</v>
      </c>
      <c r="AL114" s="399">
        <f>VLOOKUP(A114,$A$5:$AF$315,32,0)/IFERROR(VLOOKUP(A114,'21-22 child count'!$A$3:$S$317,19,0),0)</f>
        <v>0</v>
      </c>
      <c r="AM114" s="400" t="str">
        <f t="shared" si="39"/>
        <v>Met</v>
      </c>
      <c r="AO114" s="399">
        <f>VLOOKUP(A114,'42. SEA or LEA Worksheet'!$A$4:$AB$318,28,0)/IFERROR(VLOOKUP('42. SEA or LEA Worksheet'!A111,'21-22 child count'!$A$3:$S$317,3,0),0)</f>
        <v>387.31555555555553</v>
      </c>
      <c r="AP114" s="400" t="str">
        <f t="shared" si="40"/>
        <v>Did not Meet</v>
      </c>
      <c r="AR114" s="366" t="str">
        <f t="shared" si="27"/>
        <v>Met</v>
      </c>
      <c r="AU114" s="400" t="str">
        <f t="shared" si="29"/>
        <v>Met</v>
      </c>
      <c r="AX114" s="400" t="str">
        <f t="shared" si="30"/>
        <v>Did not Meet</v>
      </c>
      <c r="BA114" s="400" t="str">
        <f t="shared" si="31"/>
        <v>Met</v>
      </c>
      <c r="BD114" s="400" t="str">
        <f t="shared" si="32"/>
        <v>Did not Meet</v>
      </c>
      <c r="BF114" s="366" t="str">
        <f t="shared" si="28"/>
        <v>Met</v>
      </c>
    </row>
    <row r="115" spans="1:58">
      <c r="A115" t="s">
        <v>632</v>
      </c>
      <c r="B115" t="s">
        <v>1041</v>
      </c>
      <c r="C115" s="360"/>
      <c r="D115" s="363">
        <v>0</v>
      </c>
      <c r="E115" t="s">
        <v>855</v>
      </c>
      <c r="F115" s="360"/>
      <c r="G115" s="363">
        <v>392357.39</v>
      </c>
      <c r="H115" t="s">
        <v>834</v>
      </c>
      <c r="I115" s="360"/>
      <c r="J115" s="363">
        <v>0</v>
      </c>
      <c r="K115" t="s">
        <v>855</v>
      </c>
      <c r="L115" s="360"/>
      <c r="M115" s="363">
        <v>14012.763928571429</v>
      </c>
      <c r="N115" t="s">
        <v>834</v>
      </c>
      <c r="O115" s="360"/>
      <c r="P115" s="366" t="str">
        <f t="shared" si="25"/>
        <v>Met</v>
      </c>
      <c r="Q115" s="360"/>
      <c r="R115" s="399">
        <v>0</v>
      </c>
      <c r="S115" s="400" t="str">
        <f t="shared" si="33"/>
        <v>Did not Meet</v>
      </c>
      <c r="U115" s="399">
        <v>361955.72</v>
      </c>
      <c r="V115" s="400" t="str">
        <f t="shared" si="34"/>
        <v>Met</v>
      </c>
      <c r="X115" s="399">
        <v>0</v>
      </c>
      <c r="Y115" s="400" t="str">
        <f t="shared" si="35"/>
        <v>Did not Meet</v>
      </c>
      <c r="AA115" s="399">
        <v>14478.228799999999</v>
      </c>
      <c r="AB115" s="400" t="str">
        <f t="shared" si="36"/>
        <v>Met</v>
      </c>
      <c r="AD115" s="366" t="str">
        <f t="shared" si="26"/>
        <v>Met</v>
      </c>
      <c r="AF115" s="399">
        <v>61193.95</v>
      </c>
      <c r="AG115" s="400" t="str">
        <f t="shared" si="37"/>
        <v>Did not Meet</v>
      </c>
      <c r="AI115" s="399">
        <v>401650.31</v>
      </c>
      <c r="AJ115" s="400" t="str">
        <f t="shared" si="38"/>
        <v>Met</v>
      </c>
      <c r="AL115" s="399">
        <f>VLOOKUP(A115,$A$5:$AF$315,32,0)/IFERROR(VLOOKUP(A115,'21-22 child count'!$A$3:$S$317,19,0),0)</f>
        <v>1854.3621212121211</v>
      </c>
      <c r="AM115" s="400" t="str">
        <f t="shared" si="39"/>
        <v>Did not Meet</v>
      </c>
      <c r="AO115" s="399">
        <f>VLOOKUP(A115,'42. SEA or LEA Worksheet'!$A$4:$AB$318,28,0)/IFERROR(VLOOKUP('42. SEA or LEA Worksheet'!A220,'21-22 child count'!$A$3:$S$317,3,0),0)</f>
        <v>3370.8550495049503</v>
      </c>
      <c r="AP115" s="400" t="str">
        <f t="shared" si="40"/>
        <v>Did not Meet</v>
      </c>
      <c r="AR115" s="366" t="str">
        <f t="shared" si="27"/>
        <v>Met</v>
      </c>
      <c r="AU115" s="400" t="str">
        <f t="shared" si="29"/>
        <v>Did not Meet</v>
      </c>
      <c r="AX115" s="400" t="str">
        <f t="shared" si="30"/>
        <v>Did not Meet</v>
      </c>
      <c r="BA115" s="400" t="str">
        <f t="shared" si="31"/>
        <v>Did not Meet</v>
      </c>
      <c r="BD115" s="400" t="str">
        <f t="shared" si="32"/>
        <v>Did not Meet</v>
      </c>
      <c r="BF115" s="366" t="str">
        <f t="shared" si="28"/>
        <v>Met</v>
      </c>
    </row>
    <row r="116" spans="1:58">
      <c r="A116" t="s">
        <v>412</v>
      </c>
      <c r="B116" t="s">
        <v>938</v>
      </c>
      <c r="C116" s="360"/>
      <c r="D116" s="363">
        <v>0</v>
      </c>
      <c r="E116" t="s">
        <v>834</v>
      </c>
      <c r="F116" s="360"/>
      <c r="G116" s="363">
        <v>31023.5</v>
      </c>
      <c r="H116" t="s">
        <v>855</v>
      </c>
      <c r="I116" s="360"/>
      <c r="J116" s="363">
        <v>0</v>
      </c>
      <c r="K116" t="s">
        <v>834</v>
      </c>
      <c r="L116" s="360"/>
      <c r="M116" s="363">
        <v>7755.875</v>
      </c>
      <c r="N116" t="s">
        <v>855</v>
      </c>
      <c r="O116" s="360"/>
      <c r="P116" s="366" t="str">
        <f t="shared" si="25"/>
        <v>Met</v>
      </c>
      <c r="Q116" s="360"/>
      <c r="R116" s="399">
        <v>0</v>
      </c>
      <c r="S116" s="400" t="str">
        <f t="shared" si="33"/>
        <v>Met</v>
      </c>
      <c r="U116" s="399">
        <v>38421</v>
      </c>
      <c r="V116" s="400" t="str">
        <f t="shared" si="34"/>
        <v>Did not Meet</v>
      </c>
      <c r="X116" s="399">
        <v>0</v>
      </c>
      <c r="Y116" s="400" t="str">
        <f t="shared" si="35"/>
        <v>Met</v>
      </c>
      <c r="AA116" s="399">
        <v>12807</v>
      </c>
      <c r="AB116" s="400" t="str">
        <f t="shared" si="36"/>
        <v>Did not Meet</v>
      </c>
      <c r="AD116" s="366" t="str">
        <f t="shared" si="26"/>
        <v>Met</v>
      </c>
      <c r="AF116" s="399">
        <v>0</v>
      </c>
      <c r="AG116" s="400" t="str">
        <f t="shared" si="37"/>
        <v>Met</v>
      </c>
      <c r="AI116" s="399">
        <v>27386.44</v>
      </c>
      <c r="AJ116" s="400" t="str">
        <f t="shared" si="38"/>
        <v>Did not Meet</v>
      </c>
      <c r="AL116" s="399">
        <f>VLOOKUP(A116,$A$5:$AF$315,32,0)/IFERROR(VLOOKUP(A116,'21-22 child count'!$A$3:$S$317,19,0),0)</f>
        <v>0</v>
      </c>
      <c r="AM116" s="400" t="str">
        <f t="shared" si="39"/>
        <v>Met</v>
      </c>
      <c r="AO116" s="399">
        <f>VLOOKUP(A116,'42. SEA or LEA Worksheet'!$A$4:$AB$318,28,0)/IFERROR(VLOOKUP('42. SEA or LEA Worksheet'!A112,'21-22 child count'!$A$3:$S$317,3,0),0)</f>
        <v>226.33421487603306</v>
      </c>
      <c r="AP116" s="400" t="str">
        <f t="shared" si="40"/>
        <v>Did not Meet</v>
      </c>
      <c r="AR116" s="366" t="str">
        <f t="shared" si="27"/>
        <v>Met</v>
      </c>
      <c r="AU116" s="400" t="str">
        <f t="shared" si="29"/>
        <v>Met</v>
      </c>
      <c r="AX116" s="400" t="str">
        <f t="shared" si="30"/>
        <v>Did not Meet</v>
      </c>
      <c r="BA116" s="400" t="str">
        <f t="shared" si="31"/>
        <v>Met</v>
      </c>
      <c r="BD116" s="400" t="str">
        <f t="shared" si="32"/>
        <v>Did not Meet</v>
      </c>
      <c r="BF116" s="366" t="str">
        <f t="shared" si="28"/>
        <v>Met</v>
      </c>
    </row>
    <row r="117" spans="1:58">
      <c r="A117" t="s">
        <v>642</v>
      </c>
      <c r="B117" t="s">
        <v>1046</v>
      </c>
      <c r="C117" s="360"/>
      <c r="D117" s="363">
        <v>21322.41</v>
      </c>
      <c r="E117" t="s">
        <v>834</v>
      </c>
      <c r="F117" s="360"/>
      <c r="G117" s="363">
        <v>253142.68</v>
      </c>
      <c r="H117" t="s">
        <v>834</v>
      </c>
      <c r="I117" s="360"/>
      <c r="J117" s="363">
        <v>533.06025</v>
      </c>
      <c r="K117" t="s">
        <v>834</v>
      </c>
      <c r="L117" s="360"/>
      <c r="M117" s="363">
        <v>6328.567</v>
      </c>
      <c r="N117" t="s">
        <v>855</v>
      </c>
      <c r="O117" s="360"/>
      <c r="P117" s="366" t="str">
        <f t="shared" si="25"/>
        <v>Met</v>
      </c>
      <c r="Q117" s="360"/>
      <c r="R117" s="399">
        <v>0</v>
      </c>
      <c r="S117" s="400" t="str">
        <f t="shared" si="33"/>
        <v>Did not Meet</v>
      </c>
      <c r="U117" s="399">
        <v>244739.59</v>
      </c>
      <c r="V117" s="400" t="str">
        <f t="shared" si="34"/>
        <v>Met</v>
      </c>
      <c r="X117" s="399">
        <v>0</v>
      </c>
      <c r="Y117" s="400" t="str">
        <f t="shared" si="35"/>
        <v>Did not Meet</v>
      </c>
      <c r="AA117" s="399">
        <v>9413.0611538461544</v>
      </c>
      <c r="AB117" s="400" t="str">
        <f t="shared" si="36"/>
        <v>Did not Meet</v>
      </c>
      <c r="AD117" s="366" t="str">
        <f t="shared" si="26"/>
        <v>Met</v>
      </c>
      <c r="AF117" s="399">
        <v>0</v>
      </c>
      <c r="AG117" s="400" t="str">
        <f t="shared" si="37"/>
        <v>Did not Meet</v>
      </c>
      <c r="AI117" s="399">
        <v>251143.99</v>
      </c>
      <c r="AJ117" s="400" t="str">
        <f t="shared" si="38"/>
        <v>Met</v>
      </c>
      <c r="AL117" s="399">
        <f>VLOOKUP(A117,$A$5:$AF$315,32,0)/IFERROR(VLOOKUP(A117,'21-22 child count'!$A$3:$S$317,19,0),0)</f>
        <v>0</v>
      </c>
      <c r="AM117" s="400" t="str">
        <f t="shared" si="39"/>
        <v>Did not Meet</v>
      </c>
      <c r="AO117" s="399">
        <f>VLOOKUP(A117,'42. SEA or LEA Worksheet'!$A$4:$AB$318,28,0)/IFERROR(VLOOKUP('42. SEA or LEA Worksheet'!A225,'21-22 child count'!$A$3:$S$317,3,0),0)</f>
        <v>2486.5741584158413</v>
      </c>
      <c r="AP117" s="400" t="str">
        <f t="shared" si="40"/>
        <v>Did not Meet</v>
      </c>
      <c r="AR117" s="366" t="str">
        <f t="shared" si="27"/>
        <v>Met</v>
      </c>
      <c r="AU117" s="400" t="str">
        <f t="shared" si="29"/>
        <v>Did not Meet</v>
      </c>
      <c r="AX117" s="400" t="str">
        <f t="shared" si="30"/>
        <v>Did not Meet</v>
      </c>
      <c r="BA117" s="400" t="str">
        <f t="shared" si="31"/>
        <v>Did not Meet</v>
      </c>
      <c r="BD117" s="400" t="str">
        <f t="shared" si="32"/>
        <v>Did not Meet</v>
      </c>
      <c r="BF117" s="366" t="str">
        <f t="shared" si="28"/>
        <v>Met</v>
      </c>
    </row>
    <row r="118" spans="1:58">
      <c r="A118" t="s">
        <v>648</v>
      </c>
      <c r="B118" t="s">
        <v>1049</v>
      </c>
      <c r="C118" s="360"/>
      <c r="D118" s="363">
        <v>0</v>
      </c>
      <c r="E118" t="s">
        <v>855</v>
      </c>
      <c r="F118" s="360"/>
      <c r="G118" s="363">
        <v>110755.71</v>
      </c>
      <c r="H118" t="s">
        <v>834</v>
      </c>
      <c r="I118" s="360"/>
      <c r="J118" s="363">
        <v>0</v>
      </c>
      <c r="K118" t="s">
        <v>855</v>
      </c>
      <c r="L118" s="360"/>
      <c r="M118" s="363">
        <v>9229.6424999999999</v>
      </c>
      <c r="N118" t="s">
        <v>855</v>
      </c>
      <c r="O118" s="360"/>
      <c r="P118" s="366" t="str">
        <f t="shared" si="25"/>
        <v>Met</v>
      </c>
      <c r="Q118" s="360"/>
      <c r="R118" s="399">
        <v>0</v>
      </c>
      <c r="S118" s="400" t="str">
        <f t="shared" si="33"/>
        <v>Did not Meet</v>
      </c>
      <c r="U118" s="399">
        <v>108169.74</v>
      </c>
      <c r="V118" s="400" t="str">
        <f t="shared" si="34"/>
        <v>Met</v>
      </c>
      <c r="X118" s="399">
        <v>0</v>
      </c>
      <c r="Y118" s="400" t="str">
        <f t="shared" si="35"/>
        <v>Did not Meet</v>
      </c>
      <c r="AA118" s="399">
        <v>12018.86</v>
      </c>
      <c r="AB118" s="400" t="str">
        <f t="shared" si="36"/>
        <v>Did not Meet</v>
      </c>
      <c r="AD118" s="366" t="str">
        <f t="shared" si="26"/>
        <v>Met</v>
      </c>
      <c r="AF118" s="399">
        <v>0</v>
      </c>
      <c r="AG118" s="400" t="str">
        <f t="shared" si="37"/>
        <v>Did not Meet</v>
      </c>
      <c r="AI118" s="399">
        <v>88341.9</v>
      </c>
      <c r="AJ118" s="400" t="str">
        <f t="shared" si="38"/>
        <v>Did not Meet</v>
      </c>
      <c r="AL118" s="399">
        <f>VLOOKUP(A118,$A$5:$AF$315,32,0)/IFERROR(VLOOKUP(A118,'21-22 child count'!$A$3:$S$317,19,0),0)</f>
        <v>0</v>
      </c>
      <c r="AM118" s="400" t="str">
        <f t="shared" si="39"/>
        <v>Did not Meet</v>
      </c>
      <c r="AO118" s="399">
        <f>VLOOKUP(A118,'42. SEA or LEA Worksheet'!$A$4:$AB$318,28,0)/IFERROR(VLOOKUP('42. SEA or LEA Worksheet'!A228,'21-22 child count'!$A$3:$S$317,3,0),0)</f>
        <v>781.78672566371677</v>
      </c>
      <c r="AP118" s="400" t="str">
        <f t="shared" si="40"/>
        <v>Did not Meet</v>
      </c>
      <c r="AR118" s="366" t="str">
        <f t="shared" si="27"/>
        <v>Met</v>
      </c>
      <c r="AU118" s="400" t="str">
        <f t="shared" si="29"/>
        <v>Did not Meet</v>
      </c>
      <c r="AX118" s="400" t="str">
        <f t="shared" si="30"/>
        <v>Did not Meet</v>
      </c>
      <c r="BA118" s="400" t="str">
        <f t="shared" si="31"/>
        <v>Did not Meet</v>
      </c>
      <c r="BD118" s="400" t="str">
        <f t="shared" si="32"/>
        <v>Did not Meet</v>
      </c>
      <c r="BF118" s="366" t="str">
        <f t="shared" si="28"/>
        <v>Met</v>
      </c>
    </row>
    <row r="119" spans="1:58">
      <c r="A119" t="s">
        <v>418</v>
      </c>
      <c r="B119" t="s">
        <v>941</v>
      </c>
      <c r="C119" s="360"/>
      <c r="D119" s="363">
        <v>13824192.48</v>
      </c>
      <c r="E119" t="s">
        <v>834</v>
      </c>
      <c r="F119" s="360"/>
      <c r="G119" s="363">
        <v>49325158.140000001</v>
      </c>
      <c r="H119" t="s">
        <v>834</v>
      </c>
      <c r="I119" s="360"/>
      <c r="J119" s="363">
        <v>4600.3968319467558</v>
      </c>
      <c r="K119" t="s">
        <v>834</v>
      </c>
      <c r="L119" s="360"/>
      <c r="M119" s="363">
        <v>16414.362109816971</v>
      </c>
      <c r="N119" t="s">
        <v>855</v>
      </c>
      <c r="O119" s="360"/>
      <c r="P119" s="366" t="str">
        <f t="shared" si="25"/>
        <v>Met</v>
      </c>
      <c r="Q119" s="360"/>
      <c r="R119" s="399">
        <v>15912635.1</v>
      </c>
      <c r="S119" s="400" t="str">
        <f t="shared" si="33"/>
        <v>Met</v>
      </c>
      <c r="U119" s="399">
        <v>56736612.880000003</v>
      </c>
      <c r="V119" s="400" t="str">
        <f t="shared" si="34"/>
        <v>Met</v>
      </c>
      <c r="X119" s="399">
        <v>5525.2205208333335</v>
      </c>
      <c r="Y119" s="400" t="str">
        <f t="shared" si="35"/>
        <v>Met</v>
      </c>
      <c r="AA119" s="399">
        <v>19700.212805555555</v>
      </c>
      <c r="AB119" s="400" t="str">
        <f t="shared" si="36"/>
        <v>Did not Meet</v>
      </c>
      <c r="AD119" s="366" t="str">
        <f t="shared" si="26"/>
        <v>Met</v>
      </c>
      <c r="AF119" s="399">
        <v>17103903.690000001</v>
      </c>
      <c r="AG119" s="400" t="str">
        <f t="shared" si="37"/>
        <v>Met</v>
      </c>
      <c r="AI119" s="399">
        <v>75047661.829999998</v>
      </c>
      <c r="AJ119" s="400" t="str">
        <f t="shared" si="38"/>
        <v>Met</v>
      </c>
      <c r="AL119" s="399">
        <f>VLOOKUP(A119,$A$5:$AF$315,32,0)/IFERROR(VLOOKUP(A119,'21-22 child count'!$A$3:$S$317,19,0),0)</f>
        <v>5961.625545486233</v>
      </c>
      <c r="AM119" s="400" t="str">
        <f t="shared" si="39"/>
        <v>Met</v>
      </c>
      <c r="AO119" s="399">
        <f>VLOOKUP(A119,'42. SEA or LEA Worksheet'!$A$4:$AB$318,28,0)/IFERROR(VLOOKUP('42. SEA or LEA Worksheet'!A115,'21-22 child count'!$A$3:$S$317,3,0),0)</f>
        <v>470934.18203252036</v>
      </c>
      <c r="AP119" s="400" t="str">
        <f t="shared" si="40"/>
        <v>Did not Meet</v>
      </c>
      <c r="AR119" s="366" t="str">
        <f t="shared" si="27"/>
        <v>Met</v>
      </c>
      <c r="AU119" s="400" t="str">
        <f t="shared" si="29"/>
        <v>Did not Meet</v>
      </c>
      <c r="AX119" s="400" t="str">
        <f t="shared" si="30"/>
        <v>Did not Meet</v>
      </c>
      <c r="BA119" s="400" t="str">
        <f t="shared" si="31"/>
        <v>Did not Meet</v>
      </c>
      <c r="BD119" s="400" t="str">
        <f t="shared" si="32"/>
        <v>Did not Meet</v>
      </c>
      <c r="BF119" s="366" t="str">
        <f t="shared" si="28"/>
        <v>Met</v>
      </c>
    </row>
    <row r="120" spans="1:58">
      <c r="A120" t="s">
        <v>674</v>
      </c>
      <c r="B120" t="s">
        <v>1059</v>
      </c>
      <c r="C120" s="360"/>
      <c r="D120" s="363">
        <v>0</v>
      </c>
      <c r="E120" t="s">
        <v>855</v>
      </c>
      <c r="F120" s="360"/>
      <c r="G120" s="363">
        <v>19009224.129999999</v>
      </c>
      <c r="H120" t="s">
        <v>879</v>
      </c>
      <c r="I120" s="360"/>
      <c r="J120" s="363">
        <v>0</v>
      </c>
      <c r="K120" t="s">
        <v>855</v>
      </c>
      <c r="L120" s="360"/>
      <c r="M120" s="363">
        <v>15207.379304</v>
      </c>
      <c r="N120" t="s">
        <v>834</v>
      </c>
      <c r="O120" s="360"/>
      <c r="P120" s="366" t="str">
        <f t="shared" ref="P120:P183" si="41">IF(AND(E120="Did not Meet",H120="Did not Meet",K120="Did not Meet", N120="Did not Meet"),"Did not Meet","Met")</f>
        <v>Met</v>
      </c>
      <c r="Q120" s="360"/>
      <c r="R120" s="399">
        <v>0</v>
      </c>
      <c r="S120" s="400" t="str">
        <f t="shared" si="33"/>
        <v>Did not Meet</v>
      </c>
      <c r="U120" s="399">
        <v>18950982.18</v>
      </c>
      <c r="V120" s="400" t="str">
        <f t="shared" si="34"/>
        <v>Did not Meet</v>
      </c>
      <c r="X120" s="399">
        <v>0</v>
      </c>
      <c r="Y120" s="400" t="str">
        <f t="shared" si="35"/>
        <v>Did not Meet</v>
      </c>
      <c r="AA120" s="399">
        <v>15952.005202020202</v>
      </c>
      <c r="AB120" s="400" t="str">
        <f t="shared" si="36"/>
        <v>Met</v>
      </c>
      <c r="AD120" s="366" t="str">
        <f t="shared" si="26"/>
        <v>Met</v>
      </c>
      <c r="AF120" s="399">
        <v>0</v>
      </c>
      <c r="AG120" s="400" t="str">
        <f t="shared" si="37"/>
        <v>Did not Meet</v>
      </c>
      <c r="AI120" s="399">
        <v>19829204.690000001</v>
      </c>
      <c r="AJ120" s="400" t="str">
        <f t="shared" si="38"/>
        <v>Did not Meet</v>
      </c>
      <c r="AL120" s="399">
        <f>VLOOKUP(A120,$A$5:$AF$315,32,0)/IFERROR(VLOOKUP(A120,'21-22 child count'!$A$3:$S$317,19,0),0)</f>
        <v>0</v>
      </c>
      <c r="AM120" s="400" t="str">
        <f t="shared" si="39"/>
        <v>Did not Meet</v>
      </c>
      <c r="AO120" s="399">
        <f>VLOOKUP(A120,'42. SEA or LEA Worksheet'!$A$4:$AB$318,28,0)/IFERROR(VLOOKUP('42. SEA or LEA Worksheet'!A239,'21-22 child count'!$A$3:$S$317,3,0),0)</f>
        <v>195809.4905940594</v>
      </c>
      <c r="AP120" s="400" t="str">
        <f t="shared" si="40"/>
        <v>Met</v>
      </c>
      <c r="AR120" s="366" t="str">
        <f t="shared" si="27"/>
        <v>Met</v>
      </c>
      <c r="AU120" s="400" t="str">
        <f t="shared" si="29"/>
        <v>Did not Meet</v>
      </c>
      <c r="AX120" s="400" t="str">
        <f t="shared" si="30"/>
        <v>Did not Meet</v>
      </c>
      <c r="BA120" s="400" t="str">
        <f t="shared" si="31"/>
        <v>Did not Meet</v>
      </c>
      <c r="BD120" s="400" t="str">
        <f t="shared" si="32"/>
        <v>Did not Meet</v>
      </c>
      <c r="BF120" s="366" t="str">
        <f t="shared" si="28"/>
        <v>Met</v>
      </c>
    </row>
    <row r="121" spans="1:58">
      <c r="A121" t="s">
        <v>678</v>
      </c>
      <c r="B121" t="s">
        <v>1061</v>
      </c>
      <c r="C121" s="360"/>
      <c r="D121" s="363">
        <v>0</v>
      </c>
      <c r="E121" t="s">
        <v>855</v>
      </c>
      <c r="F121" s="360"/>
      <c r="G121" s="363">
        <v>760821.21</v>
      </c>
      <c r="H121" t="s">
        <v>834</v>
      </c>
      <c r="I121" s="360"/>
      <c r="J121" s="363">
        <v>0</v>
      </c>
      <c r="K121" t="s">
        <v>855</v>
      </c>
      <c r="L121" s="360"/>
      <c r="M121" s="363">
        <v>8745.0713793103441</v>
      </c>
      <c r="N121" t="s">
        <v>855</v>
      </c>
      <c r="O121" s="360"/>
      <c r="P121" s="366" t="str">
        <f t="shared" si="41"/>
        <v>Met</v>
      </c>
      <c r="Q121" s="360"/>
      <c r="R121" s="399">
        <v>0</v>
      </c>
      <c r="S121" s="400" t="str">
        <f t="shared" si="33"/>
        <v>Did not Meet</v>
      </c>
      <c r="U121" s="399">
        <v>773340.54</v>
      </c>
      <c r="V121" s="400" t="str">
        <f t="shared" si="34"/>
        <v>Met</v>
      </c>
      <c r="X121" s="399">
        <v>0</v>
      </c>
      <c r="Y121" s="400" t="str">
        <f t="shared" si="35"/>
        <v>Did not Meet</v>
      </c>
      <c r="AA121" s="399">
        <v>8888.9717241379312</v>
      </c>
      <c r="AB121" s="400" t="str">
        <f t="shared" si="36"/>
        <v>Did not Meet</v>
      </c>
      <c r="AD121" s="366" t="str">
        <f t="shared" si="26"/>
        <v>Met</v>
      </c>
      <c r="AF121" s="399">
        <v>88699.44</v>
      </c>
      <c r="AG121" s="400" t="str">
        <f t="shared" si="37"/>
        <v>Did not Meet</v>
      </c>
      <c r="AI121" s="399">
        <v>946478.12999999989</v>
      </c>
      <c r="AJ121" s="400" t="str">
        <f t="shared" si="38"/>
        <v>Met</v>
      </c>
      <c r="AL121" s="399">
        <f>VLOOKUP(A121,$A$5:$AF$315,32,0)/IFERROR(VLOOKUP(A121,'21-22 child count'!$A$3:$S$317,19,0),0)</f>
        <v>828.96672897196265</v>
      </c>
      <c r="AM121" s="400" t="str">
        <f t="shared" si="39"/>
        <v>Did not Meet</v>
      </c>
      <c r="AO121" s="399">
        <f>AI121/'21-22 child count'!S247</f>
        <v>8845.5899999999983</v>
      </c>
      <c r="AP121" s="400" t="str">
        <f t="shared" si="40"/>
        <v>Did not Meet</v>
      </c>
      <c r="AR121" s="366" t="str">
        <f t="shared" si="27"/>
        <v>Met</v>
      </c>
      <c r="AU121" s="400" t="str">
        <f t="shared" si="29"/>
        <v>Did not Meet</v>
      </c>
      <c r="AX121" s="400" t="str">
        <f t="shared" si="30"/>
        <v>Did not Meet</v>
      </c>
      <c r="BA121" s="400" t="str">
        <f t="shared" si="31"/>
        <v>Did not Meet</v>
      </c>
      <c r="BD121" s="400" t="str">
        <f t="shared" si="32"/>
        <v>Did not Meet</v>
      </c>
      <c r="BF121" s="366" t="str">
        <f t="shared" si="28"/>
        <v>Met</v>
      </c>
    </row>
    <row r="122" spans="1:58">
      <c r="A122" t="s">
        <v>424</v>
      </c>
      <c r="B122" t="s">
        <v>944</v>
      </c>
      <c r="C122" s="360"/>
      <c r="D122" s="363">
        <v>0</v>
      </c>
      <c r="E122" t="s">
        <v>834</v>
      </c>
      <c r="F122" s="360"/>
      <c r="G122" s="363">
        <v>1003300.09</v>
      </c>
      <c r="H122" t="s">
        <v>834</v>
      </c>
      <c r="I122" s="360"/>
      <c r="J122" s="363">
        <v>0</v>
      </c>
      <c r="K122" t="s">
        <v>834</v>
      </c>
      <c r="L122" s="360"/>
      <c r="M122" s="363">
        <v>9555.2389523809525</v>
      </c>
      <c r="N122" t="s">
        <v>855</v>
      </c>
      <c r="O122" s="360"/>
      <c r="P122" s="366" t="str">
        <f t="shared" si="41"/>
        <v>Met</v>
      </c>
      <c r="Q122" s="360"/>
      <c r="R122" s="399">
        <v>0</v>
      </c>
      <c r="S122" s="400" t="str">
        <f t="shared" si="33"/>
        <v>Met</v>
      </c>
      <c r="U122" s="399">
        <v>1010854.24</v>
      </c>
      <c r="V122" s="400" t="str">
        <f t="shared" si="34"/>
        <v>Met</v>
      </c>
      <c r="X122" s="399">
        <v>0</v>
      </c>
      <c r="Y122" s="400" t="str">
        <f t="shared" si="35"/>
        <v>Met</v>
      </c>
      <c r="AA122" s="399">
        <v>10640.57094736842</v>
      </c>
      <c r="AB122" s="400" t="str">
        <f t="shared" si="36"/>
        <v>Did not Meet</v>
      </c>
      <c r="AD122" s="366" t="str">
        <f t="shared" si="26"/>
        <v>Met</v>
      </c>
      <c r="AF122" s="399">
        <v>0</v>
      </c>
      <c r="AG122" s="400" t="str">
        <f t="shared" si="37"/>
        <v>Met</v>
      </c>
      <c r="AI122" s="399">
        <v>1177933.48</v>
      </c>
      <c r="AJ122" s="400" t="str">
        <f t="shared" si="38"/>
        <v>Met</v>
      </c>
      <c r="AL122" s="399">
        <f>VLOOKUP(A122,$A$5:$AF$315,32,0)/IFERROR(VLOOKUP(A122,'21-22 child count'!$A$3:$S$317,19,0),0)</f>
        <v>0</v>
      </c>
      <c r="AM122" s="400" t="str">
        <f t="shared" si="39"/>
        <v>Met</v>
      </c>
      <c r="AO122" s="399">
        <f>VLOOKUP(A122,'42. SEA or LEA Worksheet'!$A$4:$AB$318,28,0)/IFERROR(VLOOKUP('42. SEA or LEA Worksheet'!A118,'21-22 child count'!$A$3:$S$317,3,0),0)</f>
        <v>11662.707722772277</v>
      </c>
      <c r="AP122" s="400" t="str">
        <f t="shared" si="40"/>
        <v>Did not Meet</v>
      </c>
      <c r="AR122" s="366" t="str">
        <f t="shared" si="27"/>
        <v>Met</v>
      </c>
      <c r="AU122" s="400" t="str">
        <f t="shared" si="29"/>
        <v>Met</v>
      </c>
      <c r="AX122" s="400" t="str">
        <f t="shared" si="30"/>
        <v>Did not Meet</v>
      </c>
      <c r="BA122" s="400" t="str">
        <f t="shared" si="31"/>
        <v>Met</v>
      </c>
      <c r="BD122" s="400" t="str">
        <f t="shared" si="32"/>
        <v>Did not Meet</v>
      </c>
      <c r="BF122" s="366" t="str">
        <f t="shared" si="28"/>
        <v>Met</v>
      </c>
    </row>
    <row r="123" spans="1:58">
      <c r="A123" t="s">
        <v>701</v>
      </c>
      <c r="B123" t="s">
        <v>1071</v>
      </c>
      <c r="C123" s="360"/>
      <c r="D123" s="363">
        <v>0</v>
      </c>
      <c r="E123" t="s">
        <v>855</v>
      </c>
      <c r="F123" s="360"/>
      <c r="G123" s="363">
        <v>33562.04</v>
      </c>
      <c r="H123" t="s">
        <v>834</v>
      </c>
      <c r="I123" s="360"/>
      <c r="J123" s="363">
        <v>0</v>
      </c>
      <c r="K123" t="s">
        <v>855</v>
      </c>
      <c r="L123" s="360"/>
      <c r="M123" s="363">
        <v>6712.4080000000004</v>
      </c>
      <c r="N123" t="s">
        <v>855</v>
      </c>
      <c r="O123" s="360"/>
      <c r="P123" s="366" t="str">
        <f t="shared" si="41"/>
        <v>Met</v>
      </c>
      <c r="Q123" s="360"/>
      <c r="R123" s="399">
        <v>0</v>
      </c>
      <c r="S123" s="400" t="str">
        <f t="shared" si="33"/>
        <v>Did not Meet</v>
      </c>
      <c r="U123" s="399">
        <v>39613.370000000003</v>
      </c>
      <c r="V123" s="400" t="str">
        <f t="shared" si="34"/>
        <v>Met</v>
      </c>
      <c r="X123" s="399">
        <v>0</v>
      </c>
      <c r="Y123" s="400" t="str">
        <f t="shared" si="35"/>
        <v>Did not Meet</v>
      </c>
      <c r="AA123" s="399">
        <v>19806.685000000001</v>
      </c>
      <c r="AB123" s="400" t="str">
        <f t="shared" si="36"/>
        <v>Did not Meet</v>
      </c>
      <c r="AD123" s="366" t="str">
        <f t="shared" si="26"/>
        <v>Met</v>
      </c>
      <c r="AF123" s="399">
        <v>0</v>
      </c>
      <c r="AG123" s="400" t="str">
        <f t="shared" si="37"/>
        <v>Did not Meet</v>
      </c>
      <c r="AI123" s="399">
        <v>271237.99</v>
      </c>
      <c r="AJ123" s="400" t="str">
        <f t="shared" si="38"/>
        <v>Met</v>
      </c>
      <c r="AL123" s="399">
        <f>VLOOKUP(A123,$A$5:$AF$315,32,0)/IFERROR(VLOOKUP(A123,'21-22 child count'!$A$3:$S$317,19,0),0)</f>
        <v>0</v>
      </c>
      <c r="AM123" s="400" t="str">
        <f t="shared" si="39"/>
        <v>Did not Meet</v>
      </c>
      <c r="AO123" s="399">
        <f>VLOOKUP(A123,'42. SEA or LEA Worksheet'!$A$4:$AB$318,28,0)/IFERROR(VLOOKUP('42. SEA or LEA Worksheet'!A252,'21-22 child count'!$A$3:$S$317,3,0),0)</f>
        <v>2400.3361946902655</v>
      </c>
      <c r="AP123" s="400" t="str">
        <f t="shared" si="40"/>
        <v>Did not Meet</v>
      </c>
      <c r="AR123" s="366" t="str">
        <f t="shared" si="27"/>
        <v>Met</v>
      </c>
      <c r="AU123" s="400" t="str">
        <f t="shared" si="29"/>
        <v>Did not Meet</v>
      </c>
      <c r="AX123" s="400" t="str">
        <f t="shared" si="30"/>
        <v>Did not Meet</v>
      </c>
      <c r="BA123" s="400" t="str">
        <f t="shared" si="31"/>
        <v>Did not Meet</v>
      </c>
      <c r="BD123" s="400" t="str">
        <f t="shared" si="32"/>
        <v>Did not Meet</v>
      </c>
      <c r="BF123" s="366" t="str">
        <f t="shared" si="28"/>
        <v>Met</v>
      </c>
    </row>
    <row r="124" spans="1:58">
      <c r="A124" t="s">
        <v>719</v>
      </c>
      <c r="B124" t="s">
        <v>1079</v>
      </c>
      <c r="C124" s="360"/>
      <c r="D124" s="363">
        <v>0</v>
      </c>
      <c r="E124" t="s">
        <v>855</v>
      </c>
      <c r="F124" s="360"/>
      <c r="G124" s="363">
        <v>96983.85</v>
      </c>
      <c r="H124" t="s">
        <v>834</v>
      </c>
      <c r="I124" s="360"/>
      <c r="J124" s="363">
        <v>0</v>
      </c>
      <c r="K124" t="s">
        <v>855</v>
      </c>
      <c r="L124" s="360"/>
      <c r="M124" s="363">
        <v>13854.835714285715</v>
      </c>
      <c r="N124" t="s">
        <v>834</v>
      </c>
      <c r="O124" s="360"/>
      <c r="P124" s="366" t="str">
        <f t="shared" si="41"/>
        <v>Met</v>
      </c>
      <c r="Q124" s="360"/>
      <c r="R124" s="399">
        <v>0</v>
      </c>
      <c r="S124" s="400" t="str">
        <f t="shared" si="33"/>
        <v>Did not Meet</v>
      </c>
      <c r="U124" s="399">
        <v>70143.759999999995</v>
      </c>
      <c r="V124" s="400" t="str">
        <f t="shared" si="34"/>
        <v>Met</v>
      </c>
      <c r="X124" s="399">
        <v>0</v>
      </c>
      <c r="Y124" s="400" t="str">
        <f t="shared" si="35"/>
        <v>Did not Meet</v>
      </c>
      <c r="AA124" s="399">
        <v>7793.7511111111107</v>
      </c>
      <c r="AB124" s="400" t="str">
        <f t="shared" si="36"/>
        <v>Did not Meet</v>
      </c>
      <c r="AD124" s="366" t="str">
        <f t="shared" si="26"/>
        <v>Met</v>
      </c>
      <c r="AF124" s="399">
        <v>0</v>
      </c>
      <c r="AG124" s="400" t="str">
        <f t="shared" si="37"/>
        <v>Did not Meet</v>
      </c>
      <c r="AI124" s="399">
        <v>81538.850000000006</v>
      </c>
      <c r="AJ124" s="400" t="str">
        <f t="shared" si="38"/>
        <v>Met</v>
      </c>
      <c r="AL124" s="399">
        <f>VLOOKUP(A124,$A$5:$AF$315,32,0)/IFERROR(VLOOKUP(A124,'21-22 child count'!$A$3:$S$317,19,0),0)</f>
        <v>0</v>
      </c>
      <c r="AM124" s="400" t="str">
        <f t="shared" si="39"/>
        <v>Did not Meet</v>
      </c>
      <c r="AO124" s="399">
        <f>VLOOKUP(A124,'42. SEA or LEA Worksheet'!$A$4:$AB$318,28,0)/IFERROR(VLOOKUP('42. SEA or LEA Worksheet'!A261,'21-22 child count'!$A$3:$S$317,3,0),0)</f>
        <v>673.87479338842979</v>
      </c>
      <c r="AP124" s="400" t="str">
        <f t="shared" si="40"/>
        <v>Did not Meet</v>
      </c>
      <c r="AR124" s="366" t="str">
        <f t="shared" si="27"/>
        <v>Met</v>
      </c>
      <c r="AU124" s="400" t="str">
        <f t="shared" si="29"/>
        <v>Did not Meet</v>
      </c>
      <c r="AX124" s="400" t="str">
        <f t="shared" si="30"/>
        <v>Did not Meet</v>
      </c>
      <c r="BA124" s="400" t="str">
        <f t="shared" si="31"/>
        <v>Did not Meet</v>
      </c>
      <c r="BD124" s="400" t="str">
        <f t="shared" si="32"/>
        <v>Did not Meet</v>
      </c>
      <c r="BF124" s="366" t="str">
        <f t="shared" si="28"/>
        <v>Met</v>
      </c>
    </row>
    <row r="125" spans="1:58">
      <c r="A125" t="s">
        <v>723</v>
      </c>
      <c r="B125" t="s">
        <v>1081</v>
      </c>
      <c r="C125" s="360"/>
      <c r="D125" s="363">
        <v>0</v>
      </c>
      <c r="E125" t="s">
        <v>855</v>
      </c>
      <c r="F125" s="360"/>
      <c r="G125" s="363">
        <v>10024405.970000001</v>
      </c>
      <c r="H125" t="s">
        <v>834</v>
      </c>
      <c r="I125" s="360"/>
      <c r="J125" s="363">
        <v>0</v>
      </c>
      <c r="K125" t="s">
        <v>855</v>
      </c>
      <c r="L125" s="360"/>
      <c r="M125" s="363">
        <v>10630.335068928951</v>
      </c>
      <c r="N125" t="s">
        <v>834</v>
      </c>
      <c r="O125" s="360"/>
      <c r="P125" s="366" t="str">
        <f t="shared" si="41"/>
        <v>Met</v>
      </c>
      <c r="Q125" s="360"/>
      <c r="R125" s="399">
        <v>0</v>
      </c>
      <c r="S125" s="400" t="str">
        <f t="shared" si="33"/>
        <v>Did not Meet</v>
      </c>
      <c r="U125" s="399">
        <v>10026366.710000001</v>
      </c>
      <c r="V125" s="400" t="str">
        <f t="shared" si="34"/>
        <v>Met</v>
      </c>
      <c r="X125" s="399">
        <v>0</v>
      </c>
      <c r="Y125" s="400" t="str">
        <f t="shared" si="35"/>
        <v>Did not Meet</v>
      </c>
      <c r="AA125" s="399">
        <v>11054.428566703418</v>
      </c>
      <c r="AB125" s="400" t="str">
        <f t="shared" si="36"/>
        <v>Met</v>
      </c>
      <c r="AD125" s="366" t="str">
        <f t="shared" si="26"/>
        <v>Met</v>
      </c>
      <c r="AF125" s="399">
        <v>0</v>
      </c>
      <c r="AG125" s="400" t="str">
        <f t="shared" si="37"/>
        <v>Did not Meet</v>
      </c>
      <c r="AI125" s="399">
        <v>10164619.890000001</v>
      </c>
      <c r="AJ125" s="400" t="str">
        <f t="shared" si="38"/>
        <v>Met</v>
      </c>
      <c r="AL125" s="399">
        <f>VLOOKUP(A125,$A$5:$AF$315,32,0)/IFERROR(VLOOKUP(A125,'21-22 child count'!$A$3:$S$317,19,0),0)</f>
        <v>0</v>
      </c>
      <c r="AM125" s="400" t="str">
        <f t="shared" si="39"/>
        <v>Did not Meet</v>
      </c>
      <c r="AO125" s="399">
        <f>VLOOKUP(A125,'42. SEA or LEA Worksheet'!$A$4:$AB$318,28,0)/IFERROR(VLOOKUP('42. SEA or LEA Worksheet'!A263,'21-22 child count'!$A$3:$S$317,3,0),0)</f>
        <v>90755.534732142856</v>
      </c>
      <c r="AP125" s="400" t="str">
        <f t="shared" si="40"/>
        <v>Met</v>
      </c>
      <c r="AR125" s="366" t="str">
        <f t="shared" si="27"/>
        <v>Met</v>
      </c>
      <c r="AU125" s="400" t="str">
        <f t="shared" si="29"/>
        <v>Did not Meet</v>
      </c>
      <c r="AX125" s="400" t="str">
        <f t="shared" si="30"/>
        <v>Did not Meet</v>
      </c>
      <c r="BA125" s="400" t="str">
        <f t="shared" si="31"/>
        <v>Did not Meet</v>
      </c>
      <c r="BD125" s="400" t="str">
        <f t="shared" si="32"/>
        <v>Did not Meet</v>
      </c>
      <c r="BF125" s="366" t="str">
        <f t="shared" si="28"/>
        <v>Met</v>
      </c>
    </row>
    <row r="126" spans="1:58">
      <c r="A126" t="s">
        <v>729</v>
      </c>
      <c r="B126" t="s">
        <v>1147</v>
      </c>
      <c r="C126" s="360"/>
      <c r="D126" s="363">
        <v>60108.67</v>
      </c>
      <c r="E126" t="s">
        <v>834</v>
      </c>
      <c r="F126" s="360"/>
      <c r="G126" s="363">
        <v>294732.48</v>
      </c>
      <c r="H126" t="s">
        <v>834</v>
      </c>
      <c r="I126" s="360"/>
      <c r="J126" s="363">
        <v>1767.9020588235294</v>
      </c>
      <c r="K126" t="s">
        <v>855</v>
      </c>
      <c r="L126" s="360"/>
      <c r="M126" s="363">
        <v>8668.6023529411759</v>
      </c>
      <c r="N126" t="s">
        <v>855</v>
      </c>
      <c r="O126" s="360"/>
      <c r="P126" s="366" t="str">
        <f t="shared" si="41"/>
        <v>Met</v>
      </c>
      <c r="Q126" s="360"/>
      <c r="R126" s="399">
        <v>0</v>
      </c>
      <c r="S126" s="400" t="str">
        <f t="shared" si="33"/>
        <v>Did not Meet</v>
      </c>
      <c r="U126" s="399">
        <v>247338.69</v>
      </c>
      <c r="V126" s="400" t="str">
        <f t="shared" si="34"/>
        <v>Met</v>
      </c>
      <c r="X126" s="399">
        <v>0</v>
      </c>
      <c r="Y126" s="400" t="str">
        <f t="shared" si="35"/>
        <v>Did not Meet</v>
      </c>
      <c r="AA126" s="399">
        <v>5752.0625581395352</v>
      </c>
      <c r="AB126" s="400" t="str">
        <f t="shared" si="36"/>
        <v>Did not Meet</v>
      </c>
      <c r="AD126" s="366" t="str">
        <f t="shared" si="26"/>
        <v>Met</v>
      </c>
      <c r="AF126" s="399">
        <v>0</v>
      </c>
      <c r="AG126" s="400" t="str">
        <f t="shared" si="37"/>
        <v>Did not Meet</v>
      </c>
      <c r="AI126" s="399">
        <v>245050.43</v>
      </c>
      <c r="AJ126" s="400" t="str">
        <f t="shared" si="38"/>
        <v>Did not Meet</v>
      </c>
      <c r="AL126" s="399">
        <f>VLOOKUP(A126,$A$5:$AF$315,32,0)/IFERROR(VLOOKUP(A126,'21-22 child count'!$A$3:$S$317,19,0),0)</f>
        <v>0</v>
      </c>
      <c r="AM126" s="400" t="str">
        <f t="shared" si="39"/>
        <v>Did not Meet</v>
      </c>
      <c r="AO126" s="399">
        <f>VLOOKUP(A126,'42. SEA or LEA Worksheet'!$A$4:$AB$318,28,0)/IFERROR(VLOOKUP('42. SEA or LEA Worksheet'!A266,'21-22 child count'!$A$3:$S$317,3,0),0)</f>
        <v>1980.4802479338841</v>
      </c>
      <c r="AP126" s="400" t="str">
        <f t="shared" si="40"/>
        <v>Did not Meet</v>
      </c>
      <c r="AR126" s="366" t="str">
        <f t="shared" si="27"/>
        <v>Met</v>
      </c>
      <c r="AU126" s="400" t="str">
        <f t="shared" si="29"/>
        <v>Did not Meet</v>
      </c>
      <c r="AX126" s="400" t="str">
        <f t="shared" si="30"/>
        <v>Did not Meet</v>
      </c>
      <c r="BA126" s="400" t="str">
        <f t="shared" si="31"/>
        <v>Did not Meet</v>
      </c>
      <c r="BD126" s="400" t="str">
        <f t="shared" si="32"/>
        <v>Did not Meet</v>
      </c>
      <c r="BF126" s="366" t="str">
        <f t="shared" si="28"/>
        <v>Met</v>
      </c>
    </row>
    <row r="127" spans="1:58">
      <c r="A127" t="s">
        <v>735</v>
      </c>
      <c r="B127" t="s">
        <v>1086</v>
      </c>
      <c r="C127" s="360"/>
      <c r="D127" s="363">
        <v>0</v>
      </c>
      <c r="E127" t="s">
        <v>855</v>
      </c>
      <c r="F127" s="360"/>
      <c r="G127" s="363">
        <v>2169723.2599999998</v>
      </c>
      <c r="H127" t="s">
        <v>834</v>
      </c>
      <c r="I127" s="360"/>
      <c r="J127" s="363">
        <v>0</v>
      </c>
      <c r="K127" t="s">
        <v>855</v>
      </c>
      <c r="L127" s="360"/>
      <c r="M127" s="363">
        <v>10741.204257425741</v>
      </c>
      <c r="N127" t="s">
        <v>834</v>
      </c>
      <c r="O127" s="360"/>
      <c r="P127" s="366" t="str">
        <f t="shared" si="41"/>
        <v>Met</v>
      </c>
      <c r="Q127" s="360"/>
      <c r="R127" s="399">
        <v>0</v>
      </c>
      <c r="S127" s="400" t="str">
        <f t="shared" si="33"/>
        <v>Did not Meet</v>
      </c>
      <c r="U127" s="399">
        <v>2108953.7400000002</v>
      </c>
      <c r="V127" s="400" t="str">
        <f t="shared" si="34"/>
        <v>Met</v>
      </c>
      <c r="X127" s="399">
        <v>0</v>
      </c>
      <c r="Y127" s="400" t="str">
        <f t="shared" si="35"/>
        <v>Did not Meet</v>
      </c>
      <c r="AA127" s="399">
        <v>10188.182318840582</v>
      </c>
      <c r="AB127" s="400" t="str">
        <f t="shared" si="36"/>
        <v>Did not Meet</v>
      </c>
      <c r="AD127" s="366" t="str">
        <f t="shared" si="26"/>
        <v>Met</v>
      </c>
      <c r="AF127" s="399">
        <v>0</v>
      </c>
      <c r="AG127" s="400" t="str">
        <f t="shared" si="37"/>
        <v>Did not Meet</v>
      </c>
      <c r="AI127" s="399">
        <v>2040642.55</v>
      </c>
      <c r="AJ127" s="400" t="str">
        <f t="shared" si="38"/>
        <v>Did not Meet</v>
      </c>
      <c r="AL127" s="399">
        <f>VLOOKUP(A127,$A$5:$AF$315,32,0)/IFERROR(VLOOKUP(A127,'21-22 child count'!$A$3:$S$317,19,0),0)</f>
        <v>0</v>
      </c>
      <c r="AM127" s="400" t="str">
        <f t="shared" si="39"/>
        <v>Did not Meet</v>
      </c>
      <c r="AO127" s="399">
        <f>VLOOKUP(A127,'42. SEA or LEA Worksheet'!$A$4:$AB$318,28,0)/IFERROR(VLOOKUP('42. SEA or LEA Worksheet'!A269,'21-22 child count'!$A$3:$S$317,3,0),0)</f>
        <v>16554.657685950413</v>
      </c>
      <c r="AP127" s="400" t="str">
        <f t="shared" si="40"/>
        <v>Did not Meet</v>
      </c>
      <c r="AR127" s="366" t="str">
        <f t="shared" si="27"/>
        <v>Met</v>
      </c>
      <c r="AU127" s="400" t="str">
        <f t="shared" si="29"/>
        <v>Did not Meet</v>
      </c>
      <c r="AX127" s="400" t="str">
        <f t="shared" si="30"/>
        <v>Did not Meet</v>
      </c>
      <c r="BA127" s="400" t="str">
        <f t="shared" si="31"/>
        <v>Did not Meet</v>
      </c>
      <c r="BD127" s="400" t="str">
        <f t="shared" si="32"/>
        <v>Did not Meet</v>
      </c>
      <c r="BF127" s="366" t="str">
        <f t="shared" si="28"/>
        <v>Met</v>
      </c>
    </row>
    <row r="128" spans="1:58">
      <c r="A128" t="s">
        <v>737</v>
      </c>
      <c r="B128" t="s">
        <v>1087</v>
      </c>
      <c r="C128" s="360"/>
      <c r="D128" s="363">
        <v>0</v>
      </c>
      <c r="E128" t="s">
        <v>855</v>
      </c>
      <c r="F128" s="360"/>
      <c r="G128" s="363">
        <v>353888.04</v>
      </c>
      <c r="H128" t="s">
        <v>834</v>
      </c>
      <c r="I128" s="360"/>
      <c r="J128" s="363">
        <v>0</v>
      </c>
      <c r="K128" t="s">
        <v>855</v>
      </c>
      <c r="L128" s="360"/>
      <c r="M128" s="363">
        <v>11059.001249999999</v>
      </c>
      <c r="N128" t="s">
        <v>855</v>
      </c>
      <c r="O128" s="360"/>
      <c r="P128" s="366" t="str">
        <f t="shared" si="41"/>
        <v>Met</v>
      </c>
      <c r="Q128" s="360"/>
      <c r="R128" s="399">
        <v>0</v>
      </c>
      <c r="S128" s="400" t="str">
        <f t="shared" si="33"/>
        <v>Did not Meet</v>
      </c>
      <c r="U128" s="399">
        <v>395555.41</v>
      </c>
      <c r="V128" s="400" t="str">
        <f t="shared" si="34"/>
        <v>Met</v>
      </c>
      <c r="X128" s="399">
        <v>0</v>
      </c>
      <c r="Y128" s="400" t="str">
        <f t="shared" si="35"/>
        <v>Did not Meet</v>
      </c>
      <c r="AA128" s="399">
        <v>11986.527575757575</v>
      </c>
      <c r="AB128" s="400" t="str">
        <f t="shared" si="36"/>
        <v>Did not Meet</v>
      </c>
      <c r="AD128" s="366" t="str">
        <f t="shared" si="26"/>
        <v>Met</v>
      </c>
      <c r="AF128" s="399">
        <v>0</v>
      </c>
      <c r="AG128" s="400" t="str">
        <f t="shared" si="37"/>
        <v>Did not Meet</v>
      </c>
      <c r="AI128" s="399">
        <v>392291.15</v>
      </c>
      <c r="AJ128" s="400" t="str">
        <f t="shared" si="38"/>
        <v>Did not Meet</v>
      </c>
      <c r="AL128" s="399">
        <f>VLOOKUP(A128,$A$5:$AF$315,32,0)/IFERROR(VLOOKUP(A128,'21-22 child count'!$A$3:$S$317,19,0),0)</f>
        <v>0</v>
      </c>
      <c r="AM128" s="400" t="str">
        <f t="shared" si="39"/>
        <v>Did not Meet</v>
      </c>
      <c r="AO128" s="399">
        <f>VLOOKUP(A128,'42. SEA or LEA Worksheet'!$A$4:$AB$318,28,0)/IFERROR(VLOOKUP('42. SEA or LEA Worksheet'!A270,'21-22 child count'!$A$3:$S$317,3,0),0)</f>
        <v>3736.1061904761905</v>
      </c>
      <c r="AP128" s="400" t="str">
        <f t="shared" si="40"/>
        <v>Did not Meet</v>
      </c>
      <c r="AR128" s="366" t="str">
        <f t="shared" si="27"/>
        <v>Met</v>
      </c>
      <c r="AU128" s="400" t="str">
        <f t="shared" si="29"/>
        <v>Did not Meet</v>
      </c>
      <c r="AX128" s="400" t="str">
        <f t="shared" si="30"/>
        <v>Did not Meet</v>
      </c>
      <c r="BA128" s="400" t="str">
        <f t="shared" si="31"/>
        <v>Did not Meet</v>
      </c>
      <c r="BD128" s="400" t="str">
        <f t="shared" si="32"/>
        <v>Did not Meet</v>
      </c>
      <c r="BF128" s="366" t="str">
        <f t="shared" si="28"/>
        <v>Met</v>
      </c>
    </row>
    <row r="129" spans="1:58">
      <c r="A129" t="s">
        <v>741</v>
      </c>
      <c r="B129" t="s">
        <v>1089</v>
      </c>
      <c r="C129" s="360"/>
      <c r="D129" s="363">
        <v>0</v>
      </c>
      <c r="E129" t="s">
        <v>855</v>
      </c>
      <c r="F129" s="360"/>
      <c r="G129" s="363">
        <v>1048405.49</v>
      </c>
      <c r="H129" t="s">
        <v>879</v>
      </c>
      <c r="I129" s="360"/>
      <c r="J129" s="363">
        <v>0</v>
      </c>
      <c r="K129" t="s">
        <v>855</v>
      </c>
      <c r="L129" s="360"/>
      <c r="M129" s="363">
        <v>8664.5081818181825</v>
      </c>
      <c r="N129" t="s">
        <v>834</v>
      </c>
      <c r="O129" s="360"/>
      <c r="P129" s="366" t="str">
        <f t="shared" si="41"/>
        <v>Met</v>
      </c>
      <c r="Q129" s="360"/>
      <c r="R129" s="399">
        <v>0</v>
      </c>
      <c r="S129" s="400" t="str">
        <f t="shared" si="33"/>
        <v>Did not Meet</v>
      </c>
      <c r="U129" s="399">
        <v>1351785.53</v>
      </c>
      <c r="V129" s="400" t="str">
        <f t="shared" si="34"/>
        <v>Did not Meet</v>
      </c>
      <c r="X129" s="399">
        <v>0</v>
      </c>
      <c r="Y129" s="400" t="str">
        <f t="shared" si="35"/>
        <v>Did not Meet</v>
      </c>
      <c r="AA129" s="399">
        <v>10318.973511450382</v>
      </c>
      <c r="AB129" s="400" t="str">
        <f t="shared" si="36"/>
        <v>Met</v>
      </c>
      <c r="AD129" s="366" t="str">
        <f t="shared" si="26"/>
        <v>Met</v>
      </c>
      <c r="AF129" s="399">
        <v>0</v>
      </c>
      <c r="AG129" s="400" t="str">
        <f t="shared" si="37"/>
        <v>Did not Meet</v>
      </c>
      <c r="AI129" s="399">
        <v>1149694.73</v>
      </c>
      <c r="AJ129" s="400" t="str">
        <f t="shared" si="38"/>
        <v>Did not Meet</v>
      </c>
      <c r="AL129" s="399">
        <f>VLOOKUP(A129,$A$5:$AF$315,32,0)/IFERROR(VLOOKUP(A129,'21-22 child count'!$A$3:$S$317,19,0),0)</f>
        <v>0</v>
      </c>
      <c r="AM129" s="400" t="str">
        <f t="shared" si="39"/>
        <v>Did not Meet</v>
      </c>
      <c r="AO129" s="399">
        <f>VLOOKUP(A129,'42. SEA or LEA Worksheet'!$A$4:$AB$318,28,0)/IFERROR(VLOOKUP('42. SEA or LEA Worksheet'!A272,'21-22 child count'!$A$3:$S$317,3,0),0)</f>
        <v>9497.3911570247947</v>
      </c>
      <c r="AP129" s="400" t="str">
        <f t="shared" si="40"/>
        <v>Did not Meet</v>
      </c>
      <c r="AR129" s="366" t="str">
        <f t="shared" si="27"/>
        <v>Met</v>
      </c>
      <c r="AU129" s="400" t="str">
        <f t="shared" si="29"/>
        <v>Did not Meet</v>
      </c>
      <c r="AX129" s="400" t="str">
        <f t="shared" si="30"/>
        <v>Did not Meet</v>
      </c>
      <c r="BA129" s="400" t="str">
        <f t="shared" si="31"/>
        <v>Did not Meet</v>
      </c>
      <c r="BD129" s="400" t="str">
        <f t="shared" si="32"/>
        <v>Did not Meet</v>
      </c>
      <c r="BF129" s="366" t="str">
        <f t="shared" si="28"/>
        <v>Met</v>
      </c>
    </row>
    <row r="130" spans="1:58">
      <c r="A130" t="s">
        <v>745</v>
      </c>
      <c r="B130" t="s">
        <v>1091</v>
      </c>
      <c r="C130" s="360"/>
      <c r="D130" s="363">
        <v>0</v>
      </c>
      <c r="E130" t="s">
        <v>855</v>
      </c>
      <c r="F130" s="360"/>
      <c r="G130" s="363">
        <v>244035.1</v>
      </c>
      <c r="H130" t="s">
        <v>834</v>
      </c>
      <c r="I130" s="360"/>
      <c r="J130" s="363">
        <v>0</v>
      </c>
      <c r="K130" t="s">
        <v>855</v>
      </c>
      <c r="L130" s="360"/>
      <c r="M130" s="363">
        <v>6972.431428571429</v>
      </c>
      <c r="N130" t="s">
        <v>855</v>
      </c>
      <c r="O130" s="360"/>
      <c r="P130" s="366" t="str">
        <f t="shared" si="41"/>
        <v>Met</v>
      </c>
      <c r="Q130" s="360"/>
      <c r="R130" s="399">
        <v>0</v>
      </c>
      <c r="S130" s="400" t="str">
        <f t="shared" si="33"/>
        <v>Did not Meet</v>
      </c>
      <c r="U130" s="399">
        <v>248271.13</v>
      </c>
      <c r="V130" s="400" t="str">
        <f t="shared" si="34"/>
        <v>Met</v>
      </c>
      <c r="X130" s="399">
        <v>0</v>
      </c>
      <c r="Y130" s="400" t="str">
        <f t="shared" si="35"/>
        <v>Did not Meet</v>
      </c>
      <c r="AA130" s="399">
        <v>8561.0734482758617</v>
      </c>
      <c r="AB130" s="400" t="str">
        <f t="shared" si="36"/>
        <v>Did not Meet</v>
      </c>
      <c r="AD130" s="366" t="str">
        <f t="shared" si="26"/>
        <v>Met</v>
      </c>
      <c r="AF130" s="399">
        <v>29614.58</v>
      </c>
      <c r="AG130" s="400" t="str">
        <f t="shared" si="37"/>
        <v>Did not Meet</v>
      </c>
      <c r="AI130" s="399">
        <v>277480.7</v>
      </c>
      <c r="AJ130" s="400" t="str">
        <f t="shared" si="38"/>
        <v>Met</v>
      </c>
      <c r="AL130" s="399">
        <f>VLOOKUP(A130,$A$5:$AF$315,32,0)/IFERROR(VLOOKUP(A130,'21-22 child count'!$A$3:$S$317,19,0),0)</f>
        <v>1287.5904347826088</v>
      </c>
      <c r="AM130" s="400" t="str">
        <f t="shared" si="39"/>
        <v>Did not Meet</v>
      </c>
      <c r="AO130" s="399">
        <f>VLOOKUP(A130,'42. SEA or LEA Worksheet'!$A$4:$AB$318,28,0)/IFERROR(VLOOKUP('42. SEA or LEA Worksheet'!A274,'21-22 child count'!$A$3:$S$317,3,0),0)</f>
        <v>2132.1662809917357</v>
      </c>
      <c r="AP130" s="400" t="str">
        <f t="shared" si="40"/>
        <v>Did not Meet</v>
      </c>
      <c r="AR130" s="366" t="str">
        <f t="shared" si="27"/>
        <v>Met</v>
      </c>
      <c r="AU130" s="400" t="str">
        <f t="shared" si="29"/>
        <v>Did not Meet</v>
      </c>
      <c r="AX130" s="400" t="str">
        <f t="shared" si="30"/>
        <v>Did not Meet</v>
      </c>
      <c r="BA130" s="400" t="str">
        <f t="shared" si="31"/>
        <v>Did not Meet</v>
      </c>
      <c r="BD130" s="400" t="str">
        <f t="shared" si="32"/>
        <v>Did not Meet</v>
      </c>
      <c r="BF130" s="366" t="str">
        <f t="shared" si="28"/>
        <v>Met</v>
      </c>
    </row>
    <row r="131" spans="1:58">
      <c r="A131" t="s">
        <v>755</v>
      </c>
      <c r="B131" t="s">
        <v>1096</v>
      </c>
      <c r="C131" s="360"/>
      <c r="D131" s="363">
        <v>0</v>
      </c>
      <c r="E131" t="s">
        <v>855</v>
      </c>
      <c r="F131" s="360"/>
      <c r="G131" s="363">
        <v>613370.84</v>
      </c>
      <c r="H131" t="s">
        <v>834</v>
      </c>
      <c r="I131" s="360"/>
      <c r="J131" s="363">
        <v>0</v>
      </c>
      <c r="K131" t="s">
        <v>855</v>
      </c>
      <c r="L131" s="360"/>
      <c r="M131" s="363">
        <v>8288.7951351351348</v>
      </c>
      <c r="N131" t="s">
        <v>855</v>
      </c>
      <c r="O131" s="360"/>
      <c r="P131" s="366" t="str">
        <f t="shared" si="41"/>
        <v>Met</v>
      </c>
      <c r="Q131" s="360"/>
      <c r="R131" s="399">
        <v>0</v>
      </c>
      <c r="S131" s="400" t="str">
        <f t="shared" si="33"/>
        <v>Did not Meet</v>
      </c>
      <c r="U131" s="399">
        <v>623891.54</v>
      </c>
      <c r="V131" s="400" t="str">
        <f t="shared" si="34"/>
        <v>Met</v>
      </c>
      <c r="X131" s="399">
        <v>0</v>
      </c>
      <c r="Y131" s="400" t="str">
        <f t="shared" si="35"/>
        <v>Did not Meet</v>
      </c>
      <c r="AA131" s="399">
        <v>8912.7362857142871</v>
      </c>
      <c r="AB131" s="400" t="str">
        <f t="shared" si="36"/>
        <v>Did not Meet</v>
      </c>
      <c r="AD131" s="366" t="str">
        <f t="shared" si="26"/>
        <v>Met</v>
      </c>
      <c r="AF131" s="399">
        <v>0</v>
      </c>
      <c r="AG131" s="400" t="str">
        <f t="shared" si="37"/>
        <v>Did not Meet</v>
      </c>
      <c r="AI131" s="399">
        <v>643355.37</v>
      </c>
      <c r="AJ131" s="400" t="str">
        <f t="shared" si="38"/>
        <v>Met</v>
      </c>
      <c r="AL131" s="399">
        <f>VLOOKUP(A131,$A$5:$AF$315,32,0)/IFERROR(VLOOKUP(A131,'21-22 child count'!$A$3:$S$317,19,0),0)</f>
        <v>0</v>
      </c>
      <c r="AM131" s="400" t="str">
        <f t="shared" si="39"/>
        <v>Did not Meet</v>
      </c>
      <c r="AO131" s="399">
        <f>VLOOKUP(A131,'42. SEA or LEA Worksheet'!$A$4:$AB$318,28,0)/IFERROR(VLOOKUP('42. SEA or LEA Worksheet'!A279,'21-22 child count'!$A$3:$S$317,3,0),0)</f>
        <v>3762.3121052631577</v>
      </c>
      <c r="AP131" s="400" t="str">
        <f t="shared" si="40"/>
        <v>Did not Meet</v>
      </c>
      <c r="AR131" s="366" t="str">
        <f t="shared" si="27"/>
        <v>Met</v>
      </c>
      <c r="AU131" s="400" t="str">
        <f t="shared" si="29"/>
        <v>Did not Meet</v>
      </c>
      <c r="AX131" s="400" t="str">
        <f t="shared" si="30"/>
        <v>Did not Meet</v>
      </c>
      <c r="BA131" s="400" t="str">
        <f t="shared" si="31"/>
        <v>Did not Meet</v>
      </c>
      <c r="BD131" s="400" t="str">
        <f t="shared" si="32"/>
        <v>Did not Meet</v>
      </c>
      <c r="BF131" s="366" t="str">
        <f t="shared" si="28"/>
        <v>Met</v>
      </c>
    </row>
    <row r="132" spans="1:58">
      <c r="A132" t="s">
        <v>444</v>
      </c>
      <c r="B132" t="s">
        <v>951</v>
      </c>
      <c r="C132" s="360"/>
      <c r="D132" s="363">
        <v>0</v>
      </c>
      <c r="E132" t="s">
        <v>834</v>
      </c>
      <c r="F132" s="360"/>
      <c r="G132" s="363">
        <v>75408.52</v>
      </c>
      <c r="H132" t="s">
        <v>879</v>
      </c>
      <c r="I132" s="360"/>
      <c r="J132" s="363">
        <v>0</v>
      </c>
      <c r="K132" t="s">
        <v>834</v>
      </c>
      <c r="L132" s="360"/>
      <c r="M132" s="363">
        <v>8378.7244444444441</v>
      </c>
      <c r="N132" t="s">
        <v>855</v>
      </c>
      <c r="O132" s="360"/>
      <c r="P132" s="366" t="str">
        <f t="shared" si="41"/>
        <v>Met</v>
      </c>
      <c r="Q132" s="360"/>
      <c r="R132" s="399">
        <v>0</v>
      </c>
      <c r="S132" s="400" t="str">
        <f t="shared" si="33"/>
        <v>Met</v>
      </c>
      <c r="U132" s="399">
        <v>107231.62</v>
      </c>
      <c r="V132" s="400" t="str">
        <f t="shared" si="34"/>
        <v>Did not Meet</v>
      </c>
      <c r="X132" s="399">
        <v>0</v>
      </c>
      <c r="Y132" s="400" t="str">
        <f t="shared" si="35"/>
        <v>Met</v>
      </c>
      <c r="AA132" s="399">
        <v>13403.952499999999</v>
      </c>
      <c r="AB132" s="400" t="str">
        <f t="shared" si="36"/>
        <v>Did not Meet</v>
      </c>
      <c r="AD132" s="366" t="str">
        <f t="shared" si="26"/>
        <v>Met</v>
      </c>
      <c r="AF132" s="399">
        <v>0</v>
      </c>
      <c r="AG132" s="400" t="str">
        <f t="shared" si="37"/>
        <v>Met</v>
      </c>
      <c r="AI132" s="399">
        <v>107862.55</v>
      </c>
      <c r="AJ132" s="400" t="str">
        <f t="shared" si="38"/>
        <v>Did not Meet</v>
      </c>
      <c r="AL132" s="399">
        <f>VLOOKUP(A132,$A$5:$AF$315,32,0)/IFERROR(VLOOKUP(A132,'21-22 child count'!$A$3:$S$317,19,0),0)</f>
        <v>0</v>
      </c>
      <c r="AM132" s="400" t="str">
        <f t="shared" si="39"/>
        <v>Met</v>
      </c>
      <c r="AO132" s="399">
        <f>VLOOKUP(A132,'42. SEA or LEA Worksheet'!$A$4:$AB$318,28,0)/IFERROR(VLOOKUP('42. SEA or LEA Worksheet'!A128,'21-22 child count'!$A$3:$S$317,3,0),0)</f>
        <v>570.70132275132278</v>
      </c>
      <c r="AP132" s="400" t="str">
        <f t="shared" si="40"/>
        <v>Did not Meet</v>
      </c>
      <c r="AR132" s="366" t="str">
        <f t="shared" si="27"/>
        <v>Met</v>
      </c>
      <c r="AU132" s="400" t="str">
        <f t="shared" si="29"/>
        <v>Met</v>
      </c>
      <c r="AX132" s="400" t="str">
        <f t="shared" si="30"/>
        <v>Did not Meet</v>
      </c>
      <c r="BA132" s="400" t="str">
        <f t="shared" si="31"/>
        <v>Met</v>
      </c>
      <c r="BD132" s="400" t="str">
        <f t="shared" si="32"/>
        <v>Did not Meet</v>
      </c>
      <c r="BF132" s="366" t="str">
        <f t="shared" si="28"/>
        <v>Met</v>
      </c>
    </row>
    <row r="133" spans="1:58">
      <c r="A133" t="s">
        <v>759</v>
      </c>
      <c r="B133" t="s">
        <v>1098</v>
      </c>
      <c r="C133" s="360"/>
      <c r="D133" s="363">
        <v>0</v>
      </c>
      <c r="E133" t="s">
        <v>855</v>
      </c>
      <c r="F133" s="360"/>
      <c r="G133" s="363">
        <v>913423.24</v>
      </c>
      <c r="H133" t="s">
        <v>834</v>
      </c>
      <c r="I133" s="360"/>
      <c r="J133" s="363">
        <v>0</v>
      </c>
      <c r="K133" t="s">
        <v>855</v>
      </c>
      <c r="L133" s="360"/>
      <c r="M133" s="363">
        <v>8617.2003773584911</v>
      </c>
      <c r="N133" t="s">
        <v>855</v>
      </c>
      <c r="O133" s="360"/>
      <c r="P133" s="366" t="str">
        <f t="shared" si="41"/>
        <v>Met</v>
      </c>
      <c r="Q133" s="360"/>
      <c r="R133" s="399">
        <v>0</v>
      </c>
      <c r="S133" s="400" t="str">
        <f t="shared" si="33"/>
        <v>Did not Meet</v>
      </c>
      <c r="U133" s="399">
        <v>971683.32</v>
      </c>
      <c r="V133" s="400" t="str">
        <f t="shared" si="34"/>
        <v>Met</v>
      </c>
      <c r="X133" s="399">
        <v>0</v>
      </c>
      <c r="Y133" s="400" t="str">
        <f t="shared" si="35"/>
        <v>Did not Meet</v>
      </c>
      <c r="AA133" s="399">
        <v>9343.1088461538457</v>
      </c>
      <c r="AB133" s="400" t="str">
        <f t="shared" si="36"/>
        <v>Did not Meet</v>
      </c>
      <c r="AD133" s="366" t="str">
        <f t="shared" ref="AD133:AD196" si="42">IF(AND(P133="Did not Meet",S133="Did not Meet",V133="Did not Meet", Y133="Did not Meet",AB133="Did not Meet",),"Did not Meet","Met")</f>
        <v>Met</v>
      </c>
      <c r="AF133" s="399">
        <v>0</v>
      </c>
      <c r="AG133" s="400" t="str">
        <f t="shared" si="37"/>
        <v>Did not Meet</v>
      </c>
      <c r="AI133" s="399">
        <v>1130385.97</v>
      </c>
      <c r="AJ133" s="400" t="str">
        <f t="shared" si="38"/>
        <v>Met</v>
      </c>
      <c r="AL133" s="399">
        <f>VLOOKUP(A133,$A$5:$AF$315,32,0)/IFERROR(VLOOKUP(A133,'21-22 child count'!$A$3:$S$317,19,0),0)</f>
        <v>0</v>
      </c>
      <c r="AM133" s="400" t="str">
        <f t="shared" si="39"/>
        <v>Did not Meet</v>
      </c>
      <c r="AO133" s="399">
        <f>VLOOKUP(A133,'42. SEA or LEA Worksheet'!$A$4:$AB$318,28,0)/IFERROR(VLOOKUP('42. SEA or LEA Worksheet'!A281,'21-22 child count'!$A$3:$S$317,3,0),0)</f>
        <v>9190.1298373983736</v>
      </c>
      <c r="AP133" s="400" t="str">
        <f t="shared" si="40"/>
        <v>Did not Meet</v>
      </c>
      <c r="AR133" s="366" t="str">
        <f t="shared" si="27"/>
        <v>Met</v>
      </c>
      <c r="AU133" s="400" t="str">
        <f t="shared" si="29"/>
        <v>Did not Meet</v>
      </c>
      <c r="AX133" s="400" t="str">
        <f t="shared" si="30"/>
        <v>Did not Meet</v>
      </c>
      <c r="BA133" s="400" t="str">
        <f t="shared" si="31"/>
        <v>Did not Meet</v>
      </c>
      <c r="BD133" s="400" t="str">
        <f t="shared" si="32"/>
        <v>Did not Meet</v>
      </c>
      <c r="BF133" s="366" t="str">
        <f t="shared" si="28"/>
        <v>Met</v>
      </c>
    </row>
    <row r="134" spans="1:58">
      <c r="A134" t="s">
        <v>448</v>
      </c>
      <c r="B134" t="s">
        <v>953</v>
      </c>
      <c r="C134" s="360"/>
      <c r="D134" s="363">
        <v>0</v>
      </c>
      <c r="E134" t="s">
        <v>834</v>
      </c>
      <c r="F134" s="360"/>
      <c r="G134" s="363">
        <v>274894.51</v>
      </c>
      <c r="H134" t="s">
        <v>834</v>
      </c>
      <c r="I134" s="360"/>
      <c r="J134" s="363">
        <v>0</v>
      </c>
      <c r="K134" t="s">
        <v>834</v>
      </c>
      <c r="L134" s="360"/>
      <c r="M134" s="363">
        <v>10572.86576923077</v>
      </c>
      <c r="N134" t="s">
        <v>834</v>
      </c>
      <c r="O134" s="360"/>
      <c r="P134" s="366" t="str">
        <f t="shared" si="41"/>
        <v>Met</v>
      </c>
      <c r="Q134" s="360"/>
      <c r="R134" s="399">
        <v>0</v>
      </c>
      <c r="S134" s="400" t="str">
        <f t="shared" si="33"/>
        <v>Met</v>
      </c>
      <c r="U134" s="399">
        <v>218222.54</v>
      </c>
      <c r="V134" s="400" t="str">
        <f t="shared" si="34"/>
        <v>Met</v>
      </c>
      <c r="X134" s="399">
        <v>0</v>
      </c>
      <c r="Y134" s="400" t="str">
        <f t="shared" si="35"/>
        <v>Met</v>
      </c>
      <c r="AA134" s="399">
        <v>10391.549523809525</v>
      </c>
      <c r="AB134" s="400" t="str">
        <f t="shared" si="36"/>
        <v>Did not Meet</v>
      </c>
      <c r="AD134" s="366" t="str">
        <f t="shared" si="42"/>
        <v>Met</v>
      </c>
      <c r="AF134" s="399">
        <v>0</v>
      </c>
      <c r="AG134" s="400" t="str">
        <f t="shared" si="37"/>
        <v>Met</v>
      </c>
      <c r="AI134" s="399">
        <v>245895.23</v>
      </c>
      <c r="AJ134" s="400" t="str">
        <f t="shared" si="38"/>
        <v>Met</v>
      </c>
      <c r="AL134" s="399">
        <f>VLOOKUP(A134,$A$5:$AF$315,32,0)/IFERROR(VLOOKUP(A134,'21-22 child count'!$A$3:$S$317,19,0),0)</f>
        <v>0</v>
      </c>
      <c r="AM134" s="400" t="str">
        <f t="shared" si="39"/>
        <v>Met</v>
      </c>
      <c r="AO134" s="399">
        <f>VLOOKUP(A134,'42. SEA or LEA Worksheet'!$A$4:$AB$318,28,0)/IFERROR(VLOOKUP('42. SEA or LEA Worksheet'!A130,'21-22 child count'!$A$3:$S$317,3,0),0)</f>
        <v>2434.6062376237624</v>
      </c>
      <c r="AP134" s="400" t="str">
        <f t="shared" si="40"/>
        <v>Did not Meet</v>
      </c>
      <c r="AR134" s="366" t="str">
        <f t="shared" ref="AR134:AR197" si="43">IF(AND(AD134="Did not Meet",AG134="Did not Meet",AJ134="Did not Meet", AM134="Did not Meet",AP134="Did not Meet",),"Did not Meet","Met")</f>
        <v>Met</v>
      </c>
      <c r="AU134" s="400" t="str">
        <f t="shared" si="29"/>
        <v>Met</v>
      </c>
      <c r="AX134" s="400" t="str">
        <f t="shared" si="30"/>
        <v>Did not Meet</v>
      </c>
      <c r="BA134" s="400" t="str">
        <f t="shared" si="31"/>
        <v>Met</v>
      </c>
      <c r="BD134" s="400" t="str">
        <f t="shared" si="32"/>
        <v>Did not Meet</v>
      </c>
      <c r="BF134" s="366" t="str">
        <f t="shared" ref="BF134:BF197" si="44">IF(AND(AR134="Did not Meet",AU134="Did not Meet",AX134="Did not Meet", BA134="Did not Meet",BD134="Did not Meet",),"Did not Meet","Met")</f>
        <v>Met</v>
      </c>
    </row>
    <row r="135" spans="1:58">
      <c r="A135" t="s">
        <v>767</v>
      </c>
      <c r="B135" t="s">
        <v>1102</v>
      </c>
      <c r="C135" s="360"/>
      <c r="D135" s="363">
        <v>0</v>
      </c>
      <c r="E135" t="s">
        <v>855</v>
      </c>
      <c r="F135" s="360"/>
      <c r="G135" s="363">
        <v>3210124.48</v>
      </c>
      <c r="H135" t="s">
        <v>834</v>
      </c>
      <c r="I135" s="360"/>
      <c r="J135" s="363">
        <v>0</v>
      </c>
      <c r="K135" t="s">
        <v>855</v>
      </c>
      <c r="L135" s="360"/>
      <c r="M135" s="363">
        <v>9413.8547800586512</v>
      </c>
      <c r="N135" t="s">
        <v>834</v>
      </c>
      <c r="O135" s="360"/>
      <c r="P135" s="366" t="str">
        <f t="shared" si="41"/>
        <v>Met</v>
      </c>
      <c r="Q135" s="360"/>
      <c r="R135" s="399">
        <v>0</v>
      </c>
      <c r="S135" s="400" t="str">
        <f t="shared" si="33"/>
        <v>Did not Meet</v>
      </c>
      <c r="U135" s="399">
        <v>3114699.25</v>
      </c>
      <c r="V135" s="400" t="str">
        <f t="shared" si="34"/>
        <v>Met</v>
      </c>
      <c r="X135" s="399">
        <v>0</v>
      </c>
      <c r="Y135" s="400" t="str">
        <f t="shared" si="35"/>
        <v>Did not Meet</v>
      </c>
      <c r="AA135" s="399">
        <v>9794.6517295597478</v>
      </c>
      <c r="AB135" s="400" t="str">
        <f t="shared" si="36"/>
        <v>Met</v>
      </c>
      <c r="AD135" s="366" t="str">
        <f t="shared" si="42"/>
        <v>Met</v>
      </c>
      <c r="AF135" s="399">
        <v>0</v>
      </c>
      <c r="AG135" s="400" t="str">
        <f t="shared" si="37"/>
        <v>Did not Meet</v>
      </c>
      <c r="AI135" s="399">
        <v>3050258.34</v>
      </c>
      <c r="AJ135" s="400" t="str">
        <f t="shared" si="38"/>
        <v>Did not Meet</v>
      </c>
      <c r="AL135" s="399">
        <f>VLOOKUP(A135,$A$5:$AF$315,32,0)/IFERROR(VLOOKUP(A135,'21-22 child count'!$A$3:$S$317,19,0),0)</f>
        <v>0</v>
      </c>
      <c r="AM135" s="400" t="str">
        <f t="shared" si="39"/>
        <v>Did not Meet</v>
      </c>
      <c r="AO135" s="399">
        <f>VLOOKUP(A135,'42. SEA or LEA Worksheet'!$A$4:$AB$318,28,0)/IFERROR(VLOOKUP('42. SEA or LEA Worksheet'!A285,'21-22 child count'!$A$3:$S$317,3,0),0)</f>
        <v>26993.436637168139</v>
      </c>
      <c r="AP135" s="400" t="str">
        <f t="shared" si="40"/>
        <v>Met</v>
      </c>
      <c r="AR135" s="366" t="str">
        <f t="shared" si="43"/>
        <v>Met</v>
      </c>
      <c r="AU135" s="400" t="str">
        <f t="shared" si="29"/>
        <v>Did not Meet</v>
      </c>
      <c r="AX135" s="400" t="str">
        <f t="shared" si="30"/>
        <v>Did not Meet</v>
      </c>
      <c r="BA135" s="400" t="str">
        <f t="shared" si="31"/>
        <v>Did not Meet</v>
      </c>
      <c r="BD135" s="400" t="str">
        <f t="shared" si="32"/>
        <v>Did not Meet</v>
      </c>
      <c r="BF135" s="366" t="str">
        <f t="shared" si="44"/>
        <v>Met</v>
      </c>
    </row>
    <row r="136" spans="1:58">
      <c r="A136" t="s">
        <v>769</v>
      </c>
      <c r="B136" t="s">
        <v>1103</v>
      </c>
      <c r="C136" s="360"/>
      <c r="D136" s="363">
        <v>71746.73</v>
      </c>
      <c r="E136" t="s">
        <v>855</v>
      </c>
      <c r="F136" s="360"/>
      <c r="G136" s="363">
        <v>219726.46000000002</v>
      </c>
      <c r="H136" t="s">
        <v>855</v>
      </c>
      <c r="I136" s="360"/>
      <c r="J136" s="363">
        <v>2989.447083333333</v>
      </c>
      <c r="K136" t="s">
        <v>855</v>
      </c>
      <c r="L136" s="360"/>
      <c r="M136" s="363">
        <v>9155.2691666666669</v>
      </c>
      <c r="N136" t="s">
        <v>834</v>
      </c>
      <c r="O136" s="360"/>
      <c r="P136" s="366" t="str">
        <f t="shared" si="41"/>
        <v>Met</v>
      </c>
      <c r="Q136" s="360"/>
      <c r="R136" s="399">
        <v>0</v>
      </c>
      <c r="S136" s="400" t="str">
        <f t="shared" ref="S136:S199" si="45">IF(AND(E136="Met",R136&gt;=D136),"Met","Did not Meet")</f>
        <v>Did not Meet</v>
      </c>
      <c r="U136" s="399">
        <v>210788.07</v>
      </c>
      <c r="V136" s="400" t="str">
        <f t="shared" ref="V136:V199" si="46">IF(AND(H136="Met",U136&gt;=M136),"Met","Did not Meet")</f>
        <v>Did not Meet</v>
      </c>
      <c r="X136" s="399">
        <v>0</v>
      </c>
      <c r="Y136" s="400" t="str">
        <f t="shared" ref="Y136:Y199" si="47">IF(AND(K136="Met",X136&gt;=J136),"Met","Did not Meet")</f>
        <v>Did not Meet</v>
      </c>
      <c r="AA136" s="399">
        <v>10539.4035</v>
      </c>
      <c r="AB136" s="400" t="str">
        <f t="shared" ref="AB136:AB199" si="48">IF(AND(N136="Met",AA136&gt;=M136),"Met","Did not Meet")</f>
        <v>Met</v>
      </c>
      <c r="AD136" s="366" t="str">
        <f t="shared" si="42"/>
        <v>Met</v>
      </c>
      <c r="AF136" s="399">
        <v>0</v>
      </c>
      <c r="AG136" s="400" t="str">
        <f t="shared" ref="AG136:AG199" si="49">IF(AND(S136="Met",AF136&gt;=R136),"Met","Did not Meet")</f>
        <v>Did not Meet</v>
      </c>
      <c r="AI136" s="399">
        <v>235014.18</v>
      </c>
      <c r="AJ136" s="400" t="str">
        <f t="shared" ref="AJ136:AJ199" si="50">IF(AND(V136="Met",AI136&gt;=U136),"Met","Did not Meet")</f>
        <v>Did not Meet</v>
      </c>
      <c r="AL136" s="399">
        <f>VLOOKUP(A136,$A$5:$AF$315,32,0)/IFERROR(VLOOKUP(A136,'21-22 child count'!$A$3:$S$317,19,0),0)</f>
        <v>0</v>
      </c>
      <c r="AM136" s="400" t="str">
        <f t="shared" ref="AM136:AM199" si="51">IF(AND(Y136="Met",AL136&gt;=X136),"Met","Did not Meet")</f>
        <v>Did not Meet</v>
      </c>
      <c r="AO136" s="399">
        <f>VLOOKUP(A136,'42. SEA or LEA Worksheet'!$A$4:$AB$318,28,0)/IFERROR(VLOOKUP('42. SEA or LEA Worksheet'!A286,'21-22 child count'!$A$3:$S$317,3,0),0)</f>
        <v>2238.2302857142859</v>
      </c>
      <c r="AP136" s="400" t="str">
        <f t="shared" ref="AP136:AP199" si="52">IF(AND(AB136="Met",AO136&gt;=AA136),"Met","Did not Meet")</f>
        <v>Did not Meet</v>
      </c>
      <c r="AR136" s="366" t="str">
        <f t="shared" si="43"/>
        <v>Met</v>
      </c>
      <c r="AU136" s="400" t="str">
        <f t="shared" si="29"/>
        <v>Did not Meet</v>
      </c>
      <c r="AX136" s="400" t="str">
        <f t="shared" si="30"/>
        <v>Did not Meet</v>
      </c>
      <c r="BA136" s="400" t="str">
        <f t="shared" si="31"/>
        <v>Did not Meet</v>
      </c>
      <c r="BD136" s="400" t="str">
        <f t="shared" si="32"/>
        <v>Did not Meet</v>
      </c>
      <c r="BF136" s="366" t="str">
        <f t="shared" si="44"/>
        <v>Met</v>
      </c>
    </row>
    <row r="137" spans="1:58">
      <c r="A137" t="s">
        <v>771</v>
      </c>
      <c r="B137" t="s">
        <v>1104</v>
      </c>
      <c r="C137" s="360"/>
      <c r="D137" s="363">
        <v>0</v>
      </c>
      <c r="E137" t="s">
        <v>855</v>
      </c>
      <c r="F137" s="360"/>
      <c r="G137" s="363">
        <v>8331459.6900000004</v>
      </c>
      <c r="H137" t="s">
        <v>834</v>
      </c>
      <c r="I137" s="360"/>
      <c r="J137" s="363">
        <v>0</v>
      </c>
      <c r="K137" t="s">
        <v>855</v>
      </c>
      <c r="L137" s="360"/>
      <c r="M137" s="363">
        <v>10185.158545232274</v>
      </c>
      <c r="N137" t="s">
        <v>855</v>
      </c>
      <c r="O137" s="360"/>
      <c r="P137" s="366" t="str">
        <f t="shared" si="41"/>
        <v>Met</v>
      </c>
      <c r="Q137" s="360"/>
      <c r="R137" s="399">
        <v>0</v>
      </c>
      <c r="S137" s="400" t="str">
        <f t="shared" si="45"/>
        <v>Did not Meet</v>
      </c>
      <c r="U137" s="399">
        <v>8410279.3499999996</v>
      </c>
      <c r="V137" s="400" t="str">
        <f t="shared" si="46"/>
        <v>Met</v>
      </c>
      <c r="X137" s="399">
        <v>0</v>
      </c>
      <c r="Y137" s="400" t="str">
        <f t="shared" si="47"/>
        <v>Did not Meet</v>
      </c>
      <c r="AA137" s="399">
        <v>10727.397130102041</v>
      </c>
      <c r="AB137" s="400" t="str">
        <f t="shared" si="48"/>
        <v>Did not Meet</v>
      </c>
      <c r="AD137" s="366" t="str">
        <f t="shared" si="42"/>
        <v>Met</v>
      </c>
      <c r="AF137" s="399">
        <v>490649.58</v>
      </c>
      <c r="AG137" s="400" t="str">
        <f t="shared" si="49"/>
        <v>Did not Meet</v>
      </c>
      <c r="AI137" s="399">
        <v>9594140.1400000006</v>
      </c>
      <c r="AJ137" s="400" t="str">
        <f t="shared" si="50"/>
        <v>Met</v>
      </c>
      <c r="AL137" s="399">
        <f>VLOOKUP(A137,$A$5:$AF$315,32,0)/IFERROR(VLOOKUP(A137,'21-22 child count'!$A$3:$S$317,19,0),0)</f>
        <v>597.62433617539591</v>
      </c>
      <c r="AM137" s="400" t="str">
        <f t="shared" si="51"/>
        <v>Did not Meet</v>
      </c>
      <c r="AO137" s="399">
        <f>VLOOKUP(A137,'42. SEA or LEA Worksheet'!$A$4:$AB$318,28,0)/IFERROR(VLOOKUP('42. SEA or LEA Worksheet'!A287,'21-22 child count'!$A$3:$S$317,3,0),0)</f>
        <v>75235.459173553725</v>
      </c>
      <c r="AP137" s="400" t="str">
        <f t="shared" si="52"/>
        <v>Did not Meet</v>
      </c>
      <c r="AR137" s="366" t="str">
        <f t="shared" si="43"/>
        <v>Met</v>
      </c>
      <c r="AU137" s="400" t="str">
        <f t="shared" si="29"/>
        <v>Did not Meet</v>
      </c>
      <c r="AX137" s="400" t="str">
        <f t="shared" si="30"/>
        <v>Did not Meet</v>
      </c>
      <c r="BA137" s="400" t="str">
        <f t="shared" si="31"/>
        <v>Did not Meet</v>
      </c>
      <c r="BD137" s="400" t="str">
        <f t="shared" si="32"/>
        <v>Did not Meet</v>
      </c>
      <c r="BF137" s="366" t="str">
        <f t="shared" si="44"/>
        <v>Met</v>
      </c>
    </row>
    <row r="138" spans="1:58">
      <c r="A138" t="s">
        <v>781</v>
      </c>
      <c r="B138" t="s">
        <v>1109</v>
      </c>
      <c r="C138" s="360"/>
      <c r="D138" s="363">
        <v>0</v>
      </c>
      <c r="E138" t="s">
        <v>855</v>
      </c>
      <c r="F138" s="360"/>
      <c r="G138" s="363">
        <v>425408.09</v>
      </c>
      <c r="H138" t="s">
        <v>879</v>
      </c>
      <c r="I138" s="360"/>
      <c r="J138" s="363">
        <v>0</v>
      </c>
      <c r="K138" t="s">
        <v>855</v>
      </c>
      <c r="L138" s="360"/>
      <c r="M138" s="363">
        <v>9248.001956521739</v>
      </c>
      <c r="N138" t="s">
        <v>834</v>
      </c>
      <c r="O138" s="360"/>
      <c r="P138" s="366" t="str">
        <f t="shared" si="41"/>
        <v>Met</v>
      </c>
      <c r="Q138" s="360"/>
      <c r="R138" s="399">
        <v>0</v>
      </c>
      <c r="S138" s="400" t="str">
        <f t="shared" si="45"/>
        <v>Did not Meet</v>
      </c>
      <c r="U138" s="399">
        <v>406377.91</v>
      </c>
      <c r="V138" s="400" t="str">
        <f t="shared" si="46"/>
        <v>Did not Meet</v>
      </c>
      <c r="X138" s="399">
        <v>0</v>
      </c>
      <c r="Y138" s="400" t="str">
        <f t="shared" si="47"/>
        <v>Did not Meet</v>
      </c>
      <c r="AA138" s="399">
        <v>9030.6202222222219</v>
      </c>
      <c r="AB138" s="400" t="str">
        <f t="shared" si="48"/>
        <v>Did not Meet</v>
      </c>
      <c r="AD138" s="366" t="str">
        <f t="shared" si="42"/>
        <v>Met</v>
      </c>
      <c r="AF138" s="399">
        <v>0</v>
      </c>
      <c r="AG138" s="400" t="str">
        <f t="shared" si="49"/>
        <v>Did not Meet</v>
      </c>
      <c r="AI138" s="399">
        <v>414342.2</v>
      </c>
      <c r="AJ138" s="400" t="str">
        <f t="shared" si="50"/>
        <v>Did not Meet</v>
      </c>
      <c r="AL138" s="399">
        <f>VLOOKUP(A138,$A$5:$AF$315,32,0)/IFERROR(VLOOKUP(A138,'21-22 child count'!$A$3:$S$317,19,0),0)</f>
        <v>0</v>
      </c>
      <c r="AM138" s="400" t="str">
        <f t="shared" si="51"/>
        <v>Did not Meet</v>
      </c>
      <c r="AO138" s="399">
        <f>VLOOKUP(A138,'42. SEA or LEA Worksheet'!$A$4:$AB$318,28,0)/IFERROR(VLOOKUP('42. SEA or LEA Worksheet'!A292,'21-22 child count'!$A$3:$S$317,3,0),0)</f>
        <v>3946.1161904761907</v>
      </c>
      <c r="AP138" s="400" t="str">
        <f t="shared" si="52"/>
        <v>Did not Meet</v>
      </c>
      <c r="AR138" s="366" t="str">
        <f t="shared" si="43"/>
        <v>Met</v>
      </c>
      <c r="AU138" s="400" t="str">
        <f t="shared" ref="AU138:AU201" si="53">IF(AND(AG138="Met",AT138&gt;=AF138),"Met","Did not Meet")</f>
        <v>Did not Meet</v>
      </c>
      <c r="AX138" s="400" t="str">
        <f t="shared" ref="AX138:AX201" si="54">IF(AND(AJ138="Met",AW138&gt;=AI138),"Met","Did not Meet")</f>
        <v>Did not Meet</v>
      </c>
      <c r="BA138" s="400" t="str">
        <f t="shared" ref="BA138:BA201" si="55">IF(AND(AM138="Met",AZ138&gt;=AL138),"Met","Did not Meet")</f>
        <v>Did not Meet</v>
      </c>
      <c r="BD138" s="400" t="str">
        <f t="shared" ref="BD138:BD201" si="56">IF(AND(AP138="Met",BC138&gt;=AO138),"Met","Did not Meet")</f>
        <v>Did not Meet</v>
      </c>
      <c r="BF138" s="366" t="str">
        <f t="shared" si="44"/>
        <v>Met</v>
      </c>
    </row>
    <row r="139" spans="1:58">
      <c r="A139" t="s">
        <v>457</v>
      </c>
      <c r="B139" t="s">
        <v>957</v>
      </c>
      <c r="C139" s="360"/>
      <c r="D139" s="363">
        <v>0</v>
      </c>
      <c r="E139" t="s">
        <v>834</v>
      </c>
      <c r="F139" s="360"/>
      <c r="G139" s="363">
        <v>322509.59000000003</v>
      </c>
      <c r="H139" t="s">
        <v>855</v>
      </c>
      <c r="I139" s="360"/>
      <c r="J139" s="363">
        <v>0</v>
      </c>
      <c r="K139" t="s">
        <v>834</v>
      </c>
      <c r="L139" s="360"/>
      <c r="M139" s="363">
        <v>8716.4754054054065</v>
      </c>
      <c r="N139" t="s">
        <v>855</v>
      </c>
      <c r="O139" s="360"/>
      <c r="P139" s="366" t="str">
        <f t="shared" si="41"/>
        <v>Met</v>
      </c>
      <c r="Q139" s="360"/>
      <c r="R139" s="399">
        <v>0</v>
      </c>
      <c r="S139" s="400" t="str">
        <f t="shared" si="45"/>
        <v>Met</v>
      </c>
      <c r="U139" s="399">
        <v>0</v>
      </c>
      <c r="V139" s="400" t="str">
        <f t="shared" si="46"/>
        <v>Did not Meet</v>
      </c>
      <c r="X139" s="399">
        <v>0</v>
      </c>
      <c r="Y139" s="400" t="str">
        <f t="shared" si="47"/>
        <v>Met</v>
      </c>
      <c r="AA139" s="399">
        <v>0</v>
      </c>
      <c r="AB139" s="400" t="str">
        <f t="shared" si="48"/>
        <v>Did not Meet</v>
      </c>
      <c r="AD139" s="366" t="str">
        <f t="shared" si="42"/>
        <v>Met</v>
      </c>
      <c r="AF139" s="399">
        <v>0</v>
      </c>
      <c r="AG139" s="400" t="str">
        <f t="shared" si="49"/>
        <v>Met</v>
      </c>
      <c r="AI139" s="399">
        <v>394620.45</v>
      </c>
      <c r="AJ139" s="400" t="str">
        <f t="shared" si="50"/>
        <v>Did not Meet</v>
      </c>
      <c r="AL139" s="399">
        <f>VLOOKUP(A139,$A$5:$AF$315,32,0)/IFERROR(VLOOKUP(A139,'21-22 child count'!$A$3:$S$317,19,0),0)</f>
        <v>0</v>
      </c>
      <c r="AM139" s="400" t="str">
        <f t="shared" si="51"/>
        <v>Met</v>
      </c>
      <c r="AO139" s="399">
        <f>VLOOKUP(A139,'42. SEA or LEA Worksheet'!$A$4:$AB$318,28,0)/IFERROR(VLOOKUP('42. SEA or LEA Worksheet'!A135,'21-22 child count'!$A$3:$S$317,3,0),0)</f>
        <v>3907.1331683168319</v>
      </c>
      <c r="AP139" s="400" t="str">
        <f t="shared" si="52"/>
        <v>Did not Meet</v>
      </c>
      <c r="AR139" s="366" t="str">
        <f t="shared" si="43"/>
        <v>Met</v>
      </c>
      <c r="AU139" s="400" t="str">
        <f t="shared" si="53"/>
        <v>Met</v>
      </c>
      <c r="AX139" s="400" t="str">
        <f t="shared" si="54"/>
        <v>Did not Meet</v>
      </c>
      <c r="BA139" s="400" t="str">
        <f t="shared" si="55"/>
        <v>Met</v>
      </c>
      <c r="BD139" s="400" t="str">
        <f t="shared" si="56"/>
        <v>Did not Meet</v>
      </c>
      <c r="BF139" s="366" t="str">
        <f t="shared" si="44"/>
        <v>Met</v>
      </c>
    </row>
    <row r="140" spans="1:58">
      <c r="A140" t="s">
        <v>783</v>
      </c>
      <c r="B140" t="s">
        <v>1110</v>
      </c>
      <c r="C140" s="360"/>
      <c r="D140" s="363">
        <v>0</v>
      </c>
      <c r="E140" t="s">
        <v>855</v>
      </c>
      <c r="F140" s="360"/>
      <c r="G140" s="363">
        <v>619138.35</v>
      </c>
      <c r="H140" t="s">
        <v>834</v>
      </c>
      <c r="I140" s="360"/>
      <c r="J140" s="363">
        <v>0</v>
      </c>
      <c r="K140" t="s">
        <v>855</v>
      </c>
      <c r="L140" s="360"/>
      <c r="M140" s="363">
        <v>10493.87033898305</v>
      </c>
      <c r="N140" t="s">
        <v>834</v>
      </c>
      <c r="O140" s="360"/>
      <c r="P140" s="366" t="str">
        <f t="shared" si="41"/>
        <v>Met</v>
      </c>
      <c r="Q140" s="360"/>
      <c r="R140" s="399">
        <v>0</v>
      </c>
      <c r="S140" s="400" t="str">
        <f t="shared" si="45"/>
        <v>Did not Meet</v>
      </c>
      <c r="U140" s="399">
        <v>784179.75</v>
      </c>
      <c r="V140" s="400" t="str">
        <f t="shared" si="46"/>
        <v>Met</v>
      </c>
      <c r="X140" s="399">
        <v>0</v>
      </c>
      <c r="Y140" s="400" t="str">
        <f t="shared" si="47"/>
        <v>Did not Meet</v>
      </c>
      <c r="AA140" s="399">
        <v>10742.188356164384</v>
      </c>
      <c r="AB140" s="400" t="str">
        <f t="shared" si="48"/>
        <v>Met</v>
      </c>
      <c r="AD140" s="366" t="str">
        <f t="shared" si="42"/>
        <v>Met</v>
      </c>
      <c r="AF140" s="399">
        <v>0</v>
      </c>
      <c r="AG140" s="400" t="str">
        <f t="shared" si="49"/>
        <v>Did not Meet</v>
      </c>
      <c r="AI140" s="399">
        <v>635026.64</v>
      </c>
      <c r="AJ140" s="400" t="str">
        <f t="shared" si="50"/>
        <v>Did not Meet</v>
      </c>
      <c r="AL140" s="399">
        <f>VLOOKUP(A140,$A$5:$AF$315,32,0)/IFERROR(VLOOKUP(A140,'21-22 child count'!$A$3:$S$317,19,0),0)</f>
        <v>0</v>
      </c>
      <c r="AM140" s="400" t="str">
        <f t="shared" si="51"/>
        <v>Did not Meet</v>
      </c>
      <c r="AO140" s="399">
        <f>VLOOKUP(A140,'42. SEA or LEA Worksheet'!$A$4:$AB$318,28,0)/IFERROR(VLOOKUP('42. SEA or LEA Worksheet'!A293,'21-22 child count'!$A$3:$S$317,3,0),0)</f>
        <v>5162.818211382114</v>
      </c>
      <c r="AP140" s="400" t="str">
        <f t="shared" si="52"/>
        <v>Did not Meet</v>
      </c>
      <c r="AR140" s="366" t="str">
        <f t="shared" si="43"/>
        <v>Met</v>
      </c>
      <c r="AU140" s="400" t="str">
        <f t="shared" si="53"/>
        <v>Did not Meet</v>
      </c>
      <c r="AX140" s="400" t="str">
        <f t="shared" si="54"/>
        <v>Did not Meet</v>
      </c>
      <c r="BA140" s="400" t="str">
        <f t="shared" si="55"/>
        <v>Did not Meet</v>
      </c>
      <c r="BD140" s="400" t="str">
        <f t="shared" si="56"/>
        <v>Did not Meet</v>
      </c>
      <c r="BF140" s="366" t="str">
        <f t="shared" si="44"/>
        <v>Met</v>
      </c>
    </row>
    <row r="141" spans="1:58">
      <c r="A141" t="s">
        <v>461</v>
      </c>
      <c r="B141" t="s">
        <v>959</v>
      </c>
      <c r="C141" s="360"/>
      <c r="D141" s="363">
        <v>0</v>
      </c>
      <c r="E141" t="s">
        <v>834</v>
      </c>
      <c r="F141" s="360"/>
      <c r="G141" s="363">
        <v>983612.71</v>
      </c>
      <c r="H141" t="s">
        <v>834</v>
      </c>
      <c r="I141" s="360"/>
      <c r="J141" s="363">
        <v>0</v>
      </c>
      <c r="K141" t="s">
        <v>834</v>
      </c>
      <c r="L141" s="360"/>
      <c r="M141" s="363">
        <v>9935.4819191919196</v>
      </c>
      <c r="N141" t="s">
        <v>855</v>
      </c>
      <c r="O141" s="360"/>
      <c r="P141" s="366" t="str">
        <f t="shared" si="41"/>
        <v>Met</v>
      </c>
      <c r="Q141" s="360"/>
      <c r="R141" s="399">
        <v>0</v>
      </c>
      <c r="S141" s="400" t="str">
        <f t="shared" si="45"/>
        <v>Met</v>
      </c>
      <c r="U141" s="399">
        <v>964019.18</v>
      </c>
      <c r="V141" s="400" t="str">
        <f t="shared" si="46"/>
        <v>Met</v>
      </c>
      <c r="X141" s="399">
        <v>0</v>
      </c>
      <c r="Y141" s="400" t="str">
        <f t="shared" si="47"/>
        <v>Met</v>
      </c>
      <c r="AA141" s="399">
        <v>10255.523191489363</v>
      </c>
      <c r="AB141" s="400" t="str">
        <f t="shared" si="48"/>
        <v>Did not Meet</v>
      </c>
      <c r="AD141" s="366" t="str">
        <f t="shared" si="42"/>
        <v>Met</v>
      </c>
      <c r="AF141" s="399">
        <v>0</v>
      </c>
      <c r="AG141" s="400" t="str">
        <f t="shared" si="49"/>
        <v>Met</v>
      </c>
      <c r="AI141" s="399">
        <v>834437.66</v>
      </c>
      <c r="AJ141" s="400" t="str">
        <f t="shared" si="50"/>
        <v>Did not Meet</v>
      </c>
      <c r="AL141" s="399">
        <f>VLOOKUP(A141,$A$5:$AF$315,32,0)/IFERROR(VLOOKUP(A141,'21-22 child count'!$A$3:$S$317,19,0),0)</f>
        <v>0</v>
      </c>
      <c r="AM141" s="400" t="str">
        <f t="shared" si="51"/>
        <v>Met</v>
      </c>
      <c r="AO141" s="399">
        <f>VLOOKUP(A141,'42. SEA or LEA Worksheet'!$A$4:$AB$318,28,0)/IFERROR(VLOOKUP('42. SEA or LEA Worksheet'!A137,'21-22 child count'!$A$3:$S$317,3,0),0)</f>
        <v>4415.0140740740744</v>
      </c>
      <c r="AP141" s="400" t="str">
        <f t="shared" si="52"/>
        <v>Did not Meet</v>
      </c>
      <c r="AR141" s="366" t="str">
        <f t="shared" si="43"/>
        <v>Met</v>
      </c>
      <c r="AU141" s="400" t="str">
        <f t="shared" si="53"/>
        <v>Met</v>
      </c>
      <c r="AX141" s="400" t="str">
        <f t="shared" si="54"/>
        <v>Did not Meet</v>
      </c>
      <c r="BA141" s="400" t="str">
        <f t="shared" si="55"/>
        <v>Met</v>
      </c>
      <c r="BD141" s="400" t="str">
        <f t="shared" si="56"/>
        <v>Did not Meet</v>
      </c>
      <c r="BF141" s="366" t="str">
        <f t="shared" si="44"/>
        <v>Met</v>
      </c>
    </row>
    <row r="142" spans="1:58">
      <c r="A142" t="s">
        <v>785</v>
      </c>
      <c r="B142" t="s">
        <v>1111</v>
      </c>
      <c r="C142" s="360"/>
      <c r="D142" s="363">
        <v>56412</v>
      </c>
      <c r="E142" t="s">
        <v>855</v>
      </c>
      <c r="F142" s="360"/>
      <c r="G142" s="363">
        <v>11138054.65</v>
      </c>
      <c r="H142" t="s">
        <v>834</v>
      </c>
      <c r="I142" s="360"/>
      <c r="J142" s="363">
        <v>58.518672199170126</v>
      </c>
      <c r="K142" t="s">
        <v>855</v>
      </c>
      <c r="L142" s="360"/>
      <c r="M142" s="363">
        <v>11553.998599585062</v>
      </c>
      <c r="N142" t="s">
        <v>834</v>
      </c>
      <c r="O142" s="360"/>
      <c r="P142" s="366" t="str">
        <f t="shared" si="41"/>
        <v>Met</v>
      </c>
      <c r="Q142" s="360"/>
      <c r="R142" s="399">
        <v>0</v>
      </c>
      <c r="S142" s="400" t="str">
        <f t="shared" si="45"/>
        <v>Did not Meet</v>
      </c>
      <c r="U142" s="399">
        <v>11633960.390000001</v>
      </c>
      <c r="V142" s="400" t="str">
        <f t="shared" si="46"/>
        <v>Met</v>
      </c>
      <c r="X142" s="399">
        <v>0</v>
      </c>
      <c r="Y142" s="400" t="str">
        <f t="shared" si="47"/>
        <v>Did not Meet</v>
      </c>
      <c r="AA142" s="399">
        <v>11484.659812438304</v>
      </c>
      <c r="AB142" s="400" t="str">
        <f t="shared" si="48"/>
        <v>Did not Meet</v>
      </c>
      <c r="AD142" s="366" t="str">
        <f t="shared" si="42"/>
        <v>Met</v>
      </c>
      <c r="AF142" s="399">
        <v>94237.5</v>
      </c>
      <c r="AG142" s="400" t="str">
        <f t="shared" si="49"/>
        <v>Did not Meet</v>
      </c>
      <c r="AI142" s="399">
        <v>12274338.970000001</v>
      </c>
      <c r="AJ142" s="400" t="str">
        <f t="shared" si="50"/>
        <v>Met</v>
      </c>
      <c r="AL142" s="399">
        <f>VLOOKUP(A142,$A$5:$AF$315,32,0)/IFERROR(VLOOKUP(A142,'21-22 child count'!$A$3:$S$317,19,0),0)</f>
        <v>91.58163265306122</v>
      </c>
      <c r="AM142" s="400" t="str">
        <f t="shared" si="51"/>
        <v>Did not Meet</v>
      </c>
      <c r="AO142" s="399">
        <f>VLOOKUP(A142,'42. SEA or LEA Worksheet'!$A$4:$AB$318,28,0)/IFERROR(VLOOKUP('42. SEA or LEA Worksheet'!A294,'21-22 child count'!$A$3:$S$317,3,0),0)</f>
        <v>97897.118292682935</v>
      </c>
      <c r="AP142" s="400" t="str">
        <f t="shared" si="52"/>
        <v>Did not Meet</v>
      </c>
      <c r="AR142" s="366" t="str">
        <f t="shared" si="43"/>
        <v>Met</v>
      </c>
      <c r="AU142" s="400" t="str">
        <f t="shared" si="53"/>
        <v>Did not Meet</v>
      </c>
      <c r="AX142" s="400" t="str">
        <f t="shared" si="54"/>
        <v>Did not Meet</v>
      </c>
      <c r="BA142" s="400" t="str">
        <f t="shared" si="55"/>
        <v>Did not Meet</v>
      </c>
      <c r="BD142" s="400" t="str">
        <f t="shared" si="56"/>
        <v>Did not Meet</v>
      </c>
      <c r="BF142" s="366" t="str">
        <f t="shared" si="44"/>
        <v>Met</v>
      </c>
    </row>
    <row r="143" spans="1:58">
      <c r="A143" t="s">
        <v>787</v>
      </c>
      <c r="B143" t="s">
        <v>1112</v>
      </c>
      <c r="C143" s="360"/>
      <c r="D143" s="363">
        <v>889559.83</v>
      </c>
      <c r="E143" t="s">
        <v>834</v>
      </c>
      <c r="F143" s="360"/>
      <c r="G143" s="363">
        <v>7902094.4500000002</v>
      </c>
      <c r="H143" t="s">
        <v>879</v>
      </c>
      <c r="I143" s="360"/>
      <c r="J143" s="363">
        <v>1215.245669398907</v>
      </c>
      <c r="K143" t="s">
        <v>834</v>
      </c>
      <c r="L143" s="360"/>
      <c r="M143" s="363">
        <v>10795.210997267759</v>
      </c>
      <c r="N143" t="s">
        <v>834</v>
      </c>
      <c r="O143" s="360"/>
      <c r="P143" s="366" t="str">
        <f t="shared" si="41"/>
        <v>Met</v>
      </c>
      <c r="Q143" s="360"/>
      <c r="R143" s="399">
        <v>0</v>
      </c>
      <c r="S143" s="400" t="str">
        <f t="shared" si="45"/>
        <v>Did not Meet</v>
      </c>
      <c r="U143" s="399">
        <v>7626166.4900000002</v>
      </c>
      <c r="V143" s="400" t="str">
        <f t="shared" si="46"/>
        <v>Did not Meet</v>
      </c>
      <c r="X143" s="399">
        <v>0</v>
      </c>
      <c r="Y143" s="400" t="str">
        <f t="shared" si="47"/>
        <v>Did not Meet</v>
      </c>
      <c r="AA143" s="399">
        <v>10047.650184453229</v>
      </c>
      <c r="AB143" s="400" t="str">
        <f t="shared" si="48"/>
        <v>Did not Meet</v>
      </c>
      <c r="AD143" s="366" t="str">
        <f t="shared" si="42"/>
        <v>Met</v>
      </c>
      <c r="AF143" s="399">
        <v>0</v>
      </c>
      <c r="AG143" s="400" t="str">
        <f t="shared" si="49"/>
        <v>Did not Meet</v>
      </c>
      <c r="AI143" s="399">
        <v>7691266.79</v>
      </c>
      <c r="AJ143" s="400" t="str">
        <f t="shared" si="50"/>
        <v>Did not Meet</v>
      </c>
      <c r="AL143" s="399">
        <f>VLOOKUP(A143,$A$5:$AF$315,32,0)/IFERROR(VLOOKUP(A143,'21-22 child count'!$A$3:$S$317,19,0),0)</f>
        <v>0</v>
      </c>
      <c r="AM143" s="400" t="str">
        <f t="shared" si="51"/>
        <v>Did not Meet</v>
      </c>
      <c r="AO143" s="399">
        <f>VLOOKUP(A143,'42. SEA or LEA Worksheet'!$A$4:$AB$318,28,0)/IFERROR(VLOOKUP('42. SEA or LEA Worksheet'!A295,'21-22 child count'!$A$3:$S$317,3,0),0)</f>
        <v>73250.159904761909</v>
      </c>
      <c r="AP143" s="400" t="str">
        <f t="shared" si="52"/>
        <v>Did not Meet</v>
      </c>
      <c r="AR143" s="366" t="str">
        <f t="shared" si="43"/>
        <v>Met</v>
      </c>
      <c r="AU143" s="400" t="str">
        <f t="shared" si="53"/>
        <v>Did not Meet</v>
      </c>
      <c r="AX143" s="400" t="str">
        <f t="shared" si="54"/>
        <v>Did not Meet</v>
      </c>
      <c r="BA143" s="400" t="str">
        <f t="shared" si="55"/>
        <v>Did not Meet</v>
      </c>
      <c r="BD143" s="400" t="str">
        <f t="shared" si="56"/>
        <v>Did not Meet</v>
      </c>
      <c r="BF143" s="366" t="str">
        <f t="shared" si="44"/>
        <v>Met</v>
      </c>
    </row>
    <row r="144" spans="1:58">
      <c r="A144" t="s">
        <v>789</v>
      </c>
      <c r="B144" t="s">
        <v>1113</v>
      </c>
      <c r="C144" s="360"/>
      <c r="D144" s="363">
        <v>0</v>
      </c>
      <c r="E144" t="s">
        <v>855</v>
      </c>
      <c r="F144" s="360"/>
      <c r="G144" s="363">
        <v>4777639.29</v>
      </c>
      <c r="H144" t="s">
        <v>834</v>
      </c>
      <c r="I144" s="360"/>
      <c r="J144" s="363">
        <v>0</v>
      </c>
      <c r="K144" t="s">
        <v>855</v>
      </c>
      <c r="L144" s="360"/>
      <c r="M144" s="363">
        <v>9152.5656896551718</v>
      </c>
      <c r="N144" t="s">
        <v>855</v>
      </c>
      <c r="O144" s="360"/>
      <c r="P144" s="366" t="str">
        <f t="shared" si="41"/>
        <v>Met</v>
      </c>
      <c r="Q144" s="360"/>
      <c r="R144" s="399">
        <v>0</v>
      </c>
      <c r="S144" s="400" t="str">
        <f t="shared" si="45"/>
        <v>Did not Meet</v>
      </c>
      <c r="U144" s="399">
        <v>4800566.2</v>
      </c>
      <c r="V144" s="400" t="str">
        <f t="shared" si="46"/>
        <v>Met</v>
      </c>
      <c r="X144" s="399">
        <v>0</v>
      </c>
      <c r="Y144" s="400" t="str">
        <f t="shared" si="47"/>
        <v>Did not Meet</v>
      </c>
      <c r="AA144" s="399">
        <v>10644.270953436808</v>
      </c>
      <c r="AB144" s="400" t="str">
        <f t="shared" si="48"/>
        <v>Did not Meet</v>
      </c>
      <c r="AD144" s="366" t="str">
        <f t="shared" si="42"/>
        <v>Met</v>
      </c>
      <c r="AF144" s="399">
        <v>0</v>
      </c>
      <c r="AG144" s="400" t="str">
        <f t="shared" si="49"/>
        <v>Did not Meet</v>
      </c>
      <c r="AI144" s="399">
        <v>5138274.38</v>
      </c>
      <c r="AJ144" s="400" t="str">
        <f t="shared" si="50"/>
        <v>Met</v>
      </c>
      <c r="AL144" s="399">
        <f>VLOOKUP(A144,$A$5:$AF$315,32,0)/IFERROR(VLOOKUP(A144,'21-22 child count'!$A$3:$S$317,19,0),0)</f>
        <v>0</v>
      </c>
      <c r="AM144" s="400" t="str">
        <f t="shared" si="51"/>
        <v>Did not Meet</v>
      </c>
      <c r="AO144" s="399">
        <f>VLOOKUP(A144,'42. SEA or LEA Worksheet'!$A$4:$AB$318,28,0)/IFERROR(VLOOKUP('42. SEA or LEA Worksheet'!A296,'21-22 child count'!$A$3:$S$317,3,0),0)</f>
        <v>30048.388187134504</v>
      </c>
      <c r="AP144" s="400" t="str">
        <f t="shared" si="52"/>
        <v>Did not Meet</v>
      </c>
      <c r="AR144" s="366" t="str">
        <f t="shared" si="43"/>
        <v>Met</v>
      </c>
      <c r="AU144" s="400" t="str">
        <f t="shared" si="53"/>
        <v>Did not Meet</v>
      </c>
      <c r="AX144" s="400" t="str">
        <f t="shared" si="54"/>
        <v>Did not Meet</v>
      </c>
      <c r="BA144" s="400" t="str">
        <f t="shared" si="55"/>
        <v>Did not Meet</v>
      </c>
      <c r="BD144" s="400" t="str">
        <f t="shared" si="56"/>
        <v>Did not Meet</v>
      </c>
      <c r="BF144" s="366" t="str">
        <f t="shared" si="44"/>
        <v>Met</v>
      </c>
    </row>
    <row r="145" spans="1:58">
      <c r="A145" t="s">
        <v>799</v>
      </c>
      <c r="B145" t="s">
        <v>1118</v>
      </c>
      <c r="C145" s="360"/>
      <c r="D145" s="363">
        <v>138250.09</v>
      </c>
      <c r="E145" t="s">
        <v>834</v>
      </c>
      <c r="F145" s="360"/>
      <c r="G145" s="363">
        <v>666761.53999999992</v>
      </c>
      <c r="H145" t="s">
        <v>834</v>
      </c>
      <c r="I145" s="360"/>
      <c r="J145" s="363">
        <v>2513.6379999999999</v>
      </c>
      <c r="K145" t="s">
        <v>834</v>
      </c>
      <c r="L145" s="360"/>
      <c r="M145" s="363">
        <v>12122.93709090909</v>
      </c>
      <c r="N145" t="s">
        <v>834</v>
      </c>
      <c r="O145" s="360"/>
      <c r="P145" s="366" t="str">
        <f t="shared" si="41"/>
        <v>Met</v>
      </c>
      <c r="Q145" s="360"/>
      <c r="R145" s="399">
        <v>0</v>
      </c>
      <c r="S145" s="400" t="str">
        <f t="shared" si="45"/>
        <v>Did not Meet</v>
      </c>
      <c r="U145" s="399">
        <v>756151.07</v>
      </c>
      <c r="V145" s="400" t="str">
        <f t="shared" si="46"/>
        <v>Met</v>
      </c>
      <c r="X145" s="399">
        <v>0</v>
      </c>
      <c r="Y145" s="400" t="str">
        <f t="shared" si="47"/>
        <v>Did not Meet</v>
      </c>
      <c r="AA145" s="399">
        <v>17185.251590909091</v>
      </c>
      <c r="AB145" s="400" t="str">
        <f t="shared" si="48"/>
        <v>Met</v>
      </c>
      <c r="AD145" s="366" t="str">
        <f t="shared" si="42"/>
        <v>Met</v>
      </c>
      <c r="AF145" s="399">
        <v>138251.09</v>
      </c>
      <c r="AG145" s="400" t="str">
        <f t="shared" si="49"/>
        <v>Did not Meet</v>
      </c>
      <c r="AI145" s="399">
        <v>774443.96</v>
      </c>
      <c r="AJ145" s="400" t="str">
        <f t="shared" si="50"/>
        <v>Met</v>
      </c>
      <c r="AL145" s="399">
        <f>VLOOKUP(A145,$A$5:$AF$315,32,0)/IFERROR(VLOOKUP(A145,'21-22 child count'!$A$3:$S$317,19,0),0)</f>
        <v>3291.6926190476188</v>
      </c>
      <c r="AM145" s="400" t="str">
        <f t="shared" si="51"/>
        <v>Did not Meet</v>
      </c>
      <c r="AO145" s="399">
        <f>VLOOKUP(A145,'42. SEA or LEA Worksheet'!$A$4:$AB$318,28,0)/IFERROR(VLOOKUP('42. SEA or LEA Worksheet'!A301,'21-22 child count'!$A$3:$S$317,3,0),0)</f>
        <v>3720.4261403508772</v>
      </c>
      <c r="AP145" s="400" t="str">
        <f t="shared" si="52"/>
        <v>Did not Meet</v>
      </c>
      <c r="AR145" s="366" t="str">
        <f t="shared" si="43"/>
        <v>Met</v>
      </c>
      <c r="AU145" s="400" t="str">
        <f t="shared" si="53"/>
        <v>Did not Meet</v>
      </c>
      <c r="AX145" s="400" t="str">
        <f t="shared" si="54"/>
        <v>Did not Meet</v>
      </c>
      <c r="BA145" s="400" t="str">
        <f t="shared" si="55"/>
        <v>Did not Meet</v>
      </c>
      <c r="BD145" s="400" t="str">
        <f t="shared" si="56"/>
        <v>Did not Meet</v>
      </c>
      <c r="BF145" s="366" t="str">
        <f t="shared" si="44"/>
        <v>Met</v>
      </c>
    </row>
    <row r="146" spans="1:58">
      <c r="A146" t="s">
        <v>234</v>
      </c>
      <c r="B146" t="s">
        <v>1135</v>
      </c>
      <c r="C146" s="360"/>
      <c r="D146" s="363">
        <v>0</v>
      </c>
      <c r="E146" t="s">
        <v>855</v>
      </c>
      <c r="F146" s="360"/>
      <c r="G146" s="363">
        <v>101463.83</v>
      </c>
      <c r="H146" t="s">
        <v>834</v>
      </c>
      <c r="I146" s="360"/>
      <c r="J146" s="363">
        <v>0</v>
      </c>
      <c r="K146" t="s">
        <v>855</v>
      </c>
      <c r="L146" s="360"/>
      <c r="M146" s="363">
        <v>6764.2553333333335</v>
      </c>
      <c r="N146" t="s">
        <v>834</v>
      </c>
      <c r="O146" s="360"/>
      <c r="P146" s="366" t="str">
        <f t="shared" si="41"/>
        <v>Met</v>
      </c>
      <c r="Q146" s="360"/>
      <c r="R146" s="399">
        <v>2</v>
      </c>
      <c r="S146" s="400" t="str">
        <f t="shared" si="45"/>
        <v>Did not Meet</v>
      </c>
      <c r="U146" s="399">
        <v>83801.98</v>
      </c>
      <c r="V146" s="400" t="str">
        <f t="shared" si="46"/>
        <v>Met</v>
      </c>
      <c r="X146" s="399">
        <v>0.18181818181818182</v>
      </c>
      <c r="Y146" s="400" t="str">
        <f t="shared" si="47"/>
        <v>Did not Meet</v>
      </c>
      <c r="AA146" s="399">
        <v>7618.3618181818174</v>
      </c>
      <c r="AB146" s="400" t="str">
        <f t="shared" si="48"/>
        <v>Met</v>
      </c>
      <c r="AD146" s="366" t="str">
        <f t="shared" si="42"/>
        <v>Met</v>
      </c>
      <c r="AF146" s="399">
        <v>2</v>
      </c>
      <c r="AG146" s="400" t="str">
        <f t="shared" si="49"/>
        <v>Did not Meet</v>
      </c>
      <c r="AI146" s="399">
        <v>102379.48</v>
      </c>
      <c r="AJ146" s="400" t="str">
        <f t="shared" si="50"/>
        <v>Met</v>
      </c>
      <c r="AL146" s="399">
        <f>VLOOKUP(A146,$A$5:$AF$315,32,0)/IFERROR(VLOOKUP(A146,'21-22 child count'!$A$3:$S$317,19,0),0)</f>
        <v>0.25</v>
      </c>
      <c r="AM146" s="400" t="str">
        <f t="shared" si="51"/>
        <v>Did not Meet</v>
      </c>
      <c r="AO146" s="399">
        <f>VLOOKUP(A146,'42. SEA or LEA Worksheet'!$A$4:$AB$318,28,0)/IFERROR(VLOOKUP('42. SEA or LEA Worksheet'!A23,'21-22 child count'!$A$3:$S$317,3,0),0)</f>
        <v>898.04807017543851</v>
      </c>
      <c r="AP146" s="400" t="str">
        <f t="shared" si="52"/>
        <v>Did not Meet</v>
      </c>
      <c r="AR146" s="366" t="str">
        <f t="shared" si="43"/>
        <v>Met</v>
      </c>
      <c r="AU146" s="400" t="str">
        <f t="shared" si="53"/>
        <v>Did not Meet</v>
      </c>
      <c r="AX146" s="400" t="str">
        <f t="shared" si="54"/>
        <v>Did not Meet</v>
      </c>
      <c r="BA146" s="400" t="str">
        <f t="shared" si="55"/>
        <v>Did not Meet</v>
      </c>
      <c r="BD146" s="400" t="str">
        <f t="shared" si="56"/>
        <v>Did not Meet</v>
      </c>
      <c r="BF146" s="366" t="str">
        <f t="shared" si="44"/>
        <v>Met</v>
      </c>
    </row>
    <row r="147" spans="1:58">
      <c r="A147" t="s">
        <v>226</v>
      </c>
      <c r="B147" t="s">
        <v>852</v>
      </c>
      <c r="C147" s="360"/>
      <c r="D147" s="363">
        <v>0</v>
      </c>
      <c r="E147" t="s">
        <v>855</v>
      </c>
      <c r="F147" s="360"/>
      <c r="G147" s="363">
        <v>9621710.0800000001</v>
      </c>
      <c r="H147" t="s">
        <v>834</v>
      </c>
      <c r="I147" s="360"/>
      <c r="J147" s="363">
        <v>0</v>
      </c>
      <c r="K147" t="s">
        <v>855</v>
      </c>
      <c r="L147" s="360"/>
      <c r="M147" s="363">
        <v>13162.394090287278</v>
      </c>
      <c r="N147" t="s">
        <v>834</v>
      </c>
      <c r="O147" s="360"/>
      <c r="P147" s="366" t="str">
        <f t="shared" si="41"/>
        <v>Met</v>
      </c>
      <c r="Q147" s="360"/>
      <c r="R147" s="399">
        <v>469.09</v>
      </c>
      <c r="S147" s="400" t="str">
        <f t="shared" si="45"/>
        <v>Did not Meet</v>
      </c>
      <c r="U147" s="399">
        <v>9570469.0899999999</v>
      </c>
      <c r="V147" s="400" t="str">
        <f t="shared" si="46"/>
        <v>Met</v>
      </c>
      <c r="X147" s="399">
        <v>0.64524071526822557</v>
      </c>
      <c r="Y147" s="400" t="str">
        <f t="shared" si="47"/>
        <v>Did not Meet</v>
      </c>
      <c r="AA147" s="399">
        <v>13164.331623108665</v>
      </c>
      <c r="AB147" s="400" t="str">
        <f t="shared" si="48"/>
        <v>Met</v>
      </c>
      <c r="AD147" s="366" t="str">
        <f t="shared" si="42"/>
        <v>Met</v>
      </c>
      <c r="AF147" s="399">
        <v>0</v>
      </c>
      <c r="AG147" s="400" t="str">
        <f t="shared" si="49"/>
        <v>Did not Meet</v>
      </c>
      <c r="AI147" s="399">
        <v>10066719.17</v>
      </c>
      <c r="AJ147" s="400" t="str">
        <f t="shared" si="50"/>
        <v>Met</v>
      </c>
      <c r="AL147" s="399">
        <f>VLOOKUP(A147,$A$5:$AF$315,32,0)/IFERROR(VLOOKUP(A147,'21-22 child count'!$A$3:$S$317,19,0),0)</f>
        <v>0</v>
      </c>
      <c r="AM147" s="400" t="str">
        <f t="shared" si="51"/>
        <v>Did not Meet</v>
      </c>
      <c r="AO147" s="399">
        <f>VLOOKUP(A147,'42. SEA or LEA Worksheet'!$A$4:$AB$318,28,0)/IFERROR(VLOOKUP('42. SEA or LEA Worksheet'!A20,'21-22 child count'!$A$3:$S$317,3,0),0)</f>
        <v>88304.554122807021</v>
      </c>
      <c r="AP147" s="400" t="str">
        <f t="shared" si="52"/>
        <v>Met</v>
      </c>
      <c r="AR147" s="366" t="str">
        <f t="shared" si="43"/>
        <v>Met</v>
      </c>
      <c r="AU147" s="400" t="str">
        <f t="shared" si="53"/>
        <v>Did not Meet</v>
      </c>
      <c r="AX147" s="400" t="str">
        <f t="shared" si="54"/>
        <v>Did not Meet</v>
      </c>
      <c r="BA147" s="400" t="str">
        <f t="shared" si="55"/>
        <v>Did not Meet</v>
      </c>
      <c r="BD147" s="400" t="str">
        <f t="shared" si="56"/>
        <v>Did not Meet</v>
      </c>
      <c r="BF147" s="366" t="str">
        <f t="shared" si="44"/>
        <v>Met</v>
      </c>
    </row>
    <row r="148" spans="1:58">
      <c r="A148" t="s">
        <v>757</v>
      </c>
      <c r="B148" t="s">
        <v>1097</v>
      </c>
      <c r="C148" s="360"/>
      <c r="D148" s="363">
        <v>47945.23</v>
      </c>
      <c r="E148" t="s">
        <v>855</v>
      </c>
      <c r="F148" s="360"/>
      <c r="G148" s="363">
        <v>8752087.120000001</v>
      </c>
      <c r="H148" t="s">
        <v>834</v>
      </c>
      <c r="I148" s="360"/>
      <c r="J148" s="363">
        <v>82.097996575342478</v>
      </c>
      <c r="K148" t="s">
        <v>855</v>
      </c>
      <c r="L148" s="360"/>
      <c r="M148" s="363">
        <v>14986.450547945207</v>
      </c>
      <c r="N148" t="s">
        <v>834</v>
      </c>
      <c r="O148" s="360"/>
      <c r="P148" s="366" t="str">
        <f t="shared" si="41"/>
        <v>Met</v>
      </c>
      <c r="Q148" s="360"/>
      <c r="R148" s="399">
        <v>597.51</v>
      </c>
      <c r="S148" s="400" t="str">
        <f t="shared" si="45"/>
        <v>Did not Meet</v>
      </c>
      <c r="U148" s="399">
        <v>9805318.9299999997</v>
      </c>
      <c r="V148" s="400" t="str">
        <f t="shared" si="46"/>
        <v>Met</v>
      </c>
      <c r="X148" s="399">
        <v>1.012728813559322</v>
      </c>
      <c r="Y148" s="400" t="str">
        <f t="shared" si="47"/>
        <v>Did not Meet</v>
      </c>
      <c r="AA148" s="399">
        <v>16619.184627118644</v>
      </c>
      <c r="AB148" s="400" t="str">
        <f t="shared" si="48"/>
        <v>Met</v>
      </c>
      <c r="AD148" s="366" t="str">
        <f t="shared" si="42"/>
        <v>Met</v>
      </c>
      <c r="AF148" s="399">
        <v>72221.52</v>
      </c>
      <c r="AG148" s="400" t="str">
        <f t="shared" si="49"/>
        <v>Did not Meet</v>
      </c>
      <c r="AI148" s="399">
        <v>10834339.9</v>
      </c>
      <c r="AJ148" s="400" t="str">
        <f t="shared" si="50"/>
        <v>Met</v>
      </c>
      <c r="AL148" s="399">
        <f>VLOOKUP(A148,$A$5:$AF$315,32,0)/IFERROR(VLOOKUP(A148,'21-22 child count'!$A$3:$S$317,19,0),0)</f>
        <v>123.87910806174958</v>
      </c>
      <c r="AM148" s="400" t="str">
        <f t="shared" si="51"/>
        <v>Did not Meet</v>
      </c>
      <c r="AO148" s="399">
        <f>VLOOKUP(A148,'42. SEA or LEA Worksheet'!$A$4:$AB$318,28,0)/IFERROR(VLOOKUP('42. SEA or LEA Worksheet'!A280,'21-22 child count'!$A$3:$S$317,3,0),0)</f>
        <v>101559.75447619047</v>
      </c>
      <c r="AP148" s="400" t="str">
        <f t="shared" si="52"/>
        <v>Met</v>
      </c>
      <c r="AR148" s="366" t="str">
        <f t="shared" si="43"/>
        <v>Met</v>
      </c>
      <c r="AU148" s="400" t="str">
        <f t="shared" si="53"/>
        <v>Did not Meet</v>
      </c>
      <c r="AX148" s="400" t="str">
        <f t="shared" si="54"/>
        <v>Did not Meet</v>
      </c>
      <c r="BA148" s="400" t="str">
        <f t="shared" si="55"/>
        <v>Did not Meet</v>
      </c>
      <c r="BD148" s="400" t="str">
        <f t="shared" si="56"/>
        <v>Did not Meet</v>
      </c>
      <c r="BF148" s="366" t="str">
        <f t="shared" si="44"/>
        <v>Met</v>
      </c>
    </row>
    <row r="149" spans="1:58">
      <c r="A149" t="s">
        <v>711</v>
      </c>
      <c r="B149" t="s">
        <v>1075</v>
      </c>
      <c r="C149" s="360"/>
      <c r="D149" s="363">
        <v>0</v>
      </c>
      <c r="E149" t="s">
        <v>855</v>
      </c>
      <c r="F149" s="360"/>
      <c r="G149" s="363">
        <v>4563153.67</v>
      </c>
      <c r="H149" t="s">
        <v>834</v>
      </c>
      <c r="I149" s="360"/>
      <c r="J149" s="363">
        <v>0</v>
      </c>
      <c r="K149" t="s">
        <v>855</v>
      </c>
      <c r="L149" s="360"/>
      <c r="M149" s="363">
        <v>13785.962749244713</v>
      </c>
      <c r="N149" t="s">
        <v>834</v>
      </c>
      <c r="O149" s="360"/>
      <c r="P149" s="366" t="str">
        <f t="shared" si="41"/>
        <v>Met</v>
      </c>
      <c r="Q149" s="360"/>
      <c r="R149" s="399">
        <v>1562.27</v>
      </c>
      <c r="S149" s="400" t="str">
        <f t="shared" si="45"/>
        <v>Did not Meet</v>
      </c>
      <c r="U149" s="399">
        <v>4348867.3199999994</v>
      </c>
      <c r="V149" s="400" t="str">
        <f t="shared" si="46"/>
        <v>Met</v>
      </c>
      <c r="X149" s="399">
        <v>4.7198489425981869</v>
      </c>
      <c r="Y149" s="400" t="str">
        <f t="shared" si="47"/>
        <v>Did not Meet</v>
      </c>
      <c r="AA149" s="399">
        <v>13138.571963746223</v>
      </c>
      <c r="AB149" s="400" t="str">
        <f t="shared" si="48"/>
        <v>Did not Meet</v>
      </c>
      <c r="AD149" s="366" t="str">
        <f t="shared" si="42"/>
        <v>Met</v>
      </c>
      <c r="AF149" s="399">
        <v>0</v>
      </c>
      <c r="AG149" s="400" t="str">
        <f t="shared" si="49"/>
        <v>Did not Meet</v>
      </c>
      <c r="AI149" s="399">
        <v>4399572.7699999996</v>
      </c>
      <c r="AJ149" s="400" t="str">
        <f t="shared" si="50"/>
        <v>Met</v>
      </c>
      <c r="AL149" s="399">
        <f>VLOOKUP(A149,$A$5:$AF$315,32,0)/IFERROR(VLOOKUP(A149,'21-22 child count'!$A$3:$S$317,19,0),0)</f>
        <v>0</v>
      </c>
      <c r="AM149" s="400" t="str">
        <f t="shared" si="51"/>
        <v>Did not Meet</v>
      </c>
      <c r="AO149" s="399">
        <f>VLOOKUP(A149,'42. SEA or LEA Worksheet'!$A$4:$AB$318,28,0)/IFERROR(VLOOKUP('42. SEA or LEA Worksheet'!A257,'21-22 child count'!$A$3:$S$317,3,0),0)</f>
        <v>23278.162804232801</v>
      </c>
      <c r="AP149" s="400" t="str">
        <f t="shared" si="52"/>
        <v>Did not Meet</v>
      </c>
      <c r="AR149" s="366" t="str">
        <f t="shared" si="43"/>
        <v>Met</v>
      </c>
      <c r="AU149" s="400" t="str">
        <f t="shared" si="53"/>
        <v>Did not Meet</v>
      </c>
      <c r="AX149" s="400" t="str">
        <f t="shared" si="54"/>
        <v>Did not Meet</v>
      </c>
      <c r="BA149" s="400" t="str">
        <f t="shared" si="55"/>
        <v>Did not Meet</v>
      </c>
      <c r="BD149" s="400" t="str">
        <f t="shared" si="56"/>
        <v>Did not Meet</v>
      </c>
      <c r="BF149" s="366" t="str">
        <f t="shared" si="44"/>
        <v>Met</v>
      </c>
    </row>
    <row r="150" spans="1:58">
      <c r="A150" t="s">
        <v>593</v>
      </c>
      <c r="B150" t="s">
        <v>1024</v>
      </c>
      <c r="C150" s="360"/>
      <c r="D150" s="363">
        <v>658.23</v>
      </c>
      <c r="E150" t="s">
        <v>855</v>
      </c>
      <c r="F150" s="360"/>
      <c r="G150" s="363">
        <v>2693322.03</v>
      </c>
      <c r="H150" t="s">
        <v>834</v>
      </c>
      <c r="I150" s="360"/>
      <c r="J150" s="363">
        <v>3.5199465240641712</v>
      </c>
      <c r="K150" t="s">
        <v>855</v>
      </c>
      <c r="L150" s="360"/>
      <c r="M150" s="363">
        <v>14402.791604278074</v>
      </c>
      <c r="N150" t="s">
        <v>855</v>
      </c>
      <c r="O150" s="360"/>
      <c r="P150" s="366" t="str">
        <f t="shared" si="41"/>
        <v>Met</v>
      </c>
      <c r="Q150" s="360"/>
      <c r="R150" s="399">
        <v>1273.4000000000001</v>
      </c>
      <c r="S150" s="400" t="str">
        <f t="shared" si="45"/>
        <v>Did not Meet</v>
      </c>
      <c r="U150" s="399">
        <v>2401964.7999999998</v>
      </c>
      <c r="V150" s="400" t="str">
        <f t="shared" si="46"/>
        <v>Met</v>
      </c>
      <c r="X150" s="399">
        <v>7.2765714285714287</v>
      </c>
      <c r="Y150" s="400" t="str">
        <f t="shared" si="47"/>
        <v>Did not Meet</v>
      </c>
      <c r="AA150" s="399">
        <v>13725.513142857142</v>
      </c>
      <c r="AB150" s="400" t="str">
        <f t="shared" si="48"/>
        <v>Did not Meet</v>
      </c>
      <c r="AD150" s="366" t="str">
        <f t="shared" si="42"/>
        <v>Met</v>
      </c>
      <c r="AF150" s="399">
        <v>0</v>
      </c>
      <c r="AG150" s="400" t="str">
        <f t="shared" si="49"/>
        <v>Did not Meet</v>
      </c>
      <c r="AI150" s="399">
        <v>2556044.9300000002</v>
      </c>
      <c r="AJ150" s="400" t="str">
        <f t="shared" si="50"/>
        <v>Met</v>
      </c>
      <c r="AL150" s="399">
        <f>VLOOKUP(A150,$A$5:$AF$315,32,0)/IFERROR(VLOOKUP(A150,'21-22 child count'!$A$3:$S$317,19,0),0)</f>
        <v>0</v>
      </c>
      <c r="AM150" s="400" t="str">
        <f t="shared" si="51"/>
        <v>Did not Meet</v>
      </c>
      <c r="AO150" s="399">
        <f>VLOOKUP(A150,'42. SEA or LEA Worksheet'!$A$4:$AB$318,28,0)/IFERROR(VLOOKUP('42. SEA or LEA Worksheet'!A203,'21-22 child count'!$A$3:$S$317,3,0),0)</f>
        <v>20625.716910569106</v>
      </c>
      <c r="AP150" s="400" t="str">
        <f t="shared" si="52"/>
        <v>Did not Meet</v>
      </c>
      <c r="AR150" s="366" t="str">
        <f t="shared" si="43"/>
        <v>Met</v>
      </c>
      <c r="AU150" s="400" t="str">
        <f t="shared" si="53"/>
        <v>Did not Meet</v>
      </c>
      <c r="AX150" s="400" t="str">
        <f t="shared" si="54"/>
        <v>Did not Meet</v>
      </c>
      <c r="BA150" s="400" t="str">
        <f t="shared" si="55"/>
        <v>Did not Meet</v>
      </c>
      <c r="BD150" s="400" t="str">
        <f t="shared" si="56"/>
        <v>Did not Meet</v>
      </c>
      <c r="BF150" s="366" t="str">
        <f t="shared" si="44"/>
        <v>Met</v>
      </c>
    </row>
    <row r="151" spans="1:58">
      <c r="A151" t="s">
        <v>481</v>
      </c>
      <c r="B151" t="s">
        <v>969</v>
      </c>
      <c r="C151" s="360"/>
      <c r="D151" s="363">
        <v>0</v>
      </c>
      <c r="E151" t="s">
        <v>834</v>
      </c>
      <c r="F151" s="360"/>
      <c r="G151" s="363">
        <v>2520018.25</v>
      </c>
      <c r="H151" t="s">
        <v>834</v>
      </c>
      <c r="I151" s="360"/>
      <c r="J151" s="363">
        <v>0</v>
      </c>
      <c r="K151" t="s">
        <v>834</v>
      </c>
      <c r="L151" s="360"/>
      <c r="M151" s="363">
        <v>12475.337871287129</v>
      </c>
      <c r="N151" t="s">
        <v>834</v>
      </c>
      <c r="O151" s="360"/>
      <c r="P151" s="366" t="str">
        <f t="shared" si="41"/>
        <v>Met</v>
      </c>
      <c r="Q151" s="360"/>
      <c r="R151" s="399">
        <v>0</v>
      </c>
      <c r="S151" s="400" t="str">
        <f t="shared" si="45"/>
        <v>Met</v>
      </c>
      <c r="U151" s="399">
        <v>2729302.84</v>
      </c>
      <c r="V151" s="400" t="str">
        <f t="shared" si="46"/>
        <v>Met</v>
      </c>
      <c r="X151" s="399">
        <v>0</v>
      </c>
      <c r="Y151" s="400" t="str">
        <f t="shared" si="47"/>
        <v>Met</v>
      </c>
      <c r="AA151" s="399">
        <v>13185.037874396134</v>
      </c>
      <c r="AB151" s="400" t="str">
        <f t="shared" si="48"/>
        <v>Met</v>
      </c>
      <c r="AD151" s="366" t="str">
        <f t="shared" si="42"/>
        <v>Met</v>
      </c>
      <c r="AF151" s="399">
        <v>0</v>
      </c>
      <c r="AG151" s="400" t="str">
        <f t="shared" si="49"/>
        <v>Met</v>
      </c>
      <c r="AI151" s="399">
        <v>3120520.56</v>
      </c>
      <c r="AJ151" s="400" t="str">
        <f t="shared" si="50"/>
        <v>Met</v>
      </c>
      <c r="AL151" s="399">
        <f>VLOOKUP(A151,$A$5:$AF$315,32,0)/IFERROR(VLOOKUP(A151,'21-22 child count'!$A$3:$S$317,19,0),0)</f>
        <v>0</v>
      </c>
      <c r="AM151" s="400" t="str">
        <f t="shared" si="51"/>
        <v>Met</v>
      </c>
      <c r="AO151" s="399">
        <f>VLOOKUP(A151,'42. SEA or LEA Worksheet'!$A$4:$AB$318,28,0)/IFERROR(VLOOKUP('42. SEA or LEA Worksheet'!A147,'21-22 child count'!$A$3:$S$317,3,0),0)</f>
        <v>25789.426115702481</v>
      </c>
      <c r="AP151" s="400" t="str">
        <f t="shared" si="52"/>
        <v>Met</v>
      </c>
      <c r="AR151" s="366" t="str">
        <f t="shared" si="43"/>
        <v>Met</v>
      </c>
      <c r="AU151" s="400" t="str">
        <f t="shared" si="53"/>
        <v>Met</v>
      </c>
      <c r="AX151" s="400" t="str">
        <f t="shared" si="54"/>
        <v>Did not Meet</v>
      </c>
      <c r="BA151" s="400" t="str">
        <f t="shared" si="55"/>
        <v>Met</v>
      </c>
      <c r="BD151" s="400" t="str">
        <f t="shared" si="56"/>
        <v>Did not Meet</v>
      </c>
      <c r="BF151" s="366" t="str">
        <f t="shared" si="44"/>
        <v>Met</v>
      </c>
    </row>
    <row r="152" spans="1:58">
      <c r="A152" t="s">
        <v>255</v>
      </c>
      <c r="B152" t="s">
        <v>864</v>
      </c>
      <c r="C152" s="360"/>
      <c r="D152" s="363">
        <v>13010</v>
      </c>
      <c r="E152" t="s">
        <v>855</v>
      </c>
      <c r="F152" s="360"/>
      <c r="G152" s="363">
        <v>23882257.82</v>
      </c>
      <c r="H152" t="s">
        <v>834</v>
      </c>
      <c r="I152" s="360"/>
      <c r="J152" s="363">
        <v>7.0976541189307145</v>
      </c>
      <c r="K152" t="s">
        <v>855</v>
      </c>
      <c r="L152" s="360"/>
      <c r="M152" s="363">
        <v>13029.05500272777</v>
      </c>
      <c r="N152" t="s">
        <v>855</v>
      </c>
      <c r="O152" s="360"/>
      <c r="P152" s="366" t="str">
        <f t="shared" si="41"/>
        <v>Met</v>
      </c>
      <c r="Q152" s="360"/>
      <c r="R152" s="399">
        <v>13011</v>
      </c>
      <c r="S152" s="400" t="str">
        <f t="shared" si="45"/>
        <v>Did not Meet</v>
      </c>
      <c r="U152" s="399">
        <v>21867246.420000002</v>
      </c>
      <c r="V152" s="400" t="str">
        <f t="shared" si="46"/>
        <v>Met</v>
      </c>
      <c r="X152" s="399">
        <v>7.6445358401880137</v>
      </c>
      <c r="Y152" s="400" t="str">
        <f t="shared" si="47"/>
        <v>Did not Meet</v>
      </c>
      <c r="AA152" s="399">
        <v>12847.970869565219</v>
      </c>
      <c r="AB152" s="400" t="str">
        <f t="shared" si="48"/>
        <v>Did not Meet</v>
      </c>
      <c r="AD152" s="366" t="str">
        <f t="shared" si="42"/>
        <v>Met</v>
      </c>
      <c r="AF152" s="399">
        <v>148675.92000000001</v>
      </c>
      <c r="AG152" s="400" t="str">
        <f t="shared" si="49"/>
        <v>Did not Meet</v>
      </c>
      <c r="AI152" s="399">
        <v>26671111.780000001</v>
      </c>
      <c r="AJ152" s="400" t="str">
        <f t="shared" si="50"/>
        <v>Met</v>
      </c>
      <c r="AL152" s="399">
        <f>VLOOKUP(A152,$A$5:$AF$315,32,0)/IFERROR(VLOOKUP(A152,'21-22 child count'!$A$3:$S$317,19,0),0)</f>
        <v>88.026003552397881</v>
      </c>
      <c r="AM152" s="400" t="str">
        <f t="shared" si="51"/>
        <v>Did not Meet</v>
      </c>
      <c r="AO152" s="399">
        <f>VLOOKUP(A152,'42. SEA or LEA Worksheet'!$A$4:$AB$318,28,0)/IFERROR(VLOOKUP('42. SEA or LEA Worksheet'!A33,'21-22 child count'!$A$3:$S$317,3,0),0)</f>
        <v>193245.87596491229</v>
      </c>
      <c r="AP152" s="400" t="str">
        <f t="shared" si="52"/>
        <v>Did not Meet</v>
      </c>
      <c r="AR152" s="366" t="str">
        <f t="shared" si="43"/>
        <v>Met</v>
      </c>
      <c r="AU152" s="400" t="str">
        <f t="shared" si="53"/>
        <v>Did not Meet</v>
      </c>
      <c r="AX152" s="400" t="str">
        <f t="shared" si="54"/>
        <v>Did not Meet</v>
      </c>
      <c r="BA152" s="400" t="str">
        <f t="shared" si="55"/>
        <v>Did not Meet</v>
      </c>
      <c r="BD152" s="400" t="str">
        <f t="shared" si="56"/>
        <v>Did not Meet</v>
      </c>
      <c r="BF152" s="366" t="str">
        <f t="shared" si="44"/>
        <v>Met</v>
      </c>
    </row>
    <row r="153" spans="1:58">
      <c r="A153" t="s">
        <v>485</v>
      </c>
      <c r="B153" t="s">
        <v>971</v>
      </c>
      <c r="C153" s="360"/>
      <c r="D153" s="363">
        <v>0</v>
      </c>
      <c r="E153" t="s">
        <v>834</v>
      </c>
      <c r="F153" s="360"/>
      <c r="G153" s="363">
        <v>54677.5</v>
      </c>
      <c r="H153" t="s">
        <v>879</v>
      </c>
      <c r="I153" s="360"/>
      <c r="J153" s="363">
        <v>0</v>
      </c>
      <c r="K153" t="s">
        <v>834</v>
      </c>
      <c r="L153" s="360"/>
      <c r="M153" s="363">
        <v>7811.0714285714284</v>
      </c>
      <c r="N153" t="s">
        <v>855</v>
      </c>
      <c r="O153" s="360"/>
      <c r="P153" s="366" t="str">
        <f t="shared" si="41"/>
        <v>Met</v>
      </c>
      <c r="Q153" s="360"/>
      <c r="R153" s="399">
        <v>0</v>
      </c>
      <c r="S153" s="400" t="str">
        <f t="shared" si="45"/>
        <v>Met</v>
      </c>
      <c r="U153" s="399">
        <v>71452.929999999993</v>
      </c>
      <c r="V153" s="400" t="str">
        <f t="shared" si="46"/>
        <v>Did not Meet</v>
      </c>
      <c r="X153" s="399">
        <v>0</v>
      </c>
      <c r="Y153" s="400" t="str">
        <f t="shared" si="47"/>
        <v>Met</v>
      </c>
      <c r="AA153" s="399">
        <v>8931.6162499999991</v>
      </c>
      <c r="AB153" s="400" t="str">
        <f t="shared" si="48"/>
        <v>Did not Meet</v>
      </c>
      <c r="AD153" s="366" t="str">
        <f t="shared" si="42"/>
        <v>Met</v>
      </c>
      <c r="AF153" s="399">
        <v>0</v>
      </c>
      <c r="AG153" s="400" t="str">
        <f t="shared" si="49"/>
        <v>Met</v>
      </c>
      <c r="AI153" s="399">
        <v>49519.17</v>
      </c>
      <c r="AJ153" s="400" t="str">
        <f t="shared" si="50"/>
        <v>Did not Meet</v>
      </c>
      <c r="AL153" s="399">
        <f>VLOOKUP(A153,$A$5:$AF$315,32,0)/IFERROR(VLOOKUP(A153,'21-22 child count'!$A$3:$S$317,19,0),0)</f>
        <v>0</v>
      </c>
      <c r="AM153" s="400" t="str">
        <f t="shared" si="51"/>
        <v>Met</v>
      </c>
      <c r="AO153" s="399">
        <f>VLOOKUP(A153,'42. SEA or LEA Worksheet'!$A$4:$AB$318,28,0)/IFERROR(VLOOKUP('42. SEA or LEA Worksheet'!A149,'21-22 child count'!$A$3:$S$317,3,0),0)</f>
        <v>289.5857894736842</v>
      </c>
      <c r="AP153" s="400" t="str">
        <f t="shared" si="52"/>
        <v>Did not Meet</v>
      </c>
      <c r="AR153" s="366" t="str">
        <f t="shared" si="43"/>
        <v>Met</v>
      </c>
      <c r="AU153" s="400" t="str">
        <f t="shared" si="53"/>
        <v>Met</v>
      </c>
      <c r="AX153" s="400" t="str">
        <f t="shared" si="54"/>
        <v>Did not Meet</v>
      </c>
      <c r="BA153" s="400" t="str">
        <f t="shared" si="55"/>
        <v>Met</v>
      </c>
      <c r="BD153" s="400" t="str">
        <f t="shared" si="56"/>
        <v>Did not Meet</v>
      </c>
      <c r="BF153" s="366" t="str">
        <f t="shared" si="44"/>
        <v>Met</v>
      </c>
    </row>
    <row r="154" spans="1:58">
      <c r="A154" t="s">
        <v>206</v>
      </c>
      <c r="B154" t="s">
        <v>843</v>
      </c>
      <c r="C154" s="360"/>
      <c r="D154" s="363">
        <v>60420</v>
      </c>
      <c r="E154" t="s">
        <v>855</v>
      </c>
      <c r="F154" s="360"/>
      <c r="G154" s="363">
        <v>8090553.2999999998</v>
      </c>
      <c r="H154" t="s">
        <v>834</v>
      </c>
      <c r="I154" s="360"/>
      <c r="J154" s="363">
        <v>133.08370044052865</v>
      </c>
      <c r="K154" t="s">
        <v>855</v>
      </c>
      <c r="L154" s="360"/>
      <c r="M154" s="363">
        <v>17820.601982378856</v>
      </c>
      <c r="N154" t="s">
        <v>834</v>
      </c>
      <c r="O154" s="360"/>
      <c r="P154" s="366" t="str">
        <f t="shared" si="41"/>
        <v>Met</v>
      </c>
      <c r="Q154" s="360"/>
      <c r="R154" s="399">
        <v>3640</v>
      </c>
      <c r="S154" s="400" t="str">
        <f t="shared" si="45"/>
        <v>Did not Meet</v>
      </c>
      <c r="U154" s="399">
        <v>8098295.0700000003</v>
      </c>
      <c r="V154" s="400" t="str">
        <f t="shared" si="46"/>
        <v>Met</v>
      </c>
      <c r="X154" s="399">
        <v>8.3105022831050235</v>
      </c>
      <c r="Y154" s="400" t="str">
        <f t="shared" si="47"/>
        <v>Did not Meet</v>
      </c>
      <c r="AA154" s="399">
        <v>18489.258150684931</v>
      </c>
      <c r="AB154" s="400" t="str">
        <f t="shared" si="48"/>
        <v>Met</v>
      </c>
      <c r="AD154" s="366" t="str">
        <f t="shared" si="42"/>
        <v>Met</v>
      </c>
      <c r="AF154" s="399">
        <v>2171499.04</v>
      </c>
      <c r="AG154" s="400" t="str">
        <f t="shared" si="49"/>
        <v>Did not Meet</v>
      </c>
      <c r="AI154" s="399">
        <v>10675504.109999999</v>
      </c>
      <c r="AJ154" s="400" t="str">
        <f t="shared" si="50"/>
        <v>Met</v>
      </c>
      <c r="AL154" s="399">
        <f>VLOOKUP(A154,$A$5:$AF$315,32,0)/IFERROR(VLOOKUP(A154,'21-22 child count'!$A$3:$S$317,19,0),0)</f>
        <v>4847.0960714285711</v>
      </c>
      <c r="AM154" s="400" t="str">
        <f t="shared" si="51"/>
        <v>Did not Meet</v>
      </c>
      <c r="AO154" s="399">
        <f>VLOOKUP(A154,'42. SEA or LEA Worksheet'!$A$4:$AB$318,28,0)/IFERROR(VLOOKUP('42. SEA or LEA Worksheet'!A11,'21-22 child count'!$A$3:$S$317,3,0),0)</f>
        <v>70281.033636363645</v>
      </c>
      <c r="AP154" s="400" t="str">
        <f t="shared" si="52"/>
        <v>Met</v>
      </c>
      <c r="AR154" s="366" t="str">
        <f t="shared" si="43"/>
        <v>Met</v>
      </c>
      <c r="AU154" s="400" t="str">
        <f t="shared" si="53"/>
        <v>Did not Meet</v>
      </c>
      <c r="AX154" s="400" t="str">
        <f t="shared" si="54"/>
        <v>Did not Meet</v>
      </c>
      <c r="BA154" s="400" t="str">
        <f t="shared" si="55"/>
        <v>Did not Meet</v>
      </c>
      <c r="BD154" s="400" t="str">
        <f t="shared" si="56"/>
        <v>Did not Meet</v>
      </c>
      <c r="BF154" s="366" t="str">
        <f t="shared" si="44"/>
        <v>Met</v>
      </c>
    </row>
    <row r="155" spans="1:58">
      <c r="A155" t="s">
        <v>469</v>
      </c>
      <c r="B155" t="s">
        <v>963</v>
      </c>
      <c r="C155" s="360"/>
      <c r="D155" s="363">
        <v>0</v>
      </c>
      <c r="E155" t="s">
        <v>855</v>
      </c>
      <c r="F155" s="360"/>
      <c r="G155" s="363">
        <v>630322.47</v>
      </c>
      <c r="H155" t="s">
        <v>855</v>
      </c>
      <c r="I155" s="360"/>
      <c r="J155" s="363">
        <v>0</v>
      </c>
      <c r="K155" t="s">
        <v>855</v>
      </c>
      <c r="L155" s="360"/>
      <c r="M155" s="363">
        <v>8186.0061038961039</v>
      </c>
      <c r="N155" t="s">
        <v>834</v>
      </c>
      <c r="O155" s="360"/>
      <c r="P155" s="366" t="str">
        <f t="shared" si="41"/>
        <v>Met</v>
      </c>
      <c r="Q155" s="360"/>
      <c r="R155" s="399">
        <v>700</v>
      </c>
      <c r="S155" s="400" t="str">
        <f t="shared" si="45"/>
        <v>Did not Meet</v>
      </c>
      <c r="U155" s="399">
        <v>521263.03</v>
      </c>
      <c r="V155" s="400" t="str">
        <f t="shared" si="46"/>
        <v>Did not Meet</v>
      </c>
      <c r="X155" s="399">
        <v>8.8607594936708853</v>
      </c>
      <c r="Y155" s="400" t="str">
        <f t="shared" si="47"/>
        <v>Did not Meet</v>
      </c>
      <c r="AA155" s="399">
        <v>6598.2662025316458</v>
      </c>
      <c r="AB155" s="400" t="str">
        <f t="shared" si="48"/>
        <v>Did not Meet</v>
      </c>
      <c r="AD155" s="366" t="str">
        <f t="shared" si="42"/>
        <v>Met</v>
      </c>
      <c r="AF155" s="399">
        <v>700</v>
      </c>
      <c r="AG155" s="400" t="str">
        <f t="shared" si="49"/>
        <v>Did not Meet</v>
      </c>
      <c r="AI155" s="399">
        <v>527484.93999999994</v>
      </c>
      <c r="AJ155" s="400" t="str">
        <f t="shared" si="50"/>
        <v>Did not Meet</v>
      </c>
      <c r="AL155" s="399">
        <f>VLOOKUP(A155,$A$5:$AF$315,32,0)/IFERROR(VLOOKUP(A155,'21-22 child count'!$A$3:$S$317,19,0),0)</f>
        <v>9.7222222222222214</v>
      </c>
      <c r="AM155" s="400" t="str">
        <f t="shared" si="51"/>
        <v>Did not Meet</v>
      </c>
      <c r="AO155" s="399">
        <f>VLOOKUP(A155,'42. SEA or LEA Worksheet'!$A$4:$AB$318,28,0)/IFERROR(VLOOKUP('42. SEA or LEA Worksheet'!A141,'21-22 child count'!$A$3:$S$317,3,0),0)</f>
        <v>4661.8136283185831</v>
      </c>
      <c r="AP155" s="400" t="str">
        <f t="shared" si="52"/>
        <v>Did not Meet</v>
      </c>
      <c r="AR155" s="366" t="str">
        <f t="shared" si="43"/>
        <v>Met</v>
      </c>
      <c r="AU155" s="400" t="str">
        <f t="shared" si="53"/>
        <v>Did not Meet</v>
      </c>
      <c r="AX155" s="400" t="str">
        <f t="shared" si="54"/>
        <v>Did not Meet</v>
      </c>
      <c r="BA155" s="400" t="str">
        <f t="shared" si="55"/>
        <v>Did not Meet</v>
      </c>
      <c r="BD155" s="400" t="str">
        <f t="shared" si="56"/>
        <v>Did not Meet</v>
      </c>
      <c r="BF155" s="366" t="str">
        <f t="shared" si="44"/>
        <v>Met</v>
      </c>
    </row>
    <row r="156" spans="1:58">
      <c r="A156" t="s">
        <v>491</v>
      </c>
      <c r="B156" t="s">
        <v>974</v>
      </c>
      <c r="C156" s="360"/>
      <c r="D156" s="363">
        <v>107013.43</v>
      </c>
      <c r="E156" t="s">
        <v>834</v>
      </c>
      <c r="F156" s="360"/>
      <c r="G156" s="363">
        <v>701723.26</v>
      </c>
      <c r="H156" t="s">
        <v>834</v>
      </c>
      <c r="I156" s="360"/>
      <c r="J156" s="363">
        <v>1813.7869491525423</v>
      </c>
      <c r="K156" t="s">
        <v>855</v>
      </c>
      <c r="L156" s="360"/>
      <c r="M156" s="363">
        <v>11893.614576271186</v>
      </c>
      <c r="N156" t="s">
        <v>834</v>
      </c>
      <c r="O156" s="360"/>
      <c r="P156" s="366" t="str">
        <f t="shared" si="41"/>
        <v>Met</v>
      </c>
      <c r="Q156" s="360"/>
      <c r="R156" s="399">
        <v>133088.54999999999</v>
      </c>
      <c r="S156" s="400" t="str">
        <f t="shared" si="45"/>
        <v>Met</v>
      </c>
      <c r="U156" s="399">
        <v>797139.24</v>
      </c>
      <c r="V156" s="400" t="str">
        <f t="shared" si="46"/>
        <v>Met</v>
      </c>
      <c r="X156" s="399">
        <v>2559.395192307692</v>
      </c>
      <c r="Y156" s="400" t="str">
        <f t="shared" si="47"/>
        <v>Did not Meet</v>
      </c>
      <c r="AA156" s="399">
        <v>15329.600769230768</v>
      </c>
      <c r="AB156" s="400" t="str">
        <f t="shared" si="48"/>
        <v>Met</v>
      </c>
      <c r="AD156" s="366" t="str">
        <f t="shared" si="42"/>
        <v>Met</v>
      </c>
      <c r="AF156" s="399">
        <v>134152.26</v>
      </c>
      <c r="AG156" s="400" t="str">
        <f t="shared" si="49"/>
        <v>Met</v>
      </c>
      <c r="AI156" s="399">
        <v>994792.53</v>
      </c>
      <c r="AJ156" s="400" t="str">
        <f t="shared" si="50"/>
        <v>Met</v>
      </c>
      <c r="AL156" s="399">
        <f>VLOOKUP(A156,$A$5:$AF$315,32,0)/IFERROR(VLOOKUP(A156,'21-22 child count'!$A$3:$S$317,19,0),0)</f>
        <v>2683.0452</v>
      </c>
      <c r="AM156" s="400" t="str">
        <f t="shared" si="51"/>
        <v>Did not Meet</v>
      </c>
      <c r="AO156" s="399">
        <f>VLOOKUP(A156,'42. SEA or LEA Worksheet'!$A$4:$AB$318,28,0)/IFERROR(VLOOKUP('42. SEA or LEA Worksheet'!A152,'21-22 child count'!$A$3:$S$317,3,0),0)</f>
        <v>7609.0863716814156</v>
      </c>
      <c r="AP156" s="400" t="str">
        <f t="shared" si="52"/>
        <v>Did not Meet</v>
      </c>
      <c r="AR156" s="366" t="str">
        <f t="shared" si="43"/>
        <v>Met</v>
      </c>
      <c r="AU156" s="400" t="str">
        <f t="shared" si="53"/>
        <v>Did not Meet</v>
      </c>
      <c r="AX156" s="400" t="str">
        <f t="shared" si="54"/>
        <v>Did not Meet</v>
      </c>
      <c r="BA156" s="400" t="str">
        <f t="shared" si="55"/>
        <v>Did not Meet</v>
      </c>
      <c r="BD156" s="400" t="str">
        <f t="shared" si="56"/>
        <v>Did not Meet</v>
      </c>
      <c r="BF156" s="366" t="str">
        <f t="shared" si="44"/>
        <v>Met</v>
      </c>
    </row>
    <row r="157" spans="1:58">
      <c r="A157" t="s">
        <v>265</v>
      </c>
      <c r="B157" t="s">
        <v>869</v>
      </c>
      <c r="C157" s="360"/>
      <c r="D157" s="363">
        <v>2805.43</v>
      </c>
      <c r="E157" t="s">
        <v>855</v>
      </c>
      <c r="F157" s="360"/>
      <c r="G157" s="363">
        <v>1101679.3799999999</v>
      </c>
      <c r="H157" t="s">
        <v>834</v>
      </c>
      <c r="I157" s="360"/>
      <c r="J157" s="363">
        <v>21.74751937984496</v>
      </c>
      <c r="K157" t="s">
        <v>855</v>
      </c>
      <c r="L157" s="360"/>
      <c r="M157" s="363">
        <v>8540.1502325581387</v>
      </c>
      <c r="N157" t="s">
        <v>855</v>
      </c>
      <c r="O157" s="360"/>
      <c r="P157" s="366" t="str">
        <f t="shared" si="41"/>
        <v>Met</v>
      </c>
      <c r="Q157" s="360"/>
      <c r="R157" s="399">
        <v>2955</v>
      </c>
      <c r="S157" s="400" t="str">
        <f t="shared" si="45"/>
        <v>Did not Meet</v>
      </c>
      <c r="U157" s="399">
        <v>1081102.5</v>
      </c>
      <c r="V157" s="400" t="str">
        <f t="shared" si="46"/>
        <v>Met</v>
      </c>
      <c r="X157" s="399">
        <v>24.831932773109244</v>
      </c>
      <c r="Y157" s="400" t="str">
        <f t="shared" si="47"/>
        <v>Did not Meet</v>
      </c>
      <c r="AA157" s="399">
        <v>9084.8949579831933</v>
      </c>
      <c r="AB157" s="400" t="str">
        <f t="shared" si="48"/>
        <v>Did not Meet</v>
      </c>
      <c r="AD157" s="366" t="str">
        <f t="shared" si="42"/>
        <v>Met</v>
      </c>
      <c r="AF157" s="399">
        <v>3000</v>
      </c>
      <c r="AG157" s="400" t="str">
        <f t="shared" si="49"/>
        <v>Did not Meet</v>
      </c>
      <c r="AI157" s="399">
        <v>1144477.8400000001</v>
      </c>
      <c r="AJ157" s="400" t="str">
        <f t="shared" si="50"/>
        <v>Met</v>
      </c>
      <c r="AL157" s="399">
        <f>VLOOKUP(A157,$A$5:$AF$315,32,0)/IFERROR(VLOOKUP(A157,'21-22 child count'!$A$3:$S$317,19,0),0)</f>
        <v>21.897810218978101</v>
      </c>
      <c r="AM157" s="400" t="str">
        <f t="shared" si="51"/>
        <v>Did not Meet</v>
      </c>
      <c r="AO157" s="399">
        <f>VLOOKUP(A157,'42. SEA or LEA Worksheet'!$A$4:$AB$318,28,0)/IFERROR(VLOOKUP('42. SEA or LEA Worksheet'!A38,'21-22 child count'!$A$3:$S$317,3,0),0)</f>
        <v>11151.044356435643</v>
      </c>
      <c r="AP157" s="400" t="str">
        <f t="shared" si="52"/>
        <v>Did not Meet</v>
      </c>
      <c r="AR157" s="366" t="str">
        <f t="shared" si="43"/>
        <v>Met</v>
      </c>
      <c r="AU157" s="400" t="str">
        <f t="shared" si="53"/>
        <v>Did not Meet</v>
      </c>
      <c r="AX157" s="400" t="str">
        <f t="shared" si="54"/>
        <v>Did not Meet</v>
      </c>
      <c r="BA157" s="400" t="str">
        <f t="shared" si="55"/>
        <v>Did not Meet</v>
      </c>
      <c r="BD157" s="400" t="str">
        <f t="shared" si="56"/>
        <v>Did not Meet</v>
      </c>
      <c r="BF157" s="366" t="str">
        <f t="shared" si="44"/>
        <v>Met</v>
      </c>
    </row>
    <row r="158" spans="1:58">
      <c r="A158" t="s">
        <v>495</v>
      </c>
      <c r="B158" t="s">
        <v>976</v>
      </c>
      <c r="C158" s="360"/>
      <c r="D158" s="363">
        <v>1248</v>
      </c>
      <c r="E158" t="s">
        <v>834</v>
      </c>
      <c r="F158" s="360"/>
      <c r="G158" s="363">
        <v>965246.15</v>
      </c>
      <c r="H158" t="s">
        <v>834</v>
      </c>
      <c r="I158" s="360"/>
      <c r="J158" s="363">
        <v>12.606060606060606</v>
      </c>
      <c r="K158" t="s">
        <v>834</v>
      </c>
      <c r="L158" s="360"/>
      <c r="M158" s="363">
        <v>9749.9611111111117</v>
      </c>
      <c r="N158" t="s">
        <v>834</v>
      </c>
      <c r="O158" s="360"/>
      <c r="P158" s="366" t="str">
        <f t="shared" si="41"/>
        <v>Met</v>
      </c>
      <c r="Q158" s="360"/>
      <c r="R158" s="399">
        <v>1300</v>
      </c>
      <c r="S158" s="400" t="str">
        <f t="shared" si="45"/>
        <v>Met</v>
      </c>
      <c r="U158" s="399">
        <v>918446.2</v>
      </c>
      <c r="V158" s="400" t="str">
        <f t="shared" si="46"/>
        <v>Met</v>
      </c>
      <c r="X158" s="399">
        <v>13</v>
      </c>
      <c r="Y158" s="400" t="str">
        <f t="shared" si="47"/>
        <v>Met</v>
      </c>
      <c r="AA158" s="399">
        <v>9184.4619999999995</v>
      </c>
      <c r="AB158" s="400" t="str">
        <f t="shared" si="48"/>
        <v>Did not Meet</v>
      </c>
      <c r="AD158" s="366" t="str">
        <f t="shared" si="42"/>
        <v>Met</v>
      </c>
      <c r="AF158" s="399">
        <v>67922.23</v>
      </c>
      <c r="AG158" s="400" t="str">
        <f t="shared" si="49"/>
        <v>Met</v>
      </c>
      <c r="AI158" s="399">
        <v>1200350.1299999999</v>
      </c>
      <c r="AJ158" s="400" t="str">
        <f t="shared" si="50"/>
        <v>Met</v>
      </c>
      <c r="AL158" s="399">
        <f>VLOOKUP(A158,$A$5:$AF$315,32,0)/IFERROR(VLOOKUP(A158,'21-22 child count'!$A$3:$S$317,19,0),0)</f>
        <v>722.57691489361696</v>
      </c>
      <c r="AM158" s="400" t="str">
        <f t="shared" si="51"/>
        <v>Met</v>
      </c>
      <c r="AO158" s="399">
        <f>VLOOKUP(A158,'42. SEA or LEA Worksheet'!$A$4:$AB$318,28,0)/IFERROR(VLOOKUP('42. SEA or LEA Worksheet'!A154,'21-22 child count'!$A$3:$S$317,3,0),0)</f>
        <v>6594.8443274853798</v>
      </c>
      <c r="AP158" s="400" t="str">
        <f t="shared" si="52"/>
        <v>Did not Meet</v>
      </c>
      <c r="AR158" s="366" t="str">
        <f t="shared" si="43"/>
        <v>Met</v>
      </c>
      <c r="AU158" s="400" t="str">
        <f t="shared" si="53"/>
        <v>Did not Meet</v>
      </c>
      <c r="AX158" s="400" t="str">
        <f t="shared" si="54"/>
        <v>Did not Meet</v>
      </c>
      <c r="BA158" s="400" t="str">
        <f t="shared" si="55"/>
        <v>Did not Meet</v>
      </c>
      <c r="BD158" s="400" t="str">
        <f t="shared" si="56"/>
        <v>Did not Meet</v>
      </c>
      <c r="BF158" s="366" t="str">
        <f t="shared" si="44"/>
        <v>Met</v>
      </c>
    </row>
    <row r="159" spans="1:58">
      <c r="A159" t="s">
        <v>646</v>
      </c>
      <c r="B159" t="s">
        <v>1048</v>
      </c>
      <c r="C159" s="360"/>
      <c r="D159" s="363">
        <v>3871</v>
      </c>
      <c r="E159" t="s">
        <v>855</v>
      </c>
      <c r="F159" s="360"/>
      <c r="G159" s="363">
        <v>1879825.36</v>
      </c>
      <c r="H159" t="s">
        <v>834</v>
      </c>
      <c r="I159" s="360"/>
      <c r="J159" s="363">
        <v>28.674074074074074</v>
      </c>
      <c r="K159" t="s">
        <v>855</v>
      </c>
      <c r="L159" s="360"/>
      <c r="M159" s="363">
        <v>13924.632296296297</v>
      </c>
      <c r="N159" t="s">
        <v>834</v>
      </c>
      <c r="O159" s="360"/>
      <c r="P159" s="366" t="str">
        <f t="shared" si="41"/>
        <v>Met</v>
      </c>
      <c r="Q159" s="360"/>
      <c r="R159" s="399">
        <v>4503.3999999999996</v>
      </c>
      <c r="S159" s="400" t="str">
        <f t="shared" si="45"/>
        <v>Did not Meet</v>
      </c>
      <c r="U159" s="399">
        <v>1944544</v>
      </c>
      <c r="V159" s="400" t="str">
        <f t="shared" si="46"/>
        <v>Met</v>
      </c>
      <c r="X159" s="399">
        <v>29.823841059602646</v>
      </c>
      <c r="Y159" s="400" t="str">
        <f t="shared" si="47"/>
        <v>Did not Meet</v>
      </c>
      <c r="AA159" s="399">
        <v>12877.774834437087</v>
      </c>
      <c r="AB159" s="400" t="str">
        <f t="shared" si="48"/>
        <v>Did not Meet</v>
      </c>
      <c r="AD159" s="366" t="str">
        <f t="shared" si="42"/>
        <v>Met</v>
      </c>
      <c r="AF159" s="399">
        <v>2616.4499999999998</v>
      </c>
      <c r="AG159" s="400" t="str">
        <f t="shared" si="49"/>
        <v>Did not Meet</v>
      </c>
      <c r="AI159" s="399">
        <v>1881925.32</v>
      </c>
      <c r="AJ159" s="400" t="str">
        <f t="shared" si="50"/>
        <v>Did not Meet</v>
      </c>
      <c r="AL159" s="399">
        <f>VLOOKUP(A159,$A$5:$AF$315,32,0)/IFERROR(VLOOKUP(A159,'21-22 child count'!$A$3:$S$317,19,0),0)</f>
        <v>18.296853146853145</v>
      </c>
      <c r="AM159" s="400" t="str">
        <f t="shared" si="51"/>
        <v>Did not Meet</v>
      </c>
      <c r="AO159" s="399">
        <f>VLOOKUP(A159,'42. SEA or LEA Worksheet'!$A$4:$AB$318,28,0)/IFERROR(VLOOKUP('42. SEA or LEA Worksheet'!A227,'21-22 child count'!$A$3:$S$317,3,0),0)</f>
        <v>15485.004793388429</v>
      </c>
      <c r="AP159" s="400" t="str">
        <f t="shared" si="52"/>
        <v>Did not Meet</v>
      </c>
      <c r="AR159" s="366" t="str">
        <f t="shared" si="43"/>
        <v>Met</v>
      </c>
      <c r="AU159" s="400" t="str">
        <f t="shared" si="53"/>
        <v>Did not Meet</v>
      </c>
      <c r="AX159" s="400" t="str">
        <f t="shared" si="54"/>
        <v>Did not Meet</v>
      </c>
      <c r="BA159" s="400" t="str">
        <f t="shared" si="55"/>
        <v>Did not Meet</v>
      </c>
      <c r="BD159" s="400" t="str">
        <f t="shared" si="56"/>
        <v>Did not Meet</v>
      </c>
      <c r="BF159" s="366" t="str">
        <f t="shared" si="44"/>
        <v>Met</v>
      </c>
    </row>
    <row r="160" spans="1:58">
      <c r="A160" t="s">
        <v>200</v>
      </c>
      <c r="B160" t="s">
        <v>841</v>
      </c>
      <c r="C160" s="360"/>
      <c r="D160" s="363">
        <v>0</v>
      </c>
      <c r="E160" t="s">
        <v>855</v>
      </c>
      <c r="F160" s="360"/>
      <c r="G160" s="363">
        <v>844513</v>
      </c>
      <c r="H160" t="s">
        <v>834</v>
      </c>
      <c r="I160" s="360"/>
      <c r="J160" s="363">
        <v>0</v>
      </c>
      <c r="K160" t="s">
        <v>855</v>
      </c>
      <c r="L160" s="360"/>
      <c r="M160" s="363">
        <v>9280.3626373626375</v>
      </c>
      <c r="N160" t="s">
        <v>855</v>
      </c>
      <c r="O160" s="360"/>
      <c r="P160" s="366" t="str">
        <f t="shared" si="41"/>
        <v>Met</v>
      </c>
      <c r="Q160" s="360"/>
      <c r="R160" s="399">
        <v>4126.05</v>
      </c>
      <c r="S160" s="400" t="str">
        <f t="shared" si="45"/>
        <v>Did not Meet</v>
      </c>
      <c r="U160" s="399">
        <v>875680.07000000007</v>
      </c>
      <c r="V160" s="400" t="str">
        <f t="shared" si="46"/>
        <v>Met</v>
      </c>
      <c r="X160" s="399">
        <v>46.360112359550563</v>
      </c>
      <c r="Y160" s="400" t="str">
        <f t="shared" si="47"/>
        <v>Did not Meet</v>
      </c>
      <c r="AA160" s="399">
        <v>9839.1019101123602</v>
      </c>
      <c r="AB160" s="400" t="str">
        <f t="shared" si="48"/>
        <v>Did not Meet</v>
      </c>
      <c r="AD160" s="366" t="str">
        <f t="shared" si="42"/>
        <v>Met</v>
      </c>
      <c r="AF160" s="399">
        <v>0</v>
      </c>
      <c r="AG160" s="400" t="str">
        <f t="shared" si="49"/>
        <v>Did not Meet</v>
      </c>
      <c r="AI160" s="399">
        <v>890404.38</v>
      </c>
      <c r="AJ160" s="400" t="str">
        <f t="shared" si="50"/>
        <v>Met</v>
      </c>
      <c r="AL160" s="399">
        <f>VLOOKUP(A160,$A$5:$AF$315,32,0)/IFERROR(VLOOKUP(A160,'21-22 child count'!$A$3:$S$317,19,0),0)</f>
        <v>0</v>
      </c>
      <c r="AM160" s="400" t="str">
        <f t="shared" si="51"/>
        <v>Did not Meet</v>
      </c>
      <c r="AO160" s="399">
        <f>VLOOKUP(A160,'42. SEA or LEA Worksheet'!$A$4:$AB$318,28,0)/IFERROR(VLOOKUP('42. SEA or LEA Worksheet'!A9,'21-22 child count'!$A$3:$S$317,3,0),0)</f>
        <v>7041.6020325203253</v>
      </c>
      <c r="AP160" s="400" t="str">
        <f t="shared" si="52"/>
        <v>Did not Meet</v>
      </c>
      <c r="AR160" s="366" t="str">
        <f t="shared" si="43"/>
        <v>Met</v>
      </c>
      <c r="AU160" s="400" t="str">
        <f t="shared" si="53"/>
        <v>Did not Meet</v>
      </c>
      <c r="AX160" s="400" t="str">
        <f t="shared" si="54"/>
        <v>Did not Meet</v>
      </c>
      <c r="BA160" s="400" t="str">
        <f t="shared" si="55"/>
        <v>Did not Meet</v>
      </c>
      <c r="BD160" s="400" t="str">
        <f t="shared" si="56"/>
        <v>Did not Meet</v>
      </c>
      <c r="BF160" s="366" t="str">
        <f t="shared" si="44"/>
        <v>Met</v>
      </c>
    </row>
    <row r="161" spans="1:58">
      <c r="A161" t="s">
        <v>501</v>
      </c>
      <c r="B161" t="s">
        <v>979</v>
      </c>
      <c r="C161" s="360"/>
      <c r="D161" s="363">
        <v>0</v>
      </c>
      <c r="E161" t="s">
        <v>834</v>
      </c>
      <c r="F161" s="360"/>
      <c r="G161" s="363">
        <v>76712.08</v>
      </c>
      <c r="H161" t="s">
        <v>834</v>
      </c>
      <c r="I161" s="360"/>
      <c r="J161" s="363">
        <v>0</v>
      </c>
      <c r="K161" t="s">
        <v>834</v>
      </c>
      <c r="L161" s="360"/>
      <c r="M161" s="363">
        <v>9589.01</v>
      </c>
      <c r="N161" t="s">
        <v>855</v>
      </c>
      <c r="O161" s="360"/>
      <c r="P161" s="366" t="str">
        <f t="shared" si="41"/>
        <v>Met</v>
      </c>
      <c r="Q161" s="360"/>
      <c r="R161" s="399">
        <v>0</v>
      </c>
      <c r="S161" s="400" t="str">
        <f t="shared" si="45"/>
        <v>Met</v>
      </c>
      <c r="U161" s="399">
        <v>69221.289999999994</v>
      </c>
      <c r="V161" s="400" t="str">
        <f t="shared" si="46"/>
        <v>Met</v>
      </c>
      <c r="X161" s="399">
        <v>0</v>
      </c>
      <c r="Y161" s="400" t="str">
        <f t="shared" si="47"/>
        <v>Met</v>
      </c>
      <c r="AA161" s="399">
        <v>9888.7557142857131</v>
      </c>
      <c r="AB161" s="400" t="str">
        <f t="shared" si="48"/>
        <v>Did not Meet</v>
      </c>
      <c r="AD161" s="366" t="str">
        <f t="shared" si="42"/>
        <v>Met</v>
      </c>
      <c r="AF161" s="399">
        <v>0</v>
      </c>
      <c r="AG161" s="400" t="str">
        <f t="shared" si="49"/>
        <v>Met</v>
      </c>
      <c r="AI161" s="399">
        <v>43449.8</v>
      </c>
      <c r="AJ161" s="400" t="str">
        <f t="shared" si="50"/>
        <v>Did not Meet</v>
      </c>
      <c r="AL161" s="399">
        <f>VLOOKUP(A161,$A$5:$AF$315,32,0)/IFERROR(VLOOKUP(A161,'21-22 child count'!$A$3:$S$317,19,0),0)</f>
        <v>0</v>
      </c>
      <c r="AM161" s="400" t="str">
        <f t="shared" si="51"/>
        <v>Met</v>
      </c>
      <c r="AO161" s="399">
        <f>VLOOKUP(A161,'42. SEA or LEA Worksheet'!$A$4:$AB$318,28,0)/IFERROR(VLOOKUP('42. SEA or LEA Worksheet'!A157,'21-22 child count'!$A$3:$S$317,3,0),0)</f>
        <v>229.89312169312171</v>
      </c>
      <c r="AP161" s="400" t="str">
        <f t="shared" si="52"/>
        <v>Did not Meet</v>
      </c>
      <c r="AR161" s="366" t="str">
        <f t="shared" si="43"/>
        <v>Met</v>
      </c>
      <c r="AU161" s="400" t="str">
        <f t="shared" si="53"/>
        <v>Met</v>
      </c>
      <c r="AX161" s="400" t="str">
        <f t="shared" si="54"/>
        <v>Did not Meet</v>
      </c>
      <c r="BA161" s="400" t="str">
        <f t="shared" si="55"/>
        <v>Met</v>
      </c>
      <c r="BD161" s="400" t="str">
        <f t="shared" si="56"/>
        <v>Did not Meet</v>
      </c>
      <c r="BF161" s="366" t="str">
        <f t="shared" si="44"/>
        <v>Met</v>
      </c>
    </row>
    <row r="162" spans="1:58">
      <c r="A162" t="s">
        <v>791</v>
      </c>
      <c r="B162" t="s">
        <v>1114</v>
      </c>
      <c r="C162" s="360"/>
      <c r="D162" s="363">
        <v>4369.38</v>
      </c>
      <c r="E162" t="s">
        <v>834</v>
      </c>
      <c r="F162" s="360"/>
      <c r="G162" s="363">
        <v>538712.44000000006</v>
      </c>
      <c r="H162" t="s">
        <v>834</v>
      </c>
      <c r="I162" s="360"/>
      <c r="J162" s="363">
        <v>68.271562500000002</v>
      </c>
      <c r="K162" t="s">
        <v>855</v>
      </c>
      <c r="L162" s="360"/>
      <c r="M162" s="363">
        <v>8417.3818750000009</v>
      </c>
      <c r="N162" t="s">
        <v>834</v>
      </c>
      <c r="O162" s="360"/>
      <c r="P162" s="366" t="str">
        <f t="shared" si="41"/>
        <v>Met</v>
      </c>
      <c r="Q162" s="360"/>
      <c r="R162" s="399">
        <v>4185.79</v>
      </c>
      <c r="S162" s="400" t="str">
        <f t="shared" si="45"/>
        <v>Did not Meet</v>
      </c>
      <c r="U162" s="399">
        <v>538940.28</v>
      </c>
      <c r="V162" s="400" t="str">
        <f t="shared" si="46"/>
        <v>Met</v>
      </c>
      <c r="X162" s="399">
        <v>73.434912280701752</v>
      </c>
      <c r="Y162" s="400" t="str">
        <f t="shared" si="47"/>
        <v>Did not Meet</v>
      </c>
      <c r="AA162" s="399">
        <v>9455.0926315789475</v>
      </c>
      <c r="AB162" s="400" t="str">
        <f t="shared" si="48"/>
        <v>Met</v>
      </c>
      <c r="AD162" s="366" t="str">
        <f t="shared" si="42"/>
        <v>Met</v>
      </c>
      <c r="AF162" s="399">
        <v>5546.32</v>
      </c>
      <c r="AG162" s="400" t="str">
        <f t="shared" si="49"/>
        <v>Did not Meet</v>
      </c>
      <c r="AI162" s="399">
        <v>660252.39999999991</v>
      </c>
      <c r="AJ162" s="400" t="str">
        <f t="shared" si="50"/>
        <v>Met</v>
      </c>
      <c r="AL162" s="399">
        <f>VLOOKUP(A162,$A$5:$AF$315,32,0)/IFERROR(VLOOKUP(A162,'21-22 child count'!$A$3:$S$317,19,0),0)</f>
        <v>88.036825396825392</v>
      </c>
      <c r="AM162" s="400" t="str">
        <f t="shared" si="51"/>
        <v>Did not Meet</v>
      </c>
      <c r="AO162" s="399">
        <f>VLOOKUP(A162,'42. SEA or LEA Worksheet'!$A$4:$AB$318,28,0)/IFERROR(VLOOKUP('42. SEA or LEA Worksheet'!A297,'21-22 child count'!$A$3:$S$317,3,0),0)</f>
        <v>5820.1980357142847</v>
      </c>
      <c r="AP162" s="400" t="str">
        <f t="shared" si="52"/>
        <v>Did not Meet</v>
      </c>
      <c r="AR162" s="366" t="str">
        <f t="shared" si="43"/>
        <v>Met</v>
      </c>
      <c r="AU162" s="400" t="str">
        <f t="shared" si="53"/>
        <v>Did not Meet</v>
      </c>
      <c r="AX162" s="400" t="str">
        <f t="shared" si="54"/>
        <v>Did not Meet</v>
      </c>
      <c r="BA162" s="400" t="str">
        <f t="shared" si="55"/>
        <v>Did not Meet</v>
      </c>
      <c r="BD162" s="400" t="str">
        <f t="shared" si="56"/>
        <v>Did not Meet</v>
      </c>
      <c r="BF162" s="366" t="str">
        <f t="shared" si="44"/>
        <v>Met</v>
      </c>
    </row>
    <row r="163" spans="1:58">
      <c r="A163" t="s">
        <v>309</v>
      </c>
      <c r="B163" t="s">
        <v>892</v>
      </c>
      <c r="C163" s="360"/>
      <c r="D163" s="363">
        <v>2157.02</v>
      </c>
      <c r="E163" t="s">
        <v>855</v>
      </c>
      <c r="F163" s="360"/>
      <c r="G163" s="363">
        <v>638159.17000000004</v>
      </c>
      <c r="H163" t="s">
        <v>834</v>
      </c>
      <c r="I163" s="360"/>
      <c r="J163" s="363">
        <v>29.548219178082192</v>
      </c>
      <c r="K163" t="s">
        <v>855</v>
      </c>
      <c r="L163" s="360"/>
      <c r="M163" s="363">
        <v>8741.9064383561654</v>
      </c>
      <c r="N163" t="s">
        <v>834</v>
      </c>
      <c r="O163" s="360"/>
      <c r="P163" s="366" t="str">
        <f t="shared" si="41"/>
        <v>Met</v>
      </c>
      <c r="Q163" s="360"/>
      <c r="R163" s="399">
        <v>6121.55</v>
      </c>
      <c r="S163" s="400" t="str">
        <f t="shared" si="45"/>
        <v>Did not Meet</v>
      </c>
      <c r="U163" s="399">
        <v>626506.75</v>
      </c>
      <c r="V163" s="400" t="str">
        <f t="shared" si="46"/>
        <v>Met</v>
      </c>
      <c r="X163" s="399">
        <v>81.620666666666665</v>
      </c>
      <c r="Y163" s="400" t="str">
        <f t="shared" si="47"/>
        <v>Did not Meet</v>
      </c>
      <c r="AA163" s="399">
        <v>8353.4233333333341</v>
      </c>
      <c r="AB163" s="400" t="str">
        <f t="shared" si="48"/>
        <v>Did not Meet</v>
      </c>
      <c r="AD163" s="366" t="str">
        <f t="shared" si="42"/>
        <v>Met</v>
      </c>
      <c r="AF163" s="399">
        <v>6121.55</v>
      </c>
      <c r="AG163" s="400" t="str">
        <f t="shared" si="49"/>
        <v>Did not Meet</v>
      </c>
      <c r="AI163" s="399">
        <v>805616.60000000009</v>
      </c>
      <c r="AJ163" s="400" t="str">
        <f t="shared" si="50"/>
        <v>Met</v>
      </c>
      <c r="AL163" s="399">
        <f>VLOOKUP(A163,$A$5:$AF$315,32,0)/IFERROR(VLOOKUP(A163,'21-22 child count'!$A$3:$S$317,19,0),0)</f>
        <v>79.500649350649354</v>
      </c>
      <c r="AM163" s="400" t="str">
        <f t="shared" si="51"/>
        <v>Did not Meet</v>
      </c>
      <c r="AO163" s="399">
        <f>VLOOKUP(A163,'42. SEA or LEA Worksheet'!$A$4:$AB$318,28,0)/IFERROR(VLOOKUP('42. SEA or LEA Worksheet'!A60,'21-22 child count'!$A$3:$S$317,3,0),0)</f>
        <v>4230.1325396825396</v>
      </c>
      <c r="AP163" s="400" t="str">
        <f t="shared" si="52"/>
        <v>Did not Meet</v>
      </c>
      <c r="AR163" s="366" t="str">
        <f t="shared" si="43"/>
        <v>Met</v>
      </c>
      <c r="AU163" s="400" t="str">
        <f t="shared" si="53"/>
        <v>Did not Meet</v>
      </c>
      <c r="AX163" s="400" t="str">
        <f t="shared" si="54"/>
        <v>Did not Meet</v>
      </c>
      <c r="BA163" s="400" t="str">
        <f t="shared" si="55"/>
        <v>Did not Meet</v>
      </c>
      <c r="BD163" s="400" t="str">
        <f t="shared" si="56"/>
        <v>Did not Meet</v>
      </c>
      <c r="BF163" s="366" t="str">
        <f t="shared" si="44"/>
        <v>Met</v>
      </c>
    </row>
    <row r="164" spans="1:58">
      <c r="A164" t="s">
        <v>507</v>
      </c>
      <c r="B164" t="s">
        <v>982</v>
      </c>
      <c r="C164" s="360"/>
      <c r="D164" s="363">
        <v>0</v>
      </c>
      <c r="E164" t="s">
        <v>834</v>
      </c>
      <c r="F164" s="360"/>
      <c r="G164" s="363">
        <v>1530275.47</v>
      </c>
      <c r="H164" t="s">
        <v>834</v>
      </c>
      <c r="I164" s="360"/>
      <c r="J164" s="363">
        <v>0</v>
      </c>
      <c r="K164" t="s">
        <v>834</v>
      </c>
      <c r="L164" s="360"/>
      <c r="M164" s="363">
        <v>8645.6241242937849</v>
      </c>
      <c r="N164" t="s">
        <v>855</v>
      </c>
      <c r="O164" s="360"/>
      <c r="P164" s="366" t="str">
        <f t="shared" si="41"/>
        <v>Met</v>
      </c>
      <c r="Q164" s="360"/>
      <c r="R164" s="399">
        <v>0</v>
      </c>
      <c r="S164" s="400" t="str">
        <f t="shared" si="45"/>
        <v>Met</v>
      </c>
      <c r="U164" s="399">
        <v>1550306.81</v>
      </c>
      <c r="V164" s="400" t="str">
        <f t="shared" si="46"/>
        <v>Met</v>
      </c>
      <c r="X164" s="399">
        <v>0</v>
      </c>
      <c r="Y164" s="400" t="str">
        <f t="shared" si="47"/>
        <v>Met</v>
      </c>
      <c r="AA164" s="399">
        <v>9511.0847239263803</v>
      </c>
      <c r="AB164" s="400" t="str">
        <f t="shared" si="48"/>
        <v>Did not Meet</v>
      </c>
      <c r="AD164" s="366" t="str">
        <f t="shared" si="42"/>
        <v>Met</v>
      </c>
      <c r="AF164" s="399">
        <v>0</v>
      </c>
      <c r="AG164" s="400" t="str">
        <f t="shared" si="49"/>
        <v>Met</v>
      </c>
      <c r="AI164" s="399">
        <v>1576504.45</v>
      </c>
      <c r="AJ164" s="400" t="str">
        <f t="shared" si="50"/>
        <v>Met</v>
      </c>
      <c r="AL164" s="399">
        <f>VLOOKUP(A164,$A$5:$AF$315,32,0)/IFERROR(VLOOKUP(A164,'21-22 child count'!$A$3:$S$317,19,0),0)</f>
        <v>0</v>
      </c>
      <c r="AM164" s="400" t="str">
        <f t="shared" si="51"/>
        <v>Met</v>
      </c>
      <c r="AO164" s="399">
        <f>VLOOKUP(A164,'42. SEA or LEA Worksheet'!$A$4:$AB$318,28,0)/IFERROR(VLOOKUP('42. SEA or LEA Worksheet'!A160,'21-22 child count'!$A$3:$S$317,3,0),0)</f>
        <v>8341.2933862433856</v>
      </c>
      <c r="AP164" s="400" t="str">
        <f t="shared" si="52"/>
        <v>Did not Meet</v>
      </c>
      <c r="AR164" s="366" t="str">
        <f t="shared" si="43"/>
        <v>Met</v>
      </c>
      <c r="AU164" s="400" t="str">
        <f t="shared" si="53"/>
        <v>Met</v>
      </c>
      <c r="AX164" s="400" t="str">
        <f t="shared" si="54"/>
        <v>Did not Meet</v>
      </c>
      <c r="BA164" s="400" t="str">
        <f t="shared" si="55"/>
        <v>Met</v>
      </c>
      <c r="BD164" s="400" t="str">
        <f t="shared" si="56"/>
        <v>Did not Meet</v>
      </c>
      <c r="BF164" s="366" t="str">
        <f t="shared" si="44"/>
        <v>Met</v>
      </c>
    </row>
    <row r="165" spans="1:58">
      <c r="A165" t="s">
        <v>575</v>
      </c>
      <c r="B165" t="s">
        <v>1016</v>
      </c>
      <c r="C165" s="360"/>
      <c r="D165" s="363">
        <v>0</v>
      </c>
      <c r="E165" t="s">
        <v>834</v>
      </c>
      <c r="F165" s="360"/>
      <c r="G165" s="363">
        <v>248395.06</v>
      </c>
      <c r="H165" t="s">
        <v>834</v>
      </c>
      <c r="I165" s="360"/>
      <c r="J165" s="363">
        <v>0</v>
      </c>
      <c r="K165" t="s">
        <v>834</v>
      </c>
      <c r="L165" s="360"/>
      <c r="M165" s="363">
        <v>12419.753000000001</v>
      </c>
      <c r="N165" t="s">
        <v>855</v>
      </c>
      <c r="O165" s="360"/>
      <c r="P165" s="366" t="str">
        <f t="shared" si="41"/>
        <v>Met</v>
      </c>
      <c r="Q165" s="360"/>
      <c r="R165" s="399">
        <v>2500</v>
      </c>
      <c r="S165" s="400" t="str">
        <f t="shared" si="45"/>
        <v>Met</v>
      </c>
      <c r="U165" s="399">
        <v>240239.7</v>
      </c>
      <c r="V165" s="400" t="str">
        <f t="shared" si="46"/>
        <v>Met</v>
      </c>
      <c r="X165" s="399">
        <v>125</v>
      </c>
      <c r="Y165" s="400" t="str">
        <f t="shared" si="47"/>
        <v>Met</v>
      </c>
      <c r="AA165" s="399">
        <v>12011.985000000001</v>
      </c>
      <c r="AB165" s="400" t="str">
        <f t="shared" si="48"/>
        <v>Did not Meet</v>
      </c>
      <c r="AD165" s="366" t="str">
        <f t="shared" si="42"/>
        <v>Met</v>
      </c>
      <c r="AF165" s="399">
        <v>384.92</v>
      </c>
      <c r="AG165" s="400" t="str">
        <f t="shared" si="49"/>
        <v>Did not Meet</v>
      </c>
      <c r="AI165" s="399">
        <v>223064.38</v>
      </c>
      <c r="AJ165" s="400" t="str">
        <f t="shared" si="50"/>
        <v>Did not Meet</v>
      </c>
      <c r="AL165" s="399">
        <f>VLOOKUP(A165,$A$5:$AF$315,32,0)/IFERROR(VLOOKUP(A165,'21-22 child count'!$A$3:$S$317,19,0),0)</f>
        <v>19.246000000000002</v>
      </c>
      <c r="AM165" s="400" t="str">
        <f t="shared" si="51"/>
        <v>Did not Meet</v>
      </c>
      <c r="AO165" s="399">
        <f>VLOOKUP(A165,'42. SEA or LEA Worksheet'!$A$4:$AB$318,28,0)/IFERROR(VLOOKUP('42. SEA or LEA Worksheet'!A194,'21-22 child count'!$A$3:$S$317,3,0),0)</f>
        <v>1302.2190643274855</v>
      </c>
      <c r="AP165" s="400" t="str">
        <f t="shared" si="52"/>
        <v>Did not Meet</v>
      </c>
      <c r="AR165" s="366" t="str">
        <f t="shared" si="43"/>
        <v>Met</v>
      </c>
      <c r="AU165" s="400" t="str">
        <f t="shared" si="53"/>
        <v>Did not Meet</v>
      </c>
      <c r="AX165" s="400" t="str">
        <f t="shared" si="54"/>
        <v>Did not Meet</v>
      </c>
      <c r="BA165" s="400" t="str">
        <f t="shared" si="55"/>
        <v>Did not Meet</v>
      </c>
      <c r="BD165" s="400" t="str">
        <f t="shared" si="56"/>
        <v>Did not Meet</v>
      </c>
      <c r="BF165" s="366" t="str">
        <f t="shared" si="44"/>
        <v>Met</v>
      </c>
    </row>
    <row r="166" spans="1:58">
      <c r="A166" t="s">
        <v>511</v>
      </c>
      <c r="B166" t="s">
        <v>984</v>
      </c>
      <c r="C166" s="360"/>
      <c r="D166" s="363">
        <v>0</v>
      </c>
      <c r="E166" t="s">
        <v>834</v>
      </c>
      <c r="F166" s="360"/>
      <c r="G166" s="363">
        <v>472440.6</v>
      </c>
      <c r="H166" t="s">
        <v>834</v>
      </c>
      <c r="I166" s="360"/>
      <c r="J166" s="363">
        <v>0</v>
      </c>
      <c r="K166" t="s">
        <v>834</v>
      </c>
      <c r="L166" s="360"/>
      <c r="M166" s="363">
        <v>6216.3236842105262</v>
      </c>
      <c r="N166" t="s">
        <v>855</v>
      </c>
      <c r="O166" s="360"/>
      <c r="P166" s="366" t="str">
        <f t="shared" si="41"/>
        <v>Met</v>
      </c>
      <c r="Q166" s="360"/>
      <c r="R166" s="399">
        <v>0</v>
      </c>
      <c r="S166" s="400" t="str">
        <f t="shared" si="45"/>
        <v>Met</v>
      </c>
      <c r="U166" s="399">
        <v>461393.21</v>
      </c>
      <c r="V166" s="400" t="str">
        <f t="shared" si="46"/>
        <v>Met</v>
      </c>
      <c r="X166" s="399">
        <v>0</v>
      </c>
      <c r="Y166" s="400" t="str">
        <f t="shared" si="47"/>
        <v>Met</v>
      </c>
      <c r="AA166" s="399">
        <v>9046.9256862745096</v>
      </c>
      <c r="AB166" s="400" t="str">
        <f t="shared" si="48"/>
        <v>Did not Meet</v>
      </c>
      <c r="AD166" s="366" t="str">
        <f t="shared" si="42"/>
        <v>Met</v>
      </c>
      <c r="AF166" s="399">
        <v>0</v>
      </c>
      <c r="AG166" s="400" t="str">
        <f t="shared" si="49"/>
        <v>Met</v>
      </c>
      <c r="AI166" s="399">
        <v>397271.53</v>
      </c>
      <c r="AJ166" s="400" t="str">
        <f t="shared" si="50"/>
        <v>Did not Meet</v>
      </c>
      <c r="AL166" s="399">
        <f>VLOOKUP(A166,$A$5:$AF$315,32,0)/IFERROR(VLOOKUP(A166,'21-22 child count'!$A$3:$S$317,19,0),0)</f>
        <v>0</v>
      </c>
      <c r="AM166" s="400" t="str">
        <f t="shared" si="51"/>
        <v>Met</v>
      </c>
      <c r="AO166" s="399">
        <f>VLOOKUP(A166,'42. SEA or LEA Worksheet'!$A$4:$AB$318,28,0)/IFERROR(VLOOKUP('42. SEA or LEA Worksheet'!A162,'21-22 child count'!$A$3:$S$317,3,0),0)</f>
        <v>3515.6772566371683</v>
      </c>
      <c r="AP166" s="400" t="str">
        <f t="shared" si="52"/>
        <v>Did not Meet</v>
      </c>
      <c r="AR166" s="366" t="str">
        <f t="shared" si="43"/>
        <v>Met</v>
      </c>
      <c r="AU166" s="400" t="str">
        <f t="shared" si="53"/>
        <v>Met</v>
      </c>
      <c r="AX166" s="400" t="str">
        <f t="shared" si="54"/>
        <v>Did not Meet</v>
      </c>
      <c r="BA166" s="400" t="str">
        <f t="shared" si="55"/>
        <v>Met</v>
      </c>
      <c r="BD166" s="400" t="str">
        <f t="shared" si="56"/>
        <v>Did not Meet</v>
      </c>
      <c r="BF166" s="366" t="str">
        <f t="shared" si="44"/>
        <v>Met</v>
      </c>
    </row>
    <row r="167" spans="1:58">
      <c r="A167" t="s">
        <v>513</v>
      </c>
      <c r="B167" t="s">
        <v>985</v>
      </c>
      <c r="C167" s="360"/>
      <c r="D167" s="363">
        <v>0</v>
      </c>
      <c r="E167" t="s">
        <v>834</v>
      </c>
      <c r="F167" s="360"/>
      <c r="G167" s="363">
        <v>200104.79</v>
      </c>
      <c r="H167" t="s">
        <v>834</v>
      </c>
      <c r="I167" s="360"/>
      <c r="J167" s="363">
        <v>0</v>
      </c>
      <c r="K167" t="s">
        <v>834</v>
      </c>
      <c r="L167" s="360"/>
      <c r="M167" s="363">
        <v>6454.9932258064518</v>
      </c>
      <c r="N167" t="s">
        <v>834</v>
      </c>
      <c r="O167" s="360"/>
      <c r="P167" s="366" t="str">
        <f t="shared" si="41"/>
        <v>Met</v>
      </c>
      <c r="Q167" s="360"/>
      <c r="R167" s="399">
        <v>0</v>
      </c>
      <c r="S167" s="400" t="str">
        <f t="shared" si="45"/>
        <v>Met</v>
      </c>
      <c r="U167" s="399">
        <v>204565.61</v>
      </c>
      <c r="V167" s="400" t="str">
        <f t="shared" si="46"/>
        <v>Met</v>
      </c>
      <c r="X167" s="399">
        <v>0</v>
      </c>
      <c r="Y167" s="400" t="str">
        <f t="shared" si="47"/>
        <v>Met</v>
      </c>
      <c r="AA167" s="399">
        <v>6818.853666666666</v>
      </c>
      <c r="AB167" s="400" t="str">
        <f t="shared" si="48"/>
        <v>Met</v>
      </c>
      <c r="AD167" s="366" t="str">
        <f t="shared" si="42"/>
        <v>Met</v>
      </c>
      <c r="AF167" s="399">
        <v>0</v>
      </c>
      <c r="AG167" s="400" t="str">
        <f t="shared" si="49"/>
        <v>Met</v>
      </c>
      <c r="AI167" s="399">
        <v>157280.07999999999</v>
      </c>
      <c r="AJ167" s="400" t="str">
        <f t="shared" si="50"/>
        <v>Did not Meet</v>
      </c>
      <c r="AL167" s="399">
        <f>VLOOKUP(A167,$A$5:$AF$315,32,0)/IFERROR(VLOOKUP(A167,'21-22 child count'!$A$3:$S$317,19,0),0)</f>
        <v>0</v>
      </c>
      <c r="AM167" s="400" t="str">
        <f t="shared" si="51"/>
        <v>Met</v>
      </c>
      <c r="AO167" s="399">
        <f>VLOOKUP(A167,'42. SEA or LEA Worksheet'!$A$4:$AB$318,28,0)/IFERROR(VLOOKUP('42. SEA or LEA Worksheet'!A163,'21-22 child count'!$A$3:$S$317,3,0),0)</f>
        <v>1404.2864285714284</v>
      </c>
      <c r="AP167" s="400" t="str">
        <f t="shared" si="52"/>
        <v>Did not Meet</v>
      </c>
      <c r="AR167" s="366" t="str">
        <f t="shared" si="43"/>
        <v>Met</v>
      </c>
      <c r="AU167" s="400" t="str">
        <f t="shared" si="53"/>
        <v>Met</v>
      </c>
      <c r="AX167" s="400" t="str">
        <f t="shared" si="54"/>
        <v>Did not Meet</v>
      </c>
      <c r="BA167" s="400" t="str">
        <f t="shared" si="55"/>
        <v>Met</v>
      </c>
      <c r="BD167" s="400" t="str">
        <f t="shared" si="56"/>
        <v>Did not Meet</v>
      </c>
      <c r="BF167" s="366" t="str">
        <f t="shared" si="44"/>
        <v>Met</v>
      </c>
    </row>
    <row r="168" spans="1:58">
      <c r="A168" t="s">
        <v>363</v>
      </c>
      <c r="B168" t="s">
        <v>918</v>
      </c>
      <c r="C168" s="360"/>
      <c r="D168" s="363">
        <v>0</v>
      </c>
      <c r="E168" t="s">
        <v>834</v>
      </c>
      <c r="F168" s="360"/>
      <c r="G168" s="363">
        <v>227562.34</v>
      </c>
      <c r="H168" t="s">
        <v>879</v>
      </c>
      <c r="I168" s="360"/>
      <c r="J168" s="363">
        <v>0</v>
      </c>
      <c r="K168" t="s">
        <v>834</v>
      </c>
      <c r="L168" s="360"/>
      <c r="M168" s="363">
        <v>15170.822666666667</v>
      </c>
      <c r="N168" t="s">
        <v>834</v>
      </c>
      <c r="O168" s="360"/>
      <c r="P168" s="366" t="str">
        <f t="shared" si="41"/>
        <v>Met</v>
      </c>
      <c r="Q168" s="360"/>
      <c r="R168" s="399">
        <v>2913.78</v>
      </c>
      <c r="S168" s="400" t="str">
        <f t="shared" si="45"/>
        <v>Met</v>
      </c>
      <c r="U168" s="399">
        <v>162913.78</v>
      </c>
      <c r="V168" s="400" t="str">
        <f t="shared" si="46"/>
        <v>Did not Meet</v>
      </c>
      <c r="X168" s="399">
        <v>161.87666666666667</v>
      </c>
      <c r="Y168" s="400" t="str">
        <f t="shared" si="47"/>
        <v>Met</v>
      </c>
      <c r="AA168" s="399">
        <v>9050.7655555555557</v>
      </c>
      <c r="AB168" s="400" t="str">
        <f t="shared" si="48"/>
        <v>Did not Meet</v>
      </c>
      <c r="AD168" s="366" t="str">
        <f t="shared" si="42"/>
        <v>Met</v>
      </c>
      <c r="AF168" s="399">
        <v>2706.94</v>
      </c>
      <c r="AG168" s="400" t="str">
        <f t="shared" si="49"/>
        <v>Did not Meet</v>
      </c>
      <c r="AI168" s="399">
        <v>156435.16</v>
      </c>
      <c r="AJ168" s="400" t="str">
        <f t="shared" si="50"/>
        <v>Did not Meet</v>
      </c>
      <c r="AL168" s="399">
        <f>VLOOKUP(A168,$A$5:$AF$315,32,0)/IFERROR(VLOOKUP(A168,'21-22 child count'!$A$3:$S$317,19,0),0)</f>
        <v>193.35285714285715</v>
      </c>
      <c r="AM168" s="400" t="str">
        <f t="shared" si="51"/>
        <v>Met</v>
      </c>
      <c r="AO168" s="399">
        <f>VLOOKUP(A168,'42. SEA or LEA Worksheet'!$A$4:$AB$318,28,0)/IFERROR(VLOOKUP('42. SEA or LEA Worksheet'!A88,'21-22 child count'!$A$3:$S$317,3,0),0)</f>
        <v>1464.0782857142858</v>
      </c>
      <c r="AP168" s="400" t="str">
        <f t="shared" si="52"/>
        <v>Did not Meet</v>
      </c>
      <c r="AR168" s="366" t="str">
        <f t="shared" si="43"/>
        <v>Met</v>
      </c>
      <c r="AU168" s="400" t="str">
        <f t="shared" si="53"/>
        <v>Did not Meet</v>
      </c>
      <c r="AX168" s="400" t="str">
        <f t="shared" si="54"/>
        <v>Did not Meet</v>
      </c>
      <c r="BA168" s="400" t="str">
        <f t="shared" si="55"/>
        <v>Did not Meet</v>
      </c>
      <c r="BD168" s="400" t="str">
        <f t="shared" si="56"/>
        <v>Did not Meet</v>
      </c>
      <c r="BF168" s="366" t="str">
        <f t="shared" si="44"/>
        <v>Met</v>
      </c>
    </row>
    <row r="169" spans="1:58">
      <c r="A169" t="s">
        <v>493</v>
      </c>
      <c r="B169" t="s">
        <v>975</v>
      </c>
      <c r="C169" s="360"/>
      <c r="D169" s="363">
        <v>1640640.25</v>
      </c>
      <c r="E169" t="s">
        <v>855</v>
      </c>
      <c r="F169" s="360"/>
      <c r="G169" s="363">
        <v>12030743.720000001</v>
      </c>
      <c r="H169" t="s">
        <v>834</v>
      </c>
      <c r="I169" s="360"/>
      <c r="J169" s="363">
        <v>1388.0205160744501</v>
      </c>
      <c r="K169" t="s">
        <v>855</v>
      </c>
      <c r="L169" s="360"/>
      <c r="M169" s="363">
        <v>10178.294179357023</v>
      </c>
      <c r="N169" t="s">
        <v>834</v>
      </c>
      <c r="O169" s="360"/>
      <c r="P169" s="366" t="str">
        <f t="shared" si="41"/>
        <v>Met</v>
      </c>
      <c r="Q169" s="360"/>
      <c r="R169" s="399">
        <v>190292.56</v>
      </c>
      <c r="S169" s="400" t="str">
        <f t="shared" si="45"/>
        <v>Did not Meet</v>
      </c>
      <c r="U169" s="399">
        <v>12837099.59</v>
      </c>
      <c r="V169" s="400" t="str">
        <f t="shared" si="46"/>
        <v>Met</v>
      </c>
      <c r="X169" s="399">
        <v>166.33965034965036</v>
      </c>
      <c r="Y169" s="400" t="str">
        <f t="shared" si="47"/>
        <v>Did not Meet</v>
      </c>
      <c r="AA169" s="399">
        <v>11221.24090034965</v>
      </c>
      <c r="AB169" s="400" t="str">
        <f t="shared" si="48"/>
        <v>Met</v>
      </c>
      <c r="AD169" s="366" t="str">
        <f t="shared" si="42"/>
        <v>Met</v>
      </c>
      <c r="AF169" s="399">
        <v>1338203.05</v>
      </c>
      <c r="AG169" s="400" t="str">
        <f t="shared" si="49"/>
        <v>Did not Meet</v>
      </c>
      <c r="AI169" s="399">
        <v>16062856.630000001</v>
      </c>
      <c r="AJ169" s="400" t="str">
        <f t="shared" si="50"/>
        <v>Met</v>
      </c>
      <c r="AL169" s="399">
        <f>VLOOKUP(A169,$A$5:$AF$315,32,0)/IFERROR(VLOOKUP(A169,'21-22 child count'!$A$3:$S$317,19,0),0)</f>
        <v>1101.4016872427983</v>
      </c>
      <c r="AM169" s="400" t="str">
        <f t="shared" si="51"/>
        <v>Did not Meet</v>
      </c>
      <c r="AO169" s="399">
        <f>VLOOKUP(A169,'42. SEA or LEA Worksheet'!$A$4:$AB$318,28,0)/IFERROR(VLOOKUP('42. SEA or LEA Worksheet'!A153,'21-22 child count'!$A$3:$S$317,3,0),0)</f>
        <v>130306.66884955752</v>
      </c>
      <c r="AP169" s="400" t="str">
        <f t="shared" si="52"/>
        <v>Met</v>
      </c>
      <c r="AR169" s="366" t="str">
        <f t="shared" si="43"/>
        <v>Met</v>
      </c>
      <c r="AU169" s="400" t="str">
        <f t="shared" si="53"/>
        <v>Did not Meet</v>
      </c>
      <c r="AX169" s="400" t="str">
        <f t="shared" si="54"/>
        <v>Did not Meet</v>
      </c>
      <c r="BA169" s="400" t="str">
        <f t="shared" si="55"/>
        <v>Did not Meet</v>
      </c>
      <c r="BD169" s="400" t="str">
        <f t="shared" si="56"/>
        <v>Did not Meet</v>
      </c>
      <c r="BF169" s="366" t="str">
        <f t="shared" si="44"/>
        <v>Met</v>
      </c>
    </row>
    <row r="170" spans="1:58">
      <c r="A170" t="s">
        <v>519</v>
      </c>
      <c r="B170" t="s">
        <v>988</v>
      </c>
      <c r="C170" s="360"/>
      <c r="D170" s="363">
        <v>0</v>
      </c>
      <c r="E170" t="s">
        <v>834</v>
      </c>
      <c r="F170" s="360"/>
      <c r="G170" s="363">
        <v>3131181.12</v>
      </c>
      <c r="H170" t="s">
        <v>834</v>
      </c>
      <c r="I170" s="360"/>
      <c r="J170" s="363">
        <v>0</v>
      </c>
      <c r="K170" t="s">
        <v>834</v>
      </c>
      <c r="L170" s="360"/>
      <c r="M170" s="363">
        <v>9102.2706976744194</v>
      </c>
      <c r="N170" t="s">
        <v>855</v>
      </c>
      <c r="O170" s="360"/>
      <c r="P170" s="366" t="str">
        <f t="shared" si="41"/>
        <v>Met</v>
      </c>
      <c r="Q170" s="360"/>
      <c r="R170" s="399">
        <v>0</v>
      </c>
      <c r="S170" s="400" t="str">
        <f t="shared" si="45"/>
        <v>Met</v>
      </c>
      <c r="U170" s="399">
        <v>3125034.88</v>
      </c>
      <c r="V170" s="400" t="str">
        <f t="shared" si="46"/>
        <v>Met</v>
      </c>
      <c r="X170" s="399">
        <v>0</v>
      </c>
      <c r="Y170" s="400" t="str">
        <f t="shared" si="47"/>
        <v>Met</v>
      </c>
      <c r="AA170" s="399">
        <v>9005.8642074927957</v>
      </c>
      <c r="AB170" s="400" t="str">
        <f t="shared" si="48"/>
        <v>Did not Meet</v>
      </c>
      <c r="AD170" s="366" t="str">
        <f t="shared" si="42"/>
        <v>Met</v>
      </c>
      <c r="AF170" s="399">
        <v>0</v>
      </c>
      <c r="AG170" s="400" t="str">
        <f t="shared" si="49"/>
        <v>Met</v>
      </c>
      <c r="AI170" s="399">
        <v>3377944.64</v>
      </c>
      <c r="AJ170" s="400" t="str">
        <f t="shared" si="50"/>
        <v>Met</v>
      </c>
      <c r="AL170" s="399">
        <f>VLOOKUP(A170,$A$5:$AF$315,32,0)/IFERROR(VLOOKUP(A170,'21-22 child count'!$A$3:$S$317,19,0),0)</f>
        <v>0</v>
      </c>
      <c r="AM170" s="400" t="str">
        <f t="shared" si="51"/>
        <v>Met</v>
      </c>
      <c r="AO170" s="399">
        <f>VLOOKUP(A170,'42. SEA or LEA Worksheet'!$A$4:$AB$318,28,0)/IFERROR(VLOOKUP('42. SEA or LEA Worksheet'!A166,'21-22 child count'!$A$3:$S$317,3,0),0)</f>
        <v>33040.484554455448</v>
      </c>
      <c r="AP170" s="400" t="str">
        <f t="shared" si="52"/>
        <v>Did not Meet</v>
      </c>
      <c r="AR170" s="366" t="str">
        <f t="shared" si="43"/>
        <v>Met</v>
      </c>
      <c r="AU170" s="400" t="str">
        <f t="shared" si="53"/>
        <v>Met</v>
      </c>
      <c r="AX170" s="400" t="str">
        <f t="shared" si="54"/>
        <v>Did not Meet</v>
      </c>
      <c r="BA170" s="400" t="str">
        <f t="shared" si="55"/>
        <v>Met</v>
      </c>
      <c r="BD170" s="400" t="str">
        <f t="shared" si="56"/>
        <v>Did not Meet</v>
      </c>
      <c r="BF170" s="366" t="str">
        <f t="shared" si="44"/>
        <v>Met</v>
      </c>
    </row>
    <row r="171" spans="1:58">
      <c r="A171" t="s">
        <v>465</v>
      </c>
      <c r="B171" t="s">
        <v>961</v>
      </c>
      <c r="C171" s="360"/>
      <c r="D171" s="363">
        <v>0</v>
      </c>
      <c r="E171" t="s">
        <v>855</v>
      </c>
      <c r="F171" s="360"/>
      <c r="G171" s="363">
        <v>750822.66</v>
      </c>
      <c r="H171" t="s">
        <v>834</v>
      </c>
      <c r="I171" s="360"/>
      <c r="J171" s="363">
        <v>0</v>
      </c>
      <c r="K171" t="s">
        <v>855</v>
      </c>
      <c r="L171" s="360"/>
      <c r="M171" s="363">
        <v>9156.3739024390252</v>
      </c>
      <c r="N171" t="s">
        <v>834</v>
      </c>
      <c r="O171" s="360"/>
      <c r="P171" s="366" t="str">
        <f t="shared" si="41"/>
        <v>Met</v>
      </c>
      <c r="Q171" s="360"/>
      <c r="R171" s="399">
        <v>14741.86</v>
      </c>
      <c r="S171" s="400" t="str">
        <f t="shared" si="45"/>
        <v>Did not Meet</v>
      </c>
      <c r="U171" s="399">
        <v>816198.2</v>
      </c>
      <c r="V171" s="400" t="str">
        <f t="shared" si="46"/>
        <v>Met</v>
      </c>
      <c r="X171" s="399">
        <v>175.49833333333333</v>
      </c>
      <c r="Y171" s="400" t="str">
        <f t="shared" si="47"/>
        <v>Did not Meet</v>
      </c>
      <c r="AA171" s="399">
        <v>9716.6452380952378</v>
      </c>
      <c r="AB171" s="400" t="str">
        <f t="shared" si="48"/>
        <v>Met</v>
      </c>
      <c r="AD171" s="366" t="str">
        <f t="shared" si="42"/>
        <v>Met</v>
      </c>
      <c r="AF171" s="399">
        <v>59016.43</v>
      </c>
      <c r="AG171" s="400" t="str">
        <f t="shared" si="49"/>
        <v>Did not Meet</v>
      </c>
      <c r="AI171" s="399">
        <v>890755.78</v>
      </c>
      <c r="AJ171" s="400" t="str">
        <f t="shared" si="50"/>
        <v>Met</v>
      </c>
      <c r="AL171" s="399">
        <f>VLOOKUP(A171,$A$5:$AF$315,32,0)/IFERROR(VLOOKUP(A171,'21-22 child count'!$A$3:$S$317,19,0),0)</f>
        <v>776.53197368421058</v>
      </c>
      <c r="AM171" s="400" t="str">
        <f t="shared" si="51"/>
        <v>Did not Meet</v>
      </c>
      <c r="AO171" s="399">
        <f>VLOOKUP(A171,'42. SEA or LEA Worksheet'!$A$4:$AB$318,28,0)/IFERROR(VLOOKUP('42. SEA or LEA Worksheet'!A139,'21-22 child count'!$A$3:$S$317,3,0),0)</f>
        <v>4863.9728070175443</v>
      </c>
      <c r="AP171" s="400" t="str">
        <f t="shared" si="52"/>
        <v>Did not Meet</v>
      </c>
      <c r="AR171" s="366" t="str">
        <f t="shared" si="43"/>
        <v>Met</v>
      </c>
      <c r="AU171" s="400" t="str">
        <f t="shared" si="53"/>
        <v>Did not Meet</v>
      </c>
      <c r="AX171" s="400" t="str">
        <f t="shared" si="54"/>
        <v>Did not Meet</v>
      </c>
      <c r="BA171" s="400" t="str">
        <f t="shared" si="55"/>
        <v>Did not Meet</v>
      </c>
      <c r="BD171" s="400" t="str">
        <f t="shared" si="56"/>
        <v>Did not Meet</v>
      </c>
      <c r="BF171" s="366" t="str">
        <f t="shared" si="44"/>
        <v>Met</v>
      </c>
    </row>
    <row r="172" spans="1:58">
      <c r="A172" t="s">
        <v>523</v>
      </c>
      <c r="B172" t="s">
        <v>990</v>
      </c>
      <c r="C172" s="360"/>
      <c r="D172" s="363">
        <v>0</v>
      </c>
      <c r="E172" t="s">
        <v>834</v>
      </c>
      <c r="F172" s="360"/>
      <c r="G172" s="363">
        <v>2832049.74</v>
      </c>
      <c r="H172" t="s">
        <v>834</v>
      </c>
      <c r="I172" s="360"/>
      <c r="J172" s="363">
        <v>0</v>
      </c>
      <c r="K172" t="s">
        <v>834</v>
      </c>
      <c r="L172" s="360"/>
      <c r="M172" s="363">
        <v>9346.6988118811896</v>
      </c>
      <c r="N172" t="s">
        <v>834</v>
      </c>
      <c r="O172" s="360"/>
      <c r="P172" s="366" t="str">
        <f t="shared" si="41"/>
        <v>Met</v>
      </c>
      <c r="Q172" s="360"/>
      <c r="R172" s="399">
        <v>0</v>
      </c>
      <c r="S172" s="400" t="str">
        <f t="shared" si="45"/>
        <v>Met</v>
      </c>
      <c r="U172" s="399">
        <v>3024631.78</v>
      </c>
      <c r="V172" s="400" t="str">
        <f t="shared" si="46"/>
        <v>Met</v>
      </c>
      <c r="X172" s="399">
        <v>0</v>
      </c>
      <c r="Y172" s="400" t="str">
        <f t="shared" si="47"/>
        <v>Met</v>
      </c>
      <c r="AA172" s="399">
        <v>10218.350608108107</v>
      </c>
      <c r="AB172" s="400" t="str">
        <f t="shared" si="48"/>
        <v>Met</v>
      </c>
      <c r="AD172" s="366" t="str">
        <f t="shared" si="42"/>
        <v>Met</v>
      </c>
      <c r="AF172" s="399">
        <v>0</v>
      </c>
      <c r="AG172" s="400" t="str">
        <f t="shared" si="49"/>
        <v>Met</v>
      </c>
      <c r="AI172" s="399">
        <v>3103076.01</v>
      </c>
      <c r="AJ172" s="400" t="str">
        <f t="shared" si="50"/>
        <v>Met</v>
      </c>
      <c r="AL172" s="399">
        <f>VLOOKUP(A172,$A$5:$AF$315,32,0)/IFERROR(VLOOKUP(A172,'21-22 child count'!$A$3:$S$317,19,0),0)</f>
        <v>0</v>
      </c>
      <c r="AM172" s="400" t="str">
        <f t="shared" si="51"/>
        <v>Met</v>
      </c>
      <c r="AO172" s="399">
        <f>VLOOKUP(A172,'42. SEA or LEA Worksheet'!$A$4:$AB$318,28,0)/IFERROR(VLOOKUP('42. SEA or LEA Worksheet'!A168,'21-22 child count'!$A$3:$S$317,3,0),0)</f>
        <v>27208.938407079648</v>
      </c>
      <c r="AP172" s="400" t="str">
        <f t="shared" si="52"/>
        <v>Met</v>
      </c>
      <c r="AR172" s="366" t="str">
        <f t="shared" si="43"/>
        <v>Met</v>
      </c>
      <c r="AU172" s="400" t="str">
        <f t="shared" si="53"/>
        <v>Met</v>
      </c>
      <c r="AX172" s="400" t="str">
        <f t="shared" si="54"/>
        <v>Did not Meet</v>
      </c>
      <c r="BA172" s="400" t="str">
        <f t="shared" si="55"/>
        <v>Met</v>
      </c>
      <c r="BD172" s="400" t="str">
        <f t="shared" si="56"/>
        <v>Did not Meet</v>
      </c>
      <c r="BF172" s="366" t="str">
        <f t="shared" si="44"/>
        <v>Met</v>
      </c>
    </row>
    <row r="173" spans="1:58">
      <c r="A173" t="s">
        <v>283</v>
      </c>
      <c r="B173" t="s">
        <v>878</v>
      </c>
      <c r="C173" s="360"/>
      <c r="D173" s="363">
        <v>0</v>
      </c>
      <c r="E173" t="s">
        <v>855</v>
      </c>
      <c r="F173" s="360"/>
      <c r="G173" s="363">
        <v>1128546.99</v>
      </c>
      <c r="H173" t="s">
        <v>834</v>
      </c>
      <c r="I173" s="360"/>
      <c r="J173" s="363">
        <v>0</v>
      </c>
      <c r="K173" t="s">
        <v>855</v>
      </c>
      <c r="L173" s="360"/>
      <c r="M173" s="363">
        <v>8816.7733593749999</v>
      </c>
      <c r="N173" t="s">
        <v>855</v>
      </c>
      <c r="O173" s="360"/>
      <c r="P173" s="366" t="str">
        <f t="shared" si="41"/>
        <v>Met</v>
      </c>
      <c r="Q173" s="360"/>
      <c r="R173" s="399">
        <v>24383.93</v>
      </c>
      <c r="S173" s="400" t="str">
        <f t="shared" si="45"/>
        <v>Did not Meet</v>
      </c>
      <c r="U173" s="399">
        <v>1159714.8499999999</v>
      </c>
      <c r="V173" s="400" t="str">
        <f t="shared" si="46"/>
        <v>Met</v>
      </c>
      <c r="X173" s="399">
        <v>208.40965811965813</v>
      </c>
      <c r="Y173" s="400" t="str">
        <f t="shared" si="47"/>
        <v>Did not Meet</v>
      </c>
      <c r="AA173" s="399">
        <v>9912.0927350427337</v>
      </c>
      <c r="AB173" s="400" t="str">
        <f t="shared" si="48"/>
        <v>Did not Meet</v>
      </c>
      <c r="AD173" s="366" t="str">
        <f t="shared" si="42"/>
        <v>Met</v>
      </c>
      <c r="AF173" s="399">
        <v>0</v>
      </c>
      <c r="AG173" s="400" t="str">
        <f t="shared" si="49"/>
        <v>Did not Meet</v>
      </c>
      <c r="AI173" s="399">
        <v>1158236.82</v>
      </c>
      <c r="AJ173" s="400" t="str">
        <f t="shared" si="50"/>
        <v>Did not Meet</v>
      </c>
      <c r="AL173" s="399">
        <f>VLOOKUP(A173,$A$5:$AF$315,32,0)/IFERROR(VLOOKUP(A173,'21-22 child count'!$A$3:$S$317,19,0),0)</f>
        <v>0</v>
      </c>
      <c r="AM173" s="400" t="str">
        <f t="shared" si="51"/>
        <v>Did not Meet</v>
      </c>
      <c r="AO173" s="399">
        <f>VLOOKUP(A173,'42. SEA or LEA Worksheet'!$A$4:$AB$318,28,0)/IFERROR(VLOOKUP('42. SEA or LEA Worksheet'!A47,'21-22 child count'!$A$3:$S$317,3,0),0)</f>
        <v>9349.6089430894299</v>
      </c>
      <c r="AP173" s="400" t="str">
        <f t="shared" si="52"/>
        <v>Did not Meet</v>
      </c>
      <c r="AR173" s="366" t="str">
        <f t="shared" si="43"/>
        <v>Met</v>
      </c>
      <c r="AU173" s="400" t="str">
        <f t="shared" si="53"/>
        <v>Did not Meet</v>
      </c>
      <c r="AX173" s="400" t="str">
        <f t="shared" si="54"/>
        <v>Did not Meet</v>
      </c>
      <c r="BA173" s="400" t="str">
        <f t="shared" si="55"/>
        <v>Did not Meet</v>
      </c>
      <c r="BD173" s="400" t="str">
        <f t="shared" si="56"/>
        <v>Did not Meet</v>
      </c>
      <c r="BF173" s="366" t="str">
        <f t="shared" si="44"/>
        <v>Met</v>
      </c>
    </row>
    <row r="174" spans="1:58">
      <c r="A174" t="s">
        <v>377</v>
      </c>
      <c r="B174" t="s">
        <v>1139</v>
      </c>
      <c r="C174" s="360"/>
      <c r="D174" s="363">
        <v>19003.919999999998</v>
      </c>
      <c r="E174" t="s">
        <v>834</v>
      </c>
      <c r="F174" s="360"/>
      <c r="G174" s="363">
        <v>289237.38</v>
      </c>
      <c r="H174" t="s">
        <v>834</v>
      </c>
      <c r="I174" s="360"/>
      <c r="J174" s="363">
        <v>655.30758620689653</v>
      </c>
      <c r="K174" t="s">
        <v>834</v>
      </c>
      <c r="L174" s="360"/>
      <c r="M174" s="363">
        <v>9973.7027586206896</v>
      </c>
      <c r="N174" t="s">
        <v>855</v>
      </c>
      <c r="O174" s="360"/>
      <c r="P174" s="366" t="str">
        <f t="shared" si="41"/>
        <v>Met</v>
      </c>
      <c r="Q174" s="360"/>
      <c r="R174" s="399">
        <v>5825.71</v>
      </c>
      <c r="S174" s="400" t="str">
        <f t="shared" si="45"/>
        <v>Did not Meet</v>
      </c>
      <c r="U174" s="399">
        <v>247206.53</v>
      </c>
      <c r="V174" s="400" t="str">
        <f t="shared" si="46"/>
        <v>Met</v>
      </c>
      <c r="X174" s="399">
        <v>224.06576923076923</v>
      </c>
      <c r="Y174" s="400" t="str">
        <f t="shared" si="47"/>
        <v>Did not Meet</v>
      </c>
      <c r="AA174" s="399">
        <v>9507.9434615384616</v>
      </c>
      <c r="AB174" s="400" t="str">
        <f t="shared" si="48"/>
        <v>Did not Meet</v>
      </c>
      <c r="AD174" s="366" t="str">
        <f t="shared" si="42"/>
        <v>Met</v>
      </c>
      <c r="AF174" s="399">
        <v>54560.54</v>
      </c>
      <c r="AG174" s="400" t="str">
        <f t="shared" si="49"/>
        <v>Did not Meet</v>
      </c>
      <c r="AI174" s="399">
        <v>413489.67</v>
      </c>
      <c r="AJ174" s="400" t="str">
        <f t="shared" si="50"/>
        <v>Met</v>
      </c>
      <c r="AL174" s="399">
        <f>VLOOKUP(A174,$A$5:$AF$315,32,0)/IFERROR(VLOOKUP(A174,'21-22 child count'!$A$3:$S$317,19,0),0)</f>
        <v>2273.3558333333335</v>
      </c>
      <c r="AM174" s="400" t="str">
        <f t="shared" si="51"/>
        <v>Did not Meet</v>
      </c>
      <c r="AO174" s="399">
        <f>VLOOKUP(A174,'42. SEA or LEA Worksheet'!$A$4:$AB$318,28,0)/IFERROR(VLOOKUP('42. SEA or LEA Worksheet'!A95,'21-22 child count'!$A$3:$S$317,3,0),0)</f>
        <v>3176.3639823008848</v>
      </c>
      <c r="AP174" s="400" t="str">
        <f t="shared" si="52"/>
        <v>Did not Meet</v>
      </c>
      <c r="AR174" s="366" t="str">
        <f t="shared" si="43"/>
        <v>Met</v>
      </c>
      <c r="AU174" s="400" t="str">
        <f t="shared" si="53"/>
        <v>Did not Meet</v>
      </c>
      <c r="AX174" s="400" t="str">
        <f t="shared" si="54"/>
        <v>Did not Meet</v>
      </c>
      <c r="BA174" s="400" t="str">
        <f t="shared" si="55"/>
        <v>Did not Meet</v>
      </c>
      <c r="BD174" s="400" t="str">
        <f t="shared" si="56"/>
        <v>Did not Meet</v>
      </c>
      <c r="BF174" s="366" t="str">
        <f t="shared" si="44"/>
        <v>Met</v>
      </c>
    </row>
    <row r="175" spans="1:58">
      <c r="A175" t="s">
        <v>529</v>
      </c>
      <c r="B175" t="s">
        <v>993</v>
      </c>
      <c r="C175" s="360"/>
      <c r="D175" s="363">
        <v>0</v>
      </c>
      <c r="E175" t="s">
        <v>834</v>
      </c>
      <c r="F175" s="360"/>
      <c r="G175" s="363">
        <v>102663.14</v>
      </c>
      <c r="H175" t="s">
        <v>834</v>
      </c>
      <c r="I175" s="360"/>
      <c r="J175" s="363">
        <v>0</v>
      </c>
      <c r="K175" t="s">
        <v>834</v>
      </c>
      <c r="L175" s="360"/>
      <c r="M175" s="363">
        <v>11407.015555555556</v>
      </c>
      <c r="N175" t="s">
        <v>834</v>
      </c>
      <c r="O175" s="360"/>
      <c r="P175" s="366" t="str">
        <f t="shared" si="41"/>
        <v>Met</v>
      </c>
      <c r="Q175" s="360"/>
      <c r="R175" s="399">
        <v>0</v>
      </c>
      <c r="S175" s="400" t="str">
        <f t="shared" si="45"/>
        <v>Met</v>
      </c>
      <c r="U175" s="399">
        <v>144878.89000000001</v>
      </c>
      <c r="V175" s="400" t="str">
        <f t="shared" si="46"/>
        <v>Met</v>
      </c>
      <c r="X175" s="399">
        <v>0</v>
      </c>
      <c r="Y175" s="400" t="str">
        <f t="shared" si="47"/>
        <v>Met</v>
      </c>
      <c r="AA175" s="399">
        <v>16097.654444444446</v>
      </c>
      <c r="AB175" s="400" t="str">
        <f t="shared" si="48"/>
        <v>Met</v>
      </c>
      <c r="AD175" s="366" t="str">
        <f t="shared" si="42"/>
        <v>Met</v>
      </c>
      <c r="AF175" s="399">
        <v>0</v>
      </c>
      <c r="AG175" s="400" t="str">
        <f t="shared" si="49"/>
        <v>Met</v>
      </c>
      <c r="AI175" s="399">
        <v>123529.58</v>
      </c>
      <c r="AJ175" s="400" t="str">
        <f t="shared" si="50"/>
        <v>Did not Meet</v>
      </c>
      <c r="AL175" s="399">
        <f>VLOOKUP(A175,$A$5:$AF$315,32,0)/IFERROR(VLOOKUP(A175,'21-22 child count'!$A$3:$S$317,19,0),0)</f>
        <v>0</v>
      </c>
      <c r="AM175" s="400" t="str">
        <f t="shared" si="51"/>
        <v>Met</v>
      </c>
      <c r="AO175" s="399">
        <f>VLOOKUP(A175,'42. SEA or LEA Worksheet'!$A$4:$AB$318,28,0)/IFERROR(VLOOKUP('42. SEA or LEA Worksheet'!A171,'21-22 child count'!$A$3:$S$317,3,0),0)</f>
        <v>1083.5928070175439</v>
      </c>
      <c r="AP175" s="400" t="str">
        <f t="shared" si="52"/>
        <v>Did not Meet</v>
      </c>
      <c r="AR175" s="366" t="str">
        <f t="shared" si="43"/>
        <v>Met</v>
      </c>
      <c r="AU175" s="400" t="str">
        <f t="shared" si="53"/>
        <v>Met</v>
      </c>
      <c r="AX175" s="400" t="str">
        <f t="shared" si="54"/>
        <v>Did not Meet</v>
      </c>
      <c r="BA175" s="400" t="str">
        <f t="shared" si="55"/>
        <v>Met</v>
      </c>
      <c r="BD175" s="400" t="str">
        <f t="shared" si="56"/>
        <v>Did not Meet</v>
      </c>
      <c r="BF175" s="366" t="str">
        <f t="shared" si="44"/>
        <v>Met</v>
      </c>
    </row>
    <row r="176" spans="1:58">
      <c r="A176" t="s">
        <v>387</v>
      </c>
      <c r="B176" t="s">
        <v>928</v>
      </c>
      <c r="C176" s="360"/>
      <c r="D176" s="363">
        <v>5207.41</v>
      </c>
      <c r="E176" t="s">
        <v>855</v>
      </c>
      <c r="F176" s="360"/>
      <c r="G176" s="363">
        <v>235443.98</v>
      </c>
      <c r="H176" t="s">
        <v>834</v>
      </c>
      <c r="I176" s="360"/>
      <c r="J176" s="363">
        <v>216.97541666666666</v>
      </c>
      <c r="K176" t="s">
        <v>855</v>
      </c>
      <c r="L176" s="360"/>
      <c r="M176" s="363">
        <v>9810.1658333333344</v>
      </c>
      <c r="N176" t="s">
        <v>855</v>
      </c>
      <c r="O176" s="360"/>
      <c r="P176" s="366" t="str">
        <f t="shared" si="41"/>
        <v>Met</v>
      </c>
      <c r="Q176" s="360"/>
      <c r="R176" s="399">
        <v>5207.42</v>
      </c>
      <c r="S176" s="400" t="str">
        <f t="shared" si="45"/>
        <v>Did not Meet</v>
      </c>
      <c r="U176" s="399">
        <v>223225.18000000002</v>
      </c>
      <c r="V176" s="400" t="str">
        <f t="shared" si="46"/>
        <v>Met</v>
      </c>
      <c r="X176" s="399">
        <v>226.4095652173913</v>
      </c>
      <c r="Y176" s="400" t="str">
        <f t="shared" si="47"/>
        <v>Did not Meet</v>
      </c>
      <c r="AA176" s="399">
        <v>9705.4426086956537</v>
      </c>
      <c r="AB176" s="400" t="str">
        <f t="shared" si="48"/>
        <v>Did not Meet</v>
      </c>
      <c r="AD176" s="366" t="str">
        <f t="shared" si="42"/>
        <v>Met</v>
      </c>
      <c r="AF176" s="399">
        <v>5300</v>
      </c>
      <c r="AG176" s="400" t="str">
        <f t="shared" si="49"/>
        <v>Did not Meet</v>
      </c>
      <c r="AI176" s="399">
        <v>219191.12</v>
      </c>
      <c r="AJ176" s="400" t="str">
        <f t="shared" si="50"/>
        <v>Did not Meet</v>
      </c>
      <c r="AL176" s="399">
        <f>VLOOKUP(A176,$A$5:$AF$315,32,0)/IFERROR(VLOOKUP(A176,'21-22 child count'!$A$3:$S$317,19,0),0)</f>
        <v>230.43478260869566</v>
      </c>
      <c r="AM176" s="400" t="str">
        <f t="shared" si="51"/>
        <v>Did not Meet</v>
      </c>
      <c r="AO176" s="399">
        <f>VLOOKUP(A176,'42. SEA or LEA Worksheet'!$A$4:$AB$318,28,0)/IFERROR(VLOOKUP('42. SEA or LEA Worksheet'!A99,'21-22 child count'!$A$3:$S$317,3,0),0)</f>
        <v>2117.7338613861384</v>
      </c>
      <c r="AP176" s="400" t="str">
        <f t="shared" si="52"/>
        <v>Did not Meet</v>
      </c>
      <c r="AR176" s="366" t="str">
        <f t="shared" si="43"/>
        <v>Met</v>
      </c>
      <c r="AU176" s="400" t="str">
        <f t="shared" si="53"/>
        <v>Did not Meet</v>
      </c>
      <c r="AX176" s="400" t="str">
        <f t="shared" si="54"/>
        <v>Did not Meet</v>
      </c>
      <c r="BA176" s="400" t="str">
        <f t="shared" si="55"/>
        <v>Did not Meet</v>
      </c>
      <c r="BD176" s="400" t="str">
        <f t="shared" si="56"/>
        <v>Did not Meet</v>
      </c>
      <c r="BF176" s="366" t="str">
        <f t="shared" si="44"/>
        <v>Met</v>
      </c>
    </row>
    <row r="177" spans="1:58">
      <c r="A177" t="s">
        <v>681</v>
      </c>
      <c r="B177" t="s">
        <v>1062</v>
      </c>
      <c r="C177" s="360"/>
      <c r="D177" s="363">
        <v>0</v>
      </c>
      <c r="E177" t="s">
        <v>855</v>
      </c>
      <c r="F177" s="360"/>
      <c r="G177" s="363">
        <v>896370.31</v>
      </c>
      <c r="H177" t="s">
        <v>834</v>
      </c>
      <c r="I177" s="360"/>
      <c r="J177" s="363">
        <v>0</v>
      </c>
      <c r="K177" t="s">
        <v>855</v>
      </c>
      <c r="L177" s="360"/>
      <c r="M177" s="363">
        <v>10545.53305882353</v>
      </c>
      <c r="N177" t="s">
        <v>834</v>
      </c>
      <c r="O177" s="360"/>
      <c r="P177" s="366" t="str">
        <f t="shared" si="41"/>
        <v>Met</v>
      </c>
      <c r="Q177" s="360"/>
      <c r="R177" s="399">
        <v>17764.400000000001</v>
      </c>
      <c r="S177" s="400" t="str">
        <f t="shared" si="45"/>
        <v>Did not Meet</v>
      </c>
      <c r="U177" s="399">
        <v>853360.43</v>
      </c>
      <c r="V177" s="400" t="str">
        <f t="shared" si="46"/>
        <v>Met</v>
      </c>
      <c r="X177" s="399">
        <v>246.72777777777779</v>
      </c>
      <c r="Y177" s="400" t="str">
        <f t="shared" si="47"/>
        <v>Did not Meet</v>
      </c>
      <c r="AA177" s="399">
        <v>11852.228194444446</v>
      </c>
      <c r="AB177" s="400" t="str">
        <f t="shared" si="48"/>
        <v>Met</v>
      </c>
      <c r="AD177" s="366" t="str">
        <f t="shared" si="42"/>
        <v>Met</v>
      </c>
      <c r="AF177" s="399">
        <v>17763.759999999998</v>
      </c>
      <c r="AG177" s="400" t="str">
        <f t="shared" si="49"/>
        <v>Did not Meet</v>
      </c>
      <c r="AI177" s="399">
        <v>895622.61</v>
      </c>
      <c r="AJ177" s="400" t="str">
        <f t="shared" si="50"/>
        <v>Met</v>
      </c>
      <c r="AL177" s="399">
        <f>VLOOKUP(A177,$A$5:$AF$315,32,0)/IFERROR(VLOOKUP(A177,'21-22 child count'!$A$3:$S$317,19,0),0)</f>
        <v>222.04699999999997</v>
      </c>
      <c r="AM177" s="400" t="str">
        <f t="shared" si="51"/>
        <v>Did not Meet</v>
      </c>
      <c r="AO177" s="399">
        <f>VLOOKUP(A177,'42. SEA or LEA Worksheet'!$A$4:$AB$318,28,0)/IFERROR(VLOOKUP('42. SEA or LEA Worksheet'!A243,'21-22 child count'!$A$3:$S$317,3,0),0)</f>
        <v>7255.0318181818184</v>
      </c>
      <c r="AP177" s="400" t="str">
        <f t="shared" si="52"/>
        <v>Did not Meet</v>
      </c>
      <c r="AR177" s="366" t="str">
        <f t="shared" si="43"/>
        <v>Met</v>
      </c>
      <c r="AU177" s="400" t="str">
        <f t="shared" si="53"/>
        <v>Did not Meet</v>
      </c>
      <c r="AX177" s="400" t="str">
        <f t="shared" si="54"/>
        <v>Did not Meet</v>
      </c>
      <c r="BA177" s="400" t="str">
        <f t="shared" si="55"/>
        <v>Did not Meet</v>
      </c>
      <c r="BD177" s="400" t="str">
        <f t="shared" si="56"/>
        <v>Did not Meet</v>
      </c>
      <c r="BF177" s="366" t="str">
        <f t="shared" si="44"/>
        <v>Met</v>
      </c>
    </row>
    <row r="178" spans="1:58">
      <c r="A178" t="s">
        <v>535</v>
      </c>
      <c r="B178" t="s">
        <v>996</v>
      </c>
      <c r="C178" s="360"/>
      <c r="D178" s="363">
        <v>17704588.07</v>
      </c>
      <c r="E178" t="s">
        <v>834</v>
      </c>
      <c r="F178" s="360"/>
      <c r="G178" s="363">
        <v>57194950.840000004</v>
      </c>
      <c r="H178" t="s">
        <v>834</v>
      </c>
      <c r="I178" s="360"/>
      <c r="J178" s="363">
        <v>6059.0650479123888</v>
      </c>
      <c r="K178" t="s">
        <v>855</v>
      </c>
      <c r="L178" s="360"/>
      <c r="M178" s="363">
        <v>19573.905147159479</v>
      </c>
      <c r="N178" t="s">
        <v>834</v>
      </c>
      <c r="O178" s="360"/>
      <c r="P178" s="366" t="str">
        <f t="shared" si="41"/>
        <v>Met</v>
      </c>
      <c r="Q178" s="360"/>
      <c r="R178" s="399">
        <v>23176242.920000002</v>
      </c>
      <c r="S178" s="400" t="str">
        <f t="shared" si="45"/>
        <v>Met</v>
      </c>
      <c r="U178" s="399">
        <v>62078363.270000003</v>
      </c>
      <c r="V178" s="400" t="str">
        <f t="shared" si="46"/>
        <v>Met</v>
      </c>
      <c r="X178" s="399">
        <v>8143.4444553759668</v>
      </c>
      <c r="Y178" s="400" t="str">
        <f t="shared" si="47"/>
        <v>Did not Meet</v>
      </c>
      <c r="AA178" s="399">
        <v>21812.495878425863</v>
      </c>
      <c r="AB178" s="400" t="str">
        <f t="shared" si="48"/>
        <v>Met</v>
      </c>
      <c r="AD178" s="366" t="str">
        <f t="shared" si="42"/>
        <v>Met</v>
      </c>
      <c r="AF178" s="399">
        <v>23642796.629999999</v>
      </c>
      <c r="AG178" s="400" t="str">
        <f t="shared" si="49"/>
        <v>Met</v>
      </c>
      <c r="AI178" s="399">
        <v>87033118.469999999</v>
      </c>
      <c r="AJ178" s="400" t="str">
        <f t="shared" si="50"/>
        <v>Met</v>
      </c>
      <c r="AL178" s="399">
        <f>VLOOKUP(A178,$A$5:$AF$315,32,0)/IFERROR(VLOOKUP(A178,'21-22 child count'!$A$3:$S$317,19,0),0)</f>
        <v>8492.3838469827588</v>
      </c>
      <c r="AM178" s="400" t="str">
        <f t="shared" si="51"/>
        <v>Did not Meet</v>
      </c>
      <c r="AO178" s="399">
        <f>VLOOKUP(A178,'42. SEA or LEA Worksheet'!$A$4:$AB$318,28,0)/IFERROR(VLOOKUP('42. SEA or LEA Worksheet'!A174,'21-22 child count'!$A$3:$S$317,3,0),0)</f>
        <v>626918.04158415843</v>
      </c>
      <c r="AP178" s="400" t="str">
        <f t="shared" si="52"/>
        <v>Met</v>
      </c>
      <c r="AR178" s="366" t="str">
        <f t="shared" si="43"/>
        <v>Met</v>
      </c>
      <c r="AU178" s="400" t="str">
        <f t="shared" si="53"/>
        <v>Did not Meet</v>
      </c>
      <c r="AX178" s="400" t="str">
        <f t="shared" si="54"/>
        <v>Did not Meet</v>
      </c>
      <c r="BA178" s="400" t="str">
        <f t="shared" si="55"/>
        <v>Did not Meet</v>
      </c>
      <c r="BD178" s="400" t="str">
        <f t="shared" si="56"/>
        <v>Did not Meet</v>
      </c>
      <c r="BF178" s="366" t="str">
        <f t="shared" si="44"/>
        <v>Met</v>
      </c>
    </row>
    <row r="179" spans="1:58">
      <c r="A179" t="s">
        <v>656</v>
      </c>
      <c r="B179" t="s">
        <v>1051</v>
      </c>
      <c r="C179" s="360"/>
      <c r="D179" s="363">
        <v>136488.93</v>
      </c>
      <c r="E179" t="s">
        <v>855</v>
      </c>
      <c r="F179" s="360"/>
      <c r="G179" s="363">
        <v>11550057.27</v>
      </c>
      <c r="H179" t="s">
        <v>834</v>
      </c>
      <c r="I179" s="360"/>
      <c r="J179" s="363">
        <v>170.82469336670837</v>
      </c>
      <c r="K179" t="s">
        <v>855</v>
      </c>
      <c r="L179" s="360"/>
      <c r="M179" s="363">
        <v>14455.641138923655</v>
      </c>
      <c r="N179" t="s">
        <v>834</v>
      </c>
      <c r="O179" s="360"/>
      <c r="P179" s="366" t="str">
        <f t="shared" si="41"/>
        <v>Met</v>
      </c>
      <c r="Q179" s="360"/>
      <c r="R179" s="399">
        <v>199525.68</v>
      </c>
      <c r="S179" s="400" t="str">
        <f t="shared" si="45"/>
        <v>Did not Meet</v>
      </c>
      <c r="U179" s="399">
        <v>11642383.719999999</v>
      </c>
      <c r="V179" s="400" t="str">
        <f t="shared" si="46"/>
        <v>Met</v>
      </c>
      <c r="X179" s="399">
        <v>261.50154652686763</v>
      </c>
      <c r="Y179" s="400" t="str">
        <f t="shared" si="47"/>
        <v>Did not Meet</v>
      </c>
      <c r="AA179" s="399">
        <v>15258.694259501965</v>
      </c>
      <c r="AB179" s="400" t="str">
        <f t="shared" si="48"/>
        <v>Met</v>
      </c>
      <c r="AD179" s="366" t="str">
        <f t="shared" si="42"/>
        <v>Met</v>
      </c>
      <c r="AF179" s="399">
        <v>162845.68</v>
      </c>
      <c r="AG179" s="400" t="str">
        <f t="shared" si="49"/>
        <v>Did not Meet</v>
      </c>
      <c r="AI179" s="399">
        <v>12455645.719999999</v>
      </c>
      <c r="AJ179" s="400" t="str">
        <f t="shared" si="50"/>
        <v>Met</v>
      </c>
      <c r="AL179" s="399">
        <f>VLOOKUP(A179,$A$5:$AF$315,32,0)/IFERROR(VLOOKUP(A179,'21-22 child count'!$A$3:$S$317,19,0),0)</f>
        <v>202.54437810945274</v>
      </c>
      <c r="AM179" s="400" t="str">
        <f t="shared" si="51"/>
        <v>Did not Meet</v>
      </c>
      <c r="AO179" s="399">
        <f>VLOOKUP(A179,'42. SEA or LEA Worksheet'!$A$4:$AB$318,28,0)/IFERROR(VLOOKUP('42. SEA or LEA Worksheet'!A230,'21-22 child count'!$A$3:$S$317,3,0),0)</f>
        <v>120573.98940594059</v>
      </c>
      <c r="AP179" s="400" t="str">
        <f t="shared" si="52"/>
        <v>Met</v>
      </c>
      <c r="AR179" s="366" t="str">
        <f t="shared" si="43"/>
        <v>Met</v>
      </c>
      <c r="AU179" s="400" t="str">
        <f t="shared" si="53"/>
        <v>Did not Meet</v>
      </c>
      <c r="AX179" s="400" t="str">
        <f t="shared" si="54"/>
        <v>Did not Meet</v>
      </c>
      <c r="BA179" s="400" t="str">
        <f t="shared" si="55"/>
        <v>Did not Meet</v>
      </c>
      <c r="BD179" s="400" t="str">
        <f t="shared" si="56"/>
        <v>Did not Meet</v>
      </c>
      <c r="BF179" s="366" t="str">
        <f t="shared" si="44"/>
        <v>Met</v>
      </c>
    </row>
    <row r="180" spans="1:58">
      <c r="A180" t="s">
        <v>539</v>
      </c>
      <c r="B180" t="s">
        <v>998</v>
      </c>
      <c r="C180" s="360"/>
      <c r="D180" s="363">
        <v>0</v>
      </c>
      <c r="E180" t="s">
        <v>834</v>
      </c>
      <c r="F180" s="360"/>
      <c r="G180" s="363">
        <v>129020.12</v>
      </c>
      <c r="H180" t="s">
        <v>834</v>
      </c>
      <c r="I180" s="360"/>
      <c r="J180" s="363">
        <v>0</v>
      </c>
      <c r="K180" t="s">
        <v>855</v>
      </c>
      <c r="L180" s="360"/>
      <c r="M180" s="363">
        <v>10751.676666666666</v>
      </c>
      <c r="N180" t="s">
        <v>834</v>
      </c>
      <c r="O180" s="360"/>
      <c r="P180" s="366" t="str">
        <f t="shared" si="41"/>
        <v>Met</v>
      </c>
      <c r="Q180" s="360"/>
      <c r="R180" s="399">
        <v>0</v>
      </c>
      <c r="S180" s="400" t="str">
        <f t="shared" si="45"/>
        <v>Met</v>
      </c>
      <c r="U180" s="399">
        <v>171737.39</v>
      </c>
      <c r="V180" s="400" t="str">
        <f t="shared" si="46"/>
        <v>Met</v>
      </c>
      <c r="X180" s="399">
        <v>0</v>
      </c>
      <c r="Y180" s="400" t="str">
        <f t="shared" si="47"/>
        <v>Did not Meet</v>
      </c>
      <c r="AA180" s="399">
        <v>8586.8695000000007</v>
      </c>
      <c r="AB180" s="400" t="str">
        <f t="shared" si="48"/>
        <v>Did not Meet</v>
      </c>
      <c r="AD180" s="366" t="str">
        <f t="shared" si="42"/>
        <v>Met</v>
      </c>
      <c r="AF180" s="399">
        <v>0</v>
      </c>
      <c r="AG180" s="400" t="str">
        <f t="shared" si="49"/>
        <v>Met</v>
      </c>
      <c r="AI180" s="399">
        <v>190408.99</v>
      </c>
      <c r="AJ180" s="400" t="str">
        <f t="shared" si="50"/>
        <v>Met</v>
      </c>
      <c r="AL180" s="399">
        <f>VLOOKUP(A180,$A$5:$AF$315,32,0)/IFERROR(VLOOKUP(A180,'21-22 child count'!$A$3:$S$317,19,0),0)</f>
        <v>0</v>
      </c>
      <c r="AM180" s="400" t="str">
        <f t="shared" si="51"/>
        <v>Did not Meet</v>
      </c>
      <c r="AO180" s="399">
        <f>VLOOKUP(A180,'42. SEA or LEA Worksheet'!$A$4:$AB$318,28,0)/IFERROR(VLOOKUP('42. SEA or LEA Worksheet'!A176,'21-22 child count'!$A$3:$S$317,3,0),0)</f>
        <v>1007.4549735449735</v>
      </c>
      <c r="AP180" s="400" t="str">
        <f t="shared" si="52"/>
        <v>Did not Meet</v>
      </c>
      <c r="AR180" s="366" t="str">
        <f t="shared" si="43"/>
        <v>Met</v>
      </c>
      <c r="AU180" s="400" t="str">
        <f t="shared" si="53"/>
        <v>Met</v>
      </c>
      <c r="AX180" s="400" t="str">
        <f t="shared" si="54"/>
        <v>Did not Meet</v>
      </c>
      <c r="BA180" s="400" t="str">
        <f t="shared" si="55"/>
        <v>Did not Meet</v>
      </c>
      <c r="BD180" s="400" t="str">
        <f t="shared" si="56"/>
        <v>Did not Meet</v>
      </c>
      <c r="BF180" s="366" t="str">
        <f t="shared" si="44"/>
        <v>Met</v>
      </c>
    </row>
    <row r="181" spans="1:58">
      <c r="A181" t="s">
        <v>343</v>
      </c>
      <c r="B181" t="s">
        <v>1138</v>
      </c>
      <c r="C181" s="360"/>
      <c r="D181" s="363">
        <v>3964.71</v>
      </c>
      <c r="E181" t="s">
        <v>855</v>
      </c>
      <c r="F181" s="360"/>
      <c r="G181" s="363">
        <v>89710.16</v>
      </c>
      <c r="H181" t="s">
        <v>834</v>
      </c>
      <c r="I181" s="360"/>
      <c r="J181" s="363">
        <v>360.42818181818183</v>
      </c>
      <c r="K181" t="s">
        <v>855</v>
      </c>
      <c r="L181" s="360"/>
      <c r="M181" s="363">
        <v>8155.4690909090914</v>
      </c>
      <c r="N181" t="s">
        <v>855</v>
      </c>
      <c r="O181" s="360"/>
      <c r="P181" s="366" t="str">
        <f t="shared" si="41"/>
        <v>Met</v>
      </c>
      <c r="Q181" s="360"/>
      <c r="R181" s="399">
        <v>2889</v>
      </c>
      <c r="S181" s="400" t="str">
        <f t="shared" si="45"/>
        <v>Did not Meet</v>
      </c>
      <c r="U181" s="399">
        <v>87667.37</v>
      </c>
      <c r="V181" s="400" t="str">
        <f t="shared" si="46"/>
        <v>Met</v>
      </c>
      <c r="X181" s="399">
        <v>361.125</v>
      </c>
      <c r="Y181" s="400" t="str">
        <f t="shared" si="47"/>
        <v>Did not Meet</v>
      </c>
      <c r="AA181" s="399">
        <v>10958.421249999999</v>
      </c>
      <c r="AB181" s="400" t="str">
        <f t="shared" si="48"/>
        <v>Did not Meet</v>
      </c>
      <c r="AD181" s="366" t="str">
        <f t="shared" si="42"/>
        <v>Met</v>
      </c>
      <c r="AF181" s="399">
        <v>2890</v>
      </c>
      <c r="AG181" s="400" t="str">
        <f t="shared" si="49"/>
        <v>Did not Meet</v>
      </c>
      <c r="AI181" s="399">
        <v>80310.990000000005</v>
      </c>
      <c r="AJ181" s="400" t="str">
        <f t="shared" si="50"/>
        <v>Did not Meet</v>
      </c>
      <c r="AL181" s="399">
        <f>VLOOKUP(A181,$A$5:$AF$315,32,0)/IFERROR(VLOOKUP(A181,'21-22 child count'!$A$3:$S$317,19,0),0)</f>
        <v>361.25</v>
      </c>
      <c r="AM181" s="400" t="str">
        <f t="shared" si="51"/>
        <v>Did not Meet</v>
      </c>
      <c r="AO181" s="399">
        <f>AI181/8</f>
        <v>10038.873750000001</v>
      </c>
      <c r="AP181" s="400" t="str">
        <f t="shared" si="52"/>
        <v>Did not Meet</v>
      </c>
      <c r="AR181" s="366" t="str">
        <f t="shared" si="43"/>
        <v>Met</v>
      </c>
      <c r="AU181" s="400" t="str">
        <f t="shared" si="53"/>
        <v>Did not Meet</v>
      </c>
      <c r="AX181" s="400" t="str">
        <f t="shared" si="54"/>
        <v>Did not Meet</v>
      </c>
      <c r="BA181" s="400" t="str">
        <f t="shared" si="55"/>
        <v>Did not Meet</v>
      </c>
      <c r="BD181" s="400" t="str">
        <f t="shared" si="56"/>
        <v>Did not Meet</v>
      </c>
      <c r="BF181" s="366" t="str">
        <f t="shared" si="44"/>
        <v>Met</v>
      </c>
    </row>
    <row r="182" spans="1:58">
      <c r="A182" t="s">
        <v>739</v>
      </c>
      <c r="B182" t="s">
        <v>1088</v>
      </c>
      <c r="C182" s="360"/>
      <c r="D182" s="363">
        <v>418502.97</v>
      </c>
      <c r="E182" t="s">
        <v>855</v>
      </c>
      <c r="F182" s="360"/>
      <c r="G182" s="363">
        <v>1816746.69</v>
      </c>
      <c r="H182" t="s">
        <v>834</v>
      </c>
      <c r="I182" s="360"/>
      <c r="J182" s="363">
        <v>2989.3069285714282</v>
      </c>
      <c r="K182" t="s">
        <v>855</v>
      </c>
      <c r="L182" s="360"/>
      <c r="M182" s="363">
        <v>12976.762071428571</v>
      </c>
      <c r="N182" t="s">
        <v>834</v>
      </c>
      <c r="O182" s="360"/>
      <c r="P182" s="366" t="str">
        <f t="shared" si="41"/>
        <v>Met</v>
      </c>
      <c r="Q182" s="360"/>
      <c r="R182" s="399">
        <v>53536.37</v>
      </c>
      <c r="S182" s="400" t="str">
        <f t="shared" si="45"/>
        <v>Did not Meet</v>
      </c>
      <c r="U182" s="399">
        <v>1768991.54</v>
      </c>
      <c r="V182" s="400" t="str">
        <f t="shared" si="46"/>
        <v>Met</v>
      </c>
      <c r="X182" s="399">
        <v>374.38020979020979</v>
      </c>
      <c r="Y182" s="400" t="str">
        <f t="shared" si="47"/>
        <v>Did not Meet</v>
      </c>
      <c r="AA182" s="399">
        <v>12370.57020979021</v>
      </c>
      <c r="AB182" s="400" t="str">
        <f t="shared" si="48"/>
        <v>Did not Meet</v>
      </c>
      <c r="AD182" s="366" t="str">
        <f t="shared" si="42"/>
        <v>Met</v>
      </c>
      <c r="AF182" s="399">
        <v>0</v>
      </c>
      <c r="AG182" s="400" t="str">
        <f t="shared" si="49"/>
        <v>Did not Meet</v>
      </c>
      <c r="AI182" s="399">
        <v>1860948.28</v>
      </c>
      <c r="AJ182" s="400" t="str">
        <f t="shared" si="50"/>
        <v>Met</v>
      </c>
      <c r="AL182" s="399">
        <f>VLOOKUP(A182,$A$5:$AF$315,32,0)/IFERROR(VLOOKUP(A182,'21-22 child count'!$A$3:$S$317,19,0),0)</f>
        <v>0</v>
      </c>
      <c r="AM182" s="400" t="str">
        <f t="shared" si="51"/>
        <v>Did not Meet</v>
      </c>
      <c r="AO182" s="399">
        <f>VLOOKUP(A182,'42. SEA or LEA Worksheet'!$A$4:$AB$318,28,0)/IFERROR(VLOOKUP('42. SEA or LEA Worksheet'!A271,'21-22 child count'!$A$3:$S$317,3,0),0)</f>
        <v>16198.715438596491</v>
      </c>
      <c r="AP182" s="400" t="str">
        <f t="shared" si="52"/>
        <v>Did not Meet</v>
      </c>
      <c r="AR182" s="366" t="str">
        <f t="shared" si="43"/>
        <v>Met</v>
      </c>
      <c r="AU182" s="400" t="str">
        <f t="shared" si="53"/>
        <v>Did not Meet</v>
      </c>
      <c r="AX182" s="400" t="str">
        <f t="shared" si="54"/>
        <v>Did not Meet</v>
      </c>
      <c r="BA182" s="400" t="str">
        <f t="shared" si="55"/>
        <v>Did not Meet</v>
      </c>
      <c r="BD182" s="400" t="str">
        <f t="shared" si="56"/>
        <v>Did not Meet</v>
      </c>
      <c r="BF182" s="366" t="str">
        <f t="shared" si="44"/>
        <v>Met</v>
      </c>
    </row>
    <row r="183" spans="1:58">
      <c r="A183" t="s">
        <v>475</v>
      </c>
      <c r="B183" t="s">
        <v>966</v>
      </c>
      <c r="C183" s="360"/>
      <c r="D183" s="363">
        <v>424386</v>
      </c>
      <c r="E183" t="s">
        <v>855</v>
      </c>
      <c r="F183" s="360"/>
      <c r="G183" s="363">
        <v>16165743.15</v>
      </c>
      <c r="H183" t="s">
        <v>834</v>
      </c>
      <c r="I183" s="360"/>
      <c r="J183" s="363">
        <v>297.60589060308553</v>
      </c>
      <c r="K183" t="s">
        <v>855</v>
      </c>
      <c r="L183" s="360"/>
      <c r="M183" s="363">
        <v>11336.4257713885</v>
      </c>
      <c r="N183" t="s">
        <v>855</v>
      </c>
      <c r="O183" s="360"/>
      <c r="P183" s="366" t="str">
        <f t="shared" si="41"/>
        <v>Met</v>
      </c>
      <c r="Q183" s="360"/>
      <c r="R183" s="399">
        <v>510840.32000000001</v>
      </c>
      <c r="S183" s="400" t="str">
        <f t="shared" si="45"/>
        <v>Did not Meet</v>
      </c>
      <c r="U183" s="399">
        <v>16263778.939999999</v>
      </c>
      <c r="V183" s="400" t="str">
        <f t="shared" si="46"/>
        <v>Met</v>
      </c>
      <c r="X183" s="399">
        <v>378.96166172106825</v>
      </c>
      <c r="Y183" s="400" t="str">
        <f t="shared" si="47"/>
        <v>Did not Meet</v>
      </c>
      <c r="AA183" s="399">
        <v>12065.117908011869</v>
      </c>
      <c r="AB183" s="400" t="str">
        <f t="shared" si="48"/>
        <v>Did not Meet</v>
      </c>
      <c r="AD183" s="366" t="str">
        <f t="shared" si="42"/>
        <v>Met</v>
      </c>
      <c r="AF183" s="399">
        <v>306210.32</v>
      </c>
      <c r="AG183" s="400" t="str">
        <f t="shared" si="49"/>
        <v>Did not Meet</v>
      </c>
      <c r="AI183" s="399">
        <v>18359942.789999999</v>
      </c>
      <c r="AJ183" s="400" t="str">
        <f t="shared" si="50"/>
        <v>Met</v>
      </c>
      <c r="AL183" s="399">
        <f>VLOOKUP(A183,$A$5:$AF$315,32,0)/IFERROR(VLOOKUP(A183,'21-22 child count'!$A$3:$S$317,19,0),0)</f>
        <v>213.68480111653872</v>
      </c>
      <c r="AM183" s="400" t="str">
        <f t="shared" si="51"/>
        <v>Did not Meet</v>
      </c>
      <c r="AO183" s="399">
        <f>VLOOKUP(A183,'42. SEA or LEA Worksheet'!$A$4:$AB$318,28,0)/IFERROR(VLOOKUP('42. SEA or LEA Worksheet'!A144,'21-22 child count'!$A$3:$S$317,3,0),0)</f>
        <v>159767.54398230088</v>
      </c>
      <c r="AP183" s="400" t="str">
        <f t="shared" si="52"/>
        <v>Did not Meet</v>
      </c>
      <c r="AR183" s="366" t="str">
        <f t="shared" si="43"/>
        <v>Met</v>
      </c>
      <c r="AU183" s="400" t="str">
        <f t="shared" si="53"/>
        <v>Did not Meet</v>
      </c>
      <c r="AX183" s="400" t="str">
        <f t="shared" si="54"/>
        <v>Did not Meet</v>
      </c>
      <c r="BA183" s="400" t="str">
        <f t="shared" si="55"/>
        <v>Did not Meet</v>
      </c>
      <c r="BD183" s="400" t="str">
        <f t="shared" si="56"/>
        <v>Did not Meet</v>
      </c>
      <c r="BF183" s="366" t="str">
        <f t="shared" si="44"/>
        <v>Met</v>
      </c>
    </row>
    <row r="184" spans="1:58">
      <c r="A184" t="s">
        <v>547</v>
      </c>
      <c r="B184" t="s">
        <v>1002</v>
      </c>
      <c r="C184" s="360"/>
      <c r="D184" s="363">
        <v>0</v>
      </c>
      <c r="E184" t="s">
        <v>834</v>
      </c>
      <c r="F184" s="360"/>
      <c r="G184" s="363">
        <v>281207.83</v>
      </c>
      <c r="H184" t="s">
        <v>834</v>
      </c>
      <c r="I184" s="360"/>
      <c r="J184" s="363">
        <v>0</v>
      </c>
      <c r="K184" t="s">
        <v>834</v>
      </c>
      <c r="L184" s="360"/>
      <c r="M184" s="363">
        <v>10415.104814814815</v>
      </c>
      <c r="N184" t="s">
        <v>855</v>
      </c>
      <c r="O184" s="360"/>
      <c r="P184" s="366" t="str">
        <f t="shared" ref="P184:P247" si="57">IF(AND(E184="Did not Meet",H184="Did not Meet",K184="Did not Meet", N184="Did not Meet"),"Did not Meet","Met")</f>
        <v>Met</v>
      </c>
      <c r="Q184" s="360"/>
      <c r="R184" s="399">
        <v>0</v>
      </c>
      <c r="S184" s="400" t="str">
        <f t="shared" si="45"/>
        <v>Met</v>
      </c>
      <c r="U184" s="399">
        <v>260539.32</v>
      </c>
      <c r="V184" s="400" t="str">
        <f t="shared" si="46"/>
        <v>Met</v>
      </c>
      <c r="X184" s="399">
        <v>0</v>
      </c>
      <c r="Y184" s="400" t="str">
        <f t="shared" si="47"/>
        <v>Met</v>
      </c>
      <c r="AA184" s="399">
        <v>10855.805</v>
      </c>
      <c r="AB184" s="400" t="str">
        <f t="shared" si="48"/>
        <v>Did not Meet</v>
      </c>
      <c r="AD184" s="366" t="str">
        <f t="shared" si="42"/>
        <v>Met</v>
      </c>
      <c r="AF184" s="399">
        <v>0</v>
      </c>
      <c r="AG184" s="400" t="str">
        <f t="shared" si="49"/>
        <v>Met</v>
      </c>
      <c r="AI184" s="399">
        <v>314601.73</v>
      </c>
      <c r="AJ184" s="400" t="str">
        <f t="shared" si="50"/>
        <v>Met</v>
      </c>
      <c r="AL184" s="399">
        <f>VLOOKUP(A184,$A$5:$AF$315,32,0)/IFERROR(VLOOKUP(A184,'21-22 child count'!$A$3:$S$317,19,0),0)</f>
        <v>0</v>
      </c>
      <c r="AM184" s="400" t="str">
        <f t="shared" si="51"/>
        <v>Met</v>
      </c>
      <c r="AO184" s="399">
        <f>VLOOKUP(A184,'42. SEA or LEA Worksheet'!$A$4:$AB$318,28,0)/IFERROR(VLOOKUP('42. SEA or LEA Worksheet'!A180,'21-22 child count'!$A$3:$S$317,3,0),0)</f>
        <v>2784.0861061946903</v>
      </c>
      <c r="AP184" s="400" t="str">
        <f t="shared" si="52"/>
        <v>Did not Meet</v>
      </c>
      <c r="AR184" s="366" t="str">
        <f t="shared" si="43"/>
        <v>Met</v>
      </c>
      <c r="AU184" s="400" t="str">
        <f t="shared" si="53"/>
        <v>Met</v>
      </c>
      <c r="AX184" s="400" t="str">
        <f t="shared" si="54"/>
        <v>Did not Meet</v>
      </c>
      <c r="BA184" s="400" t="str">
        <f t="shared" si="55"/>
        <v>Met</v>
      </c>
      <c r="BD184" s="400" t="str">
        <f t="shared" si="56"/>
        <v>Did not Meet</v>
      </c>
      <c r="BF184" s="366" t="str">
        <f t="shared" si="44"/>
        <v>Met</v>
      </c>
    </row>
    <row r="185" spans="1:58">
      <c r="A185" t="s">
        <v>345</v>
      </c>
      <c r="B185" t="s">
        <v>909</v>
      </c>
      <c r="C185" s="360"/>
      <c r="D185" s="363">
        <v>892221.14</v>
      </c>
      <c r="E185" t="s">
        <v>855</v>
      </c>
      <c r="F185" s="360"/>
      <c r="G185" s="363">
        <v>41743817.600000001</v>
      </c>
      <c r="H185" t="s">
        <v>834</v>
      </c>
      <c r="I185" s="360"/>
      <c r="J185" s="363">
        <v>331.68072118959111</v>
      </c>
      <c r="K185" t="s">
        <v>855</v>
      </c>
      <c r="L185" s="360"/>
      <c r="M185" s="363">
        <v>15518.14780669145</v>
      </c>
      <c r="N185" t="s">
        <v>834</v>
      </c>
      <c r="O185" s="360"/>
      <c r="P185" s="366" t="str">
        <f t="shared" si="57"/>
        <v>Met</v>
      </c>
      <c r="Q185" s="360"/>
      <c r="R185" s="399">
        <v>1238515.07</v>
      </c>
      <c r="S185" s="400" t="str">
        <f t="shared" si="45"/>
        <v>Did not Meet</v>
      </c>
      <c r="U185" s="399">
        <v>44400903.469999999</v>
      </c>
      <c r="V185" s="400" t="str">
        <f t="shared" si="46"/>
        <v>Met</v>
      </c>
      <c r="X185" s="399">
        <v>467.71717145015106</v>
      </c>
      <c r="Y185" s="400" t="str">
        <f t="shared" si="47"/>
        <v>Did not Meet</v>
      </c>
      <c r="AA185" s="399">
        <v>16767.712790785499</v>
      </c>
      <c r="AB185" s="400" t="str">
        <f t="shared" si="48"/>
        <v>Met</v>
      </c>
      <c r="AD185" s="366" t="str">
        <f t="shared" si="42"/>
        <v>Met</v>
      </c>
      <c r="AF185" s="399">
        <v>1241534.4099999999</v>
      </c>
      <c r="AG185" s="400" t="str">
        <f t="shared" si="49"/>
        <v>Did not Meet</v>
      </c>
      <c r="AI185" s="399">
        <v>46618156.719999999</v>
      </c>
      <c r="AJ185" s="400" t="str">
        <f t="shared" si="50"/>
        <v>Met</v>
      </c>
      <c r="AL185" s="399">
        <f>VLOOKUP(A185,$A$5:$AF$315,32,0)/IFERROR(VLOOKUP(A185,'21-22 child count'!$A$3:$S$317,19,0),0)</f>
        <v>482.52406140691795</v>
      </c>
      <c r="AM185" s="400" t="str">
        <f t="shared" si="51"/>
        <v>Did not Meet</v>
      </c>
      <c r="AO185" s="399">
        <f>VLOOKUP(A185,'42. SEA or LEA Worksheet'!$A$4:$AB$318,28,0)/IFERROR(VLOOKUP('42. SEA or LEA Worksheet'!A78,'21-22 child count'!$A$3:$S$317,3,0),0)</f>
        <v>401563.02929203538</v>
      </c>
      <c r="AP185" s="400" t="str">
        <f t="shared" si="52"/>
        <v>Met</v>
      </c>
      <c r="AR185" s="366" t="str">
        <f t="shared" si="43"/>
        <v>Met</v>
      </c>
      <c r="AU185" s="400" t="str">
        <f t="shared" si="53"/>
        <v>Did not Meet</v>
      </c>
      <c r="AX185" s="400" t="str">
        <f t="shared" si="54"/>
        <v>Did not Meet</v>
      </c>
      <c r="BA185" s="400" t="str">
        <f t="shared" si="55"/>
        <v>Did not Meet</v>
      </c>
      <c r="BD185" s="400" t="str">
        <f t="shared" si="56"/>
        <v>Did not Meet</v>
      </c>
      <c r="BF185" s="366" t="str">
        <f t="shared" si="44"/>
        <v>Met</v>
      </c>
    </row>
    <row r="186" spans="1:58">
      <c r="A186" t="s">
        <v>551</v>
      </c>
      <c r="B186" t="s">
        <v>1004</v>
      </c>
      <c r="C186" s="360"/>
      <c r="D186" s="363">
        <v>5230377.7699999996</v>
      </c>
      <c r="E186" t="s">
        <v>834</v>
      </c>
      <c r="F186" s="360"/>
      <c r="G186" s="363">
        <v>22215384.109999999</v>
      </c>
      <c r="H186" t="s">
        <v>834</v>
      </c>
      <c r="I186" s="360"/>
      <c r="J186" s="363">
        <v>3473.0264077025231</v>
      </c>
      <c r="K186" t="s">
        <v>834</v>
      </c>
      <c r="L186" s="360"/>
      <c r="M186" s="363">
        <v>14751.251069057105</v>
      </c>
      <c r="N186" t="s">
        <v>855</v>
      </c>
      <c r="O186" s="360"/>
      <c r="P186" s="366" t="str">
        <f t="shared" si="57"/>
        <v>Met</v>
      </c>
      <c r="Q186" s="360"/>
      <c r="R186" s="399">
        <v>5230377.7699999996</v>
      </c>
      <c r="S186" s="400" t="str">
        <f t="shared" si="45"/>
        <v>Met</v>
      </c>
      <c r="U186" s="399">
        <v>23336394.710000001</v>
      </c>
      <c r="V186" s="400" t="str">
        <f t="shared" si="46"/>
        <v>Met</v>
      </c>
      <c r="X186" s="399">
        <v>3637.2585326842836</v>
      </c>
      <c r="Y186" s="400" t="str">
        <f t="shared" si="47"/>
        <v>Met</v>
      </c>
      <c r="AA186" s="399">
        <v>16228.369061196106</v>
      </c>
      <c r="AB186" s="400" t="str">
        <f t="shared" si="48"/>
        <v>Did not Meet</v>
      </c>
      <c r="AD186" s="366" t="str">
        <f t="shared" si="42"/>
        <v>Met</v>
      </c>
      <c r="AF186" s="399">
        <v>7495716.3600000003</v>
      </c>
      <c r="AG186" s="400" t="str">
        <f t="shared" si="49"/>
        <v>Met</v>
      </c>
      <c r="AI186" s="399">
        <v>31729937.789999999</v>
      </c>
      <c r="AJ186" s="400" t="str">
        <f t="shared" si="50"/>
        <v>Met</v>
      </c>
      <c r="AL186" s="399">
        <f>VLOOKUP(A186,$A$5:$AF$315,32,0)/IFERROR(VLOOKUP(A186,'21-22 child count'!$A$3:$S$317,19,0),0)</f>
        <v>4759.1849904761903</v>
      </c>
      <c r="AM186" s="400" t="str">
        <f t="shared" si="51"/>
        <v>Met</v>
      </c>
      <c r="AO186" s="399">
        <f>VLOOKUP(A186,'42. SEA or LEA Worksheet'!$A$4:$AB$318,28,0)/IFERROR(VLOOKUP('42. SEA or LEA Worksheet'!A182,'21-22 child count'!$A$3:$S$317,3,0),0)</f>
        <v>141633.98228070175</v>
      </c>
      <c r="AP186" s="400" t="str">
        <f t="shared" si="52"/>
        <v>Did not Meet</v>
      </c>
      <c r="AR186" s="366" t="str">
        <f t="shared" si="43"/>
        <v>Met</v>
      </c>
      <c r="AU186" s="400" t="str">
        <f t="shared" si="53"/>
        <v>Did not Meet</v>
      </c>
      <c r="AX186" s="400" t="str">
        <f t="shared" si="54"/>
        <v>Did not Meet</v>
      </c>
      <c r="BA186" s="400" t="str">
        <f t="shared" si="55"/>
        <v>Did not Meet</v>
      </c>
      <c r="BD186" s="400" t="str">
        <f t="shared" si="56"/>
        <v>Did not Meet</v>
      </c>
      <c r="BF186" s="366" t="str">
        <f t="shared" si="44"/>
        <v>Met</v>
      </c>
    </row>
    <row r="187" spans="1:58">
      <c r="A187" t="s">
        <v>553</v>
      </c>
      <c r="B187" t="s">
        <v>1005</v>
      </c>
      <c r="C187" s="360"/>
      <c r="D187" s="363">
        <v>40000</v>
      </c>
      <c r="E187" t="s">
        <v>834</v>
      </c>
      <c r="F187" s="360"/>
      <c r="G187" s="363">
        <v>7493045.0300000003</v>
      </c>
      <c r="H187" t="s">
        <v>834</v>
      </c>
      <c r="I187" s="360"/>
      <c r="J187" s="363">
        <v>45.402951191827469</v>
      </c>
      <c r="K187" t="s">
        <v>855</v>
      </c>
      <c r="L187" s="360"/>
      <c r="M187" s="363">
        <v>8505.1589443813846</v>
      </c>
      <c r="N187" t="s">
        <v>834</v>
      </c>
      <c r="O187" s="360"/>
      <c r="P187" s="366" t="str">
        <f t="shared" si="57"/>
        <v>Met</v>
      </c>
      <c r="Q187" s="360"/>
      <c r="R187" s="399">
        <v>40000</v>
      </c>
      <c r="S187" s="400" t="str">
        <f t="shared" si="45"/>
        <v>Met</v>
      </c>
      <c r="U187" s="399">
        <v>9796912.8399999999</v>
      </c>
      <c r="V187" s="400" t="str">
        <f t="shared" si="46"/>
        <v>Met</v>
      </c>
      <c r="X187" s="399">
        <v>37.002775208140612</v>
      </c>
      <c r="Y187" s="400" t="str">
        <f t="shared" si="47"/>
        <v>Did not Meet</v>
      </c>
      <c r="AA187" s="399">
        <v>9062.8240888066612</v>
      </c>
      <c r="AB187" s="400" t="str">
        <f t="shared" si="48"/>
        <v>Met</v>
      </c>
      <c r="AD187" s="366" t="str">
        <f t="shared" si="42"/>
        <v>Met</v>
      </c>
      <c r="AF187" s="399">
        <v>40000</v>
      </c>
      <c r="AG187" s="400" t="str">
        <f t="shared" si="49"/>
        <v>Met</v>
      </c>
      <c r="AI187" s="399">
        <v>8755628.3200000003</v>
      </c>
      <c r="AJ187" s="400" t="str">
        <f t="shared" si="50"/>
        <v>Did not Meet</v>
      </c>
      <c r="AL187" s="399">
        <f>VLOOKUP(A187,$A$5:$AF$315,32,0)/IFERROR(VLOOKUP(A187,'21-22 child count'!$A$3:$S$317,19,0),0)</f>
        <v>43.103448275862071</v>
      </c>
      <c r="AM187" s="400" t="str">
        <f t="shared" si="51"/>
        <v>Did not Meet</v>
      </c>
      <c r="AO187" s="399">
        <f>VLOOKUP(A187,'42. SEA or LEA Worksheet'!$A$4:$AB$318,28,0)/IFERROR(VLOOKUP('42. SEA or LEA Worksheet'!A183,'21-22 child count'!$A$3:$S$317,3,0),0)</f>
        <v>77129.454159292043</v>
      </c>
      <c r="AP187" s="400" t="str">
        <f t="shared" si="52"/>
        <v>Met</v>
      </c>
      <c r="AR187" s="366" t="str">
        <f t="shared" si="43"/>
        <v>Met</v>
      </c>
      <c r="AU187" s="400" t="str">
        <f t="shared" si="53"/>
        <v>Did not Meet</v>
      </c>
      <c r="AX187" s="400" t="str">
        <f t="shared" si="54"/>
        <v>Did not Meet</v>
      </c>
      <c r="BA187" s="400" t="str">
        <f t="shared" si="55"/>
        <v>Did not Meet</v>
      </c>
      <c r="BD187" s="400" t="str">
        <f t="shared" si="56"/>
        <v>Did not Meet</v>
      </c>
      <c r="BF187" s="366" t="str">
        <f t="shared" si="44"/>
        <v>Met</v>
      </c>
    </row>
    <row r="188" spans="1:58">
      <c r="A188" t="s">
        <v>577</v>
      </c>
      <c r="B188" t="s">
        <v>1017</v>
      </c>
      <c r="C188" s="360"/>
      <c r="D188" s="363">
        <v>789342.58</v>
      </c>
      <c r="E188" t="s">
        <v>855</v>
      </c>
      <c r="F188" s="360"/>
      <c r="G188" s="363">
        <v>26405061.549999997</v>
      </c>
      <c r="H188" t="s">
        <v>834</v>
      </c>
      <c r="I188" s="360"/>
      <c r="J188" s="363">
        <v>317.00505220883531</v>
      </c>
      <c r="K188" t="s">
        <v>855</v>
      </c>
      <c r="L188" s="360"/>
      <c r="M188" s="363">
        <v>10604.442389558231</v>
      </c>
      <c r="N188" t="s">
        <v>834</v>
      </c>
      <c r="O188" s="360"/>
      <c r="P188" s="366" t="str">
        <f t="shared" si="57"/>
        <v>Met</v>
      </c>
      <c r="Q188" s="360"/>
      <c r="R188" s="399">
        <v>1111533.25</v>
      </c>
      <c r="S188" s="400" t="str">
        <f t="shared" si="45"/>
        <v>Did not Meet</v>
      </c>
      <c r="U188" s="399">
        <v>27275789.739999998</v>
      </c>
      <c r="V188" s="400" t="str">
        <f t="shared" si="46"/>
        <v>Met</v>
      </c>
      <c r="X188" s="399">
        <v>472.18914613423959</v>
      </c>
      <c r="Y188" s="400" t="str">
        <f t="shared" si="47"/>
        <v>Did not Meet</v>
      </c>
      <c r="AA188" s="399">
        <v>11586.996491079013</v>
      </c>
      <c r="AB188" s="400" t="str">
        <f t="shared" si="48"/>
        <v>Met</v>
      </c>
      <c r="AD188" s="366" t="str">
        <f t="shared" si="42"/>
        <v>Met</v>
      </c>
      <c r="AF188" s="399">
        <v>1181721.48</v>
      </c>
      <c r="AG188" s="400" t="str">
        <f t="shared" si="49"/>
        <v>Did not Meet</v>
      </c>
      <c r="AI188" s="399">
        <v>29005749.550000001</v>
      </c>
      <c r="AJ188" s="400" t="str">
        <f t="shared" si="50"/>
        <v>Met</v>
      </c>
      <c r="AL188" s="399">
        <f>VLOOKUP(A188,$A$5:$AF$315,32,0)/IFERROR(VLOOKUP(A188,'21-22 child count'!$A$3:$S$317,19,0),0)</f>
        <v>495.0655550900712</v>
      </c>
      <c r="AM188" s="400" t="str">
        <f t="shared" si="51"/>
        <v>Did not Meet</v>
      </c>
      <c r="AO188" s="399">
        <f>VLOOKUP(A188,'42. SEA or LEA Worksheet'!$A$4:$AB$318,28,0)/IFERROR(VLOOKUP('42. SEA or LEA Worksheet'!A195,'21-22 child count'!$A$3:$S$317,3,0),0)</f>
        <v>271964.62693069305</v>
      </c>
      <c r="AP188" s="400" t="str">
        <f t="shared" si="52"/>
        <v>Met</v>
      </c>
      <c r="AR188" s="366" t="str">
        <f t="shared" si="43"/>
        <v>Met</v>
      </c>
      <c r="AU188" s="400" t="str">
        <f t="shared" si="53"/>
        <v>Did not Meet</v>
      </c>
      <c r="AX188" s="400" t="str">
        <f t="shared" si="54"/>
        <v>Did not Meet</v>
      </c>
      <c r="BA188" s="400" t="str">
        <f t="shared" si="55"/>
        <v>Did not Meet</v>
      </c>
      <c r="BD188" s="400" t="str">
        <f t="shared" si="56"/>
        <v>Did not Meet</v>
      </c>
      <c r="BF188" s="366" t="str">
        <f t="shared" si="44"/>
        <v>Met</v>
      </c>
    </row>
    <row r="189" spans="1:58">
      <c r="A189" t="s">
        <v>232</v>
      </c>
      <c r="B189" t="s">
        <v>854</v>
      </c>
      <c r="C189" s="360"/>
      <c r="D189" s="363">
        <v>133484.91</v>
      </c>
      <c r="E189" t="s">
        <v>834</v>
      </c>
      <c r="F189" s="360"/>
      <c r="G189" s="363">
        <v>839139</v>
      </c>
      <c r="H189" t="s">
        <v>834</v>
      </c>
      <c r="I189" s="360"/>
      <c r="J189" s="363">
        <v>1828.5604109589042</v>
      </c>
      <c r="K189" t="s">
        <v>834</v>
      </c>
      <c r="L189" s="360"/>
      <c r="M189" s="363">
        <v>11495.054794520547</v>
      </c>
      <c r="N189" t="s">
        <v>834</v>
      </c>
      <c r="O189" s="360"/>
      <c r="P189" s="366" t="str">
        <f t="shared" si="57"/>
        <v>Met</v>
      </c>
      <c r="Q189" s="360"/>
      <c r="R189" s="399">
        <v>39604.36</v>
      </c>
      <c r="S189" s="400" t="str">
        <f t="shared" si="45"/>
        <v>Did not Meet</v>
      </c>
      <c r="U189" s="399">
        <v>844582.55999999994</v>
      </c>
      <c r="V189" s="400" t="str">
        <f t="shared" si="46"/>
        <v>Met</v>
      </c>
      <c r="X189" s="399">
        <v>507.74820512820514</v>
      </c>
      <c r="Y189" s="400" t="str">
        <f t="shared" si="47"/>
        <v>Did not Meet</v>
      </c>
      <c r="AA189" s="399">
        <v>10827.981538461538</v>
      </c>
      <c r="AB189" s="400" t="str">
        <f t="shared" si="48"/>
        <v>Did not Meet</v>
      </c>
      <c r="AD189" s="366" t="str">
        <f t="shared" si="42"/>
        <v>Met</v>
      </c>
      <c r="AF189" s="399">
        <v>32607.79</v>
      </c>
      <c r="AG189" s="400" t="str">
        <f t="shared" si="49"/>
        <v>Did not Meet</v>
      </c>
      <c r="AI189" s="399">
        <v>852380.01</v>
      </c>
      <c r="AJ189" s="400" t="str">
        <f t="shared" si="50"/>
        <v>Met</v>
      </c>
      <c r="AL189" s="399">
        <f>VLOOKUP(A189,$A$5:$AF$315,32,0)/IFERROR(VLOOKUP(A189,'21-22 child count'!$A$3:$S$317,19,0),0)</f>
        <v>440.64581081081081</v>
      </c>
      <c r="AM189" s="400" t="str">
        <f t="shared" si="51"/>
        <v>Did not Meet</v>
      </c>
      <c r="AO189" s="399">
        <f>VLOOKUP(A189,'42. SEA or LEA Worksheet'!$A$4:$AB$318,28,0)/IFERROR(VLOOKUP('42. SEA or LEA Worksheet'!A22,'21-22 child count'!$A$3:$S$317,3,0),0)</f>
        <v>4622.0315204678363</v>
      </c>
      <c r="AP189" s="400" t="str">
        <f t="shared" si="52"/>
        <v>Did not Meet</v>
      </c>
      <c r="AR189" s="366" t="str">
        <f t="shared" si="43"/>
        <v>Met</v>
      </c>
      <c r="AU189" s="400" t="str">
        <f t="shared" si="53"/>
        <v>Did not Meet</v>
      </c>
      <c r="AX189" s="400" t="str">
        <f t="shared" si="54"/>
        <v>Did not Meet</v>
      </c>
      <c r="BA189" s="400" t="str">
        <f t="shared" si="55"/>
        <v>Did not Meet</v>
      </c>
      <c r="BD189" s="400" t="str">
        <f t="shared" si="56"/>
        <v>Did not Meet</v>
      </c>
      <c r="BF189" s="366" t="str">
        <f t="shared" si="44"/>
        <v>Met</v>
      </c>
    </row>
    <row r="190" spans="1:58">
      <c r="A190" t="s">
        <v>487</v>
      </c>
      <c r="B190" t="s">
        <v>972</v>
      </c>
      <c r="C190" s="360"/>
      <c r="D190" s="363">
        <v>387760.62</v>
      </c>
      <c r="E190" t="s">
        <v>855</v>
      </c>
      <c r="F190" s="360"/>
      <c r="G190" s="363">
        <v>10507815.699999999</v>
      </c>
      <c r="H190" t="s">
        <v>834</v>
      </c>
      <c r="I190" s="360"/>
      <c r="J190" s="363">
        <v>468.87620314389358</v>
      </c>
      <c r="K190" t="s">
        <v>855</v>
      </c>
      <c r="L190" s="360"/>
      <c r="M190" s="363">
        <v>12705.944014510278</v>
      </c>
      <c r="N190" t="s">
        <v>834</v>
      </c>
      <c r="O190" s="360"/>
      <c r="P190" s="366" t="str">
        <f t="shared" si="57"/>
        <v>Met</v>
      </c>
      <c r="Q190" s="360"/>
      <c r="R190" s="399">
        <v>387890.37</v>
      </c>
      <c r="S190" s="400" t="str">
        <f t="shared" si="45"/>
        <v>Did not Meet</v>
      </c>
      <c r="U190" s="399">
        <v>10267580.529999999</v>
      </c>
      <c r="V190" s="400" t="str">
        <f t="shared" si="46"/>
        <v>Met</v>
      </c>
      <c r="X190" s="399">
        <v>522.05971736204572</v>
      </c>
      <c r="Y190" s="400" t="str">
        <f t="shared" si="47"/>
        <v>Did not Meet</v>
      </c>
      <c r="AA190" s="399">
        <v>13819.085504710632</v>
      </c>
      <c r="AB190" s="400" t="str">
        <f t="shared" si="48"/>
        <v>Met</v>
      </c>
      <c r="AD190" s="366" t="str">
        <f t="shared" si="42"/>
        <v>Met</v>
      </c>
      <c r="AF190" s="399">
        <v>390410.91</v>
      </c>
      <c r="AG190" s="400" t="str">
        <f t="shared" si="49"/>
        <v>Did not Meet</v>
      </c>
      <c r="AI190" s="399">
        <v>12894934.41</v>
      </c>
      <c r="AJ190" s="400" t="str">
        <f t="shared" si="50"/>
        <v>Met</v>
      </c>
      <c r="AL190" s="399">
        <f>VLOOKUP(A190,$A$5:$AF$315,32,0)/IFERROR(VLOOKUP(A190,'21-22 child count'!$A$3:$S$317,19,0),0)</f>
        <v>511.00904450261777</v>
      </c>
      <c r="AM190" s="400" t="str">
        <f t="shared" si="51"/>
        <v>Did not Meet</v>
      </c>
      <c r="AO190" s="399">
        <f>VLOOKUP(A190,'42. SEA or LEA Worksheet'!$A$4:$AB$318,28,0)/IFERROR(VLOOKUP('42. SEA or LEA Worksheet'!A150,'21-22 child count'!$A$3:$S$317,3,0),0)</f>
        <v>111557.54928571428</v>
      </c>
      <c r="AP190" s="400" t="str">
        <f t="shared" si="52"/>
        <v>Met</v>
      </c>
      <c r="AR190" s="366" t="str">
        <f t="shared" si="43"/>
        <v>Met</v>
      </c>
      <c r="AU190" s="400" t="str">
        <f t="shared" si="53"/>
        <v>Did not Meet</v>
      </c>
      <c r="AX190" s="400" t="str">
        <f t="shared" si="54"/>
        <v>Did not Meet</v>
      </c>
      <c r="BA190" s="400" t="str">
        <f t="shared" si="55"/>
        <v>Did not Meet</v>
      </c>
      <c r="BD190" s="400" t="str">
        <f t="shared" si="56"/>
        <v>Did not Meet</v>
      </c>
      <c r="BF190" s="366" t="str">
        <f t="shared" si="44"/>
        <v>Met</v>
      </c>
    </row>
    <row r="191" spans="1:58">
      <c r="A191" t="s">
        <v>537</v>
      </c>
      <c r="B191" t="s">
        <v>997</v>
      </c>
      <c r="C191" s="360"/>
      <c r="D191" s="363">
        <v>600000</v>
      </c>
      <c r="E191" t="s">
        <v>855</v>
      </c>
      <c r="F191" s="360"/>
      <c r="G191" s="363">
        <v>12523241.51</v>
      </c>
      <c r="H191" t="s">
        <v>834</v>
      </c>
      <c r="I191" s="360"/>
      <c r="J191" s="363">
        <v>589.97050147492621</v>
      </c>
      <c r="K191" t="s">
        <v>855</v>
      </c>
      <c r="L191" s="360"/>
      <c r="M191" s="363">
        <v>12313.905122910521</v>
      </c>
      <c r="N191" t="s">
        <v>855</v>
      </c>
      <c r="O191" s="360"/>
      <c r="P191" s="366" t="str">
        <f t="shared" si="57"/>
        <v>Met</v>
      </c>
      <c r="Q191" s="360"/>
      <c r="R191" s="399">
        <v>587970.02</v>
      </c>
      <c r="S191" s="400" t="str">
        <f t="shared" si="45"/>
        <v>Did not Meet</v>
      </c>
      <c r="U191" s="399">
        <v>12608255.389999999</v>
      </c>
      <c r="V191" s="400" t="str">
        <f t="shared" si="46"/>
        <v>Met</v>
      </c>
      <c r="X191" s="399">
        <v>585.04479601990056</v>
      </c>
      <c r="Y191" s="400" t="str">
        <f t="shared" si="47"/>
        <v>Did not Meet</v>
      </c>
      <c r="AA191" s="399">
        <v>12545.527751243781</v>
      </c>
      <c r="AB191" s="400" t="str">
        <f t="shared" si="48"/>
        <v>Did not Meet</v>
      </c>
      <c r="AD191" s="366" t="str">
        <f t="shared" si="42"/>
        <v>Met</v>
      </c>
      <c r="AF191" s="399">
        <v>641894.31000000006</v>
      </c>
      <c r="AG191" s="400" t="str">
        <f t="shared" si="49"/>
        <v>Did not Meet</v>
      </c>
      <c r="AI191" s="399">
        <v>17118387</v>
      </c>
      <c r="AJ191" s="400" t="str">
        <f t="shared" si="50"/>
        <v>Met</v>
      </c>
      <c r="AL191" s="399">
        <f>VLOOKUP(A191,$A$5:$AF$315,32,0)/IFERROR(VLOOKUP(A191,'21-22 child count'!$A$3:$S$317,19,0),0)</f>
        <v>635.53892079207924</v>
      </c>
      <c r="AM191" s="400" t="str">
        <f t="shared" si="51"/>
        <v>Did not Meet</v>
      </c>
      <c r="AO191" s="399">
        <f>VLOOKUP(A191,'42. SEA or LEA Worksheet'!$A$4:$AB$318,28,0)/IFERROR(VLOOKUP('42. SEA or LEA Worksheet'!A175,'21-22 child count'!$A$3:$S$317,3,0),0)</f>
        <v>108813.66776859504</v>
      </c>
      <c r="AP191" s="400" t="str">
        <f t="shared" si="52"/>
        <v>Did not Meet</v>
      </c>
      <c r="AR191" s="366" t="str">
        <f t="shared" si="43"/>
        <v>Met</v>
      </c>
      <c r="AU191" s="400" t="str">
        <f t="shared" si="53"/>
        <v>Did not Meet</v>
      </c>
      <c r="AX191" s="400" t="str">
        <f t="shared" si="54"/>
        <v>Did not Meet</v>
      </c>
      <c r="BA191" s="400" t="str">
        <f t="shared" si="55"/>
        <v>Did not Meet</v>
      </c>
      <c r="BD191" s="400" t="str">
        <f t="shared" si="56"/>
        <v>Did not Meet</v>
      </c>
      <c r="BF191" s="366" t="str">
        <f t="shared" si="44"/>
        <v>Met</v>
      </c>
    </row>
    <row r="192" spans="1:58">
      <c r="A192" t="s">
        <v>414</v>
      </c>
      <c r="B192" t="s">
        <v>939</v>
      </c>
      <c r="C192" s="360"/>
      <c r="D192" s="363">
        <v>196482.85</v>
      </c>
      <c r="E192" t="s">
        <v>855</v>
      </c>
      <c r="F192" s="360"/>
      <c r="G192" s="363">
        <v>8536177.6899999995</v>
      </c>
      <c r="H192" t="s">
        <v>834</v>
      </c>
      <c r="I192" s="360"/>
      <c r="J192" s="363">
        <v>264.08985215053764</v>
      </c>
      <c r="K192" t="s">
        <v>855</v>
      </c>
      <c r="L192" s="360"/>
      <c r="M192" s="363">
        <v>11473.357110215053</v>
      </c>
      <c r="N192" t="s">
        <v>834</v>
      </c>
      <c r="O192" s="360"/>
      <c r="P192" s="366" t="str">
        <f t="shared" si="57"/>
        <v>Met</v>
      </c>
      <c r="Q192" s="360"/>
      <c r="R192" s="399">
        <v>432881.6</v>
      </c>
      <c r="S192" s="400" t="str">
        <f t="shared" si="45"/>
        <v>Did not Meet</v>
      </c>
      <c r="U192" s="399">
        <v>8465129.4499999993</v>
      </c>
      <c r="V192" s="400" t="str">
        <f t="shared" si="46"/>
        <v>Met</v>
      </c>
      <c r="X192" s="399">
        <v>599.55900277008311</v>
      </c>
      <c r="Y192" s="400" t="str">
        <f t="shared" si="47"/>
        <v>Did not Meet</v>
      </c>
      <c r="AA192" s="399">
        <v>11724.556024930747</v>
      </c>
      <c r="AB192" s="400" t="str">
        <f t="shared" si="48"/>
        <v>Met</v>
      </c>
      <c r="AD192" s="366" t="str">
        <f t="shared" si="42"/>
        <v>Met</v>
      </c>
      <c r="AF192" s="399">
        <v>301940.51</v>
      </c>
      <c r="AG192" s="400" t="str">
        <f t="shared" si="49"/>
        <v>Did not Meet</v>
      </c>
      <c r="AI192" s="399">
        <v>9019841.4000000004</v>
      </c>
      <c r="AJ192" s="400" t="str">
        <f t="shared" si="50"/>
        <v>Met</v>
      </c>
      <c r="AL192" s="399">
        <f>VLOOKUP(A192,$A$5:$AF$315,32,0)/IFERROR(VLOOKUP(A192,'21-22 child count'!$A$3:$S$317,19,0),0)</f>
        <v>419.36181944444445</v>
      </c>
      <c r="AM192" s="400" t="str">
        <f t="shared" si="51"/>
        <v>Did not Meet</v>
      </c>
      <c r="AO192" s="399">
        <f>VLOOKUP(A192,'42. SEA or LEA Worksheet'!$A$4:$AB$318,28,0)/IFERROR(VLOOKUP('42. SEA or LEA Worksheet'!A113,'21-22 child count'!$A$3:$S$317,3,0),0)</f>
        <v>85324.030693069304</v>
      </c>
      <c r="AP192" s="400" t="str">
        <f t="shared" si="52"/>
        <v>Met</v>
      </c>
      <c r="AR192" s="366" t="str">
        <f t="shared" si="43"/>
        <v>Met</v>
      </c>
      <c r="AU192" s="400" t="str">
        <f t="shared" si="53"/>
        <v>Did not Meet</v>
      </c>
      <c r="AX192" s="400" t="str">
        <f t="shared" si="54"/>
        <v>Did not Meet</v>
      </c>
      <c r="BA192" s="400" t="str">
        <f t="shared" si="55"/>
        <v>Did not Meet</v>
      </c>
      <c r="BD192" s="400" t="str">
        <f t="shared" si="56"/>
        <v>Did not Meet</v>
      </c>
      <c r="BF192" s="366" t="str">
        <f t="shared" si="44"/>
        <v>Met</v>
      </c>
    </row>
    <row r="193" spans="1:58">
      <c r="A193" t="s">
        <v>555</v>
      </c>
      <c r="B193" t="s">
        <v>1006</v>
      </c>
      <c r="C193" s="360"/>
      <c r="D193" s="363">
        <v>28287.13</v>
      </c>
      <c r="E193" t="s">
        <v>855</v>
      </c>
      <c r="F193" s="360"/>
      <c r="G193" s="363">
        <v>1236400.8699999999</v>
      </c>
      <c r="H193" t="s">
        <v>834</v>
      </c>
      <c r="I193" s="360"/>
      <c r="J193" s="363">
        <v>226.29704000000001</v>
      </c>
      <c r="K193" t="s">
        <v>855</v>
      </c>
      <c r="L193" s="360"/>
      <c r="M193" s="363">
        <v>9891.2069599999995</v>
      </c>
      <c r="N193" t="s">
        <v>834</v>
      </c>
      <c r="O193" s="360"/>
      <c r="P193" s="366" t="str">
        <f t="shared" si="57"/>
        <v>Met</v>
      </c>
      <c r="Q193" s="360"/>
      <c r="R193" s="399">
        <v>79682.45</v>
      </c>
      <c r="S193" s="400" t="str">
        <f t="shared" si="45"/>
        <v>Did not Meet</v>
      </c>
      <c r="U193" s="399">
        <v>1428590.95</v>
      </c>
      <c r="V193" s="400" t="str">
        <f t="shared" si="46"/>
        <v>Met</v>
      </c>
      <c r="X193" s="399">
        <v>612.9419230769231</v>
      </c>
      <c r="Y193" s="400" t="str">
        <f t="shared" si="47"/>
        <v>Did not Meet</v>
      </c>
      <c r="AA193" s="399">
        <v>10989.161153846153</v>
      </c>
      <c r="AB193" s="400" t="str">
        <f t="shared" si="48"/>
        <v>Met</v>
      </c>
      <c r="AD193" s="366" t="str">
        <f t="shared" si="42"/>
        <v>Met</v>
      </c>
      <c r="AF193" s="399">
        <v>203786.21</v>
      </c>
      <c r="AG193" s="400" t="str">
        <f t="shared" si="49"/>
        <v>Did not Meet</v>
      </c>
      <c r="AI193" s="399">
        <v>1680269.6199999999</v>
      </c>
      <c r="AJ193" s="400" t="str">
        <f t="shared" si="50"/>
        <v>Met</v>
      </c>
      <c r="AL193" s="399">
        <f>VLOOKUP(A193,$A$5:$AF$315,32,0)/IFERROR(VLOOKUP(A193,'21-22 child count'!$A$3:$S$317,19,0),0)</f>
        <v>1395.7959589041095</v>
      </c>
      <c r="AM193" s="400" t="str">
        <f t="shared" si="51"/>
        <v>Did not Meet</v>
      </c>
      <c r="AO193" s="399">
        <f>VLOOKUP(A193,'42. SEA or LEA Worksheet'!$A$4:$AB$318,28,0)/IFERROR(VLOOKUP('42. SEA or LEA Worksheet'!A184,'21-22 child count'!$A$3:$S$317,3,0),0)</f>
        <v>8606.7930409356723</v>
      </c>
      <c r="AP193" s="400" t="str">
        <f t="shared" si="52"/>
        <v>Did not Meet</v>
      </c>
      <c r="AR193" s="366" t="str">
        <f t="shared" si="43"/>
        <v>Met</v>
      </c>
      <c r="AU193" s="400" t="str">
        <f t="shared" si="53"/>
        <v>Did not Meet</v>
      </c>
      <c r="AX193" s="400" t="str">
        <f t="shared" si="54"/>
        <v>Did not Meet</v>
      </c>
      <c r="BA193" s="400" t="str">
        <f t="shared" si="55"/>
        <v>Did not Meet</v>
      </c>
      <c r="BD193" s="400" t="str">
        <f t="shared" si="56"/>
        <v>Did not Meet</v>
      </c>
      <c r="BF193" s="366" t="str">
        <f t="shared" si="44"/>
        <v>Met</v>
      </c>
    </row>
    <row r="194" spans="1:58">
      <c r="A194" t="s">
        <v>249</v>
      </c>
      <c r="B194" t="s">
        <v>862</v>
      </c>
      <c r="C194" s="360"/>
      <c r="D194" s="363">
        <v>416184.18</v>
      </c>
      <c r="E194" t="s">
        <v>834</v>
      </c>
      <c r="F194" s="360"/>
      <c r="G194" s="363">
        <v>2905631.12</v>
      </c>
      <c r="H194" t="s">
        <v>834</v>
      </c>
      <c r="I194" s="360"/>
      <c r="J194" s="363">
        <v>1491.6995698924732</v>
      </c>
      <c r="K194" t="s">
        <v>834</v>
      </c>
      <c r="L194" s="360"/>
      <c r="M194" s="363">
        <v>10414.448458781362</v>
      </c>
      <c r="N194" t="s">
        <v>834</v>
      </c>
      <c r="O194" s="360"/>
      <c r="P194" s="366" t="str">
        <f t="shared" si="57"/>
        <v>Met</v>
      </c>
      <c r="Q194" s="360"/>
      <c r="R194" s="399">
        <v>170277.34</v>
      </c>
      <c r="S194" s="400" t="str">
        <f t="shared" si="45"/>
        <v>Did not Meet</v>
      </c>
      <c r="U194" s="399">
        <v>2585661.0099999998</v>
      </c>
      <c r="V194" s="400" t="str">
        <f t="shared" si="46"/>
        <v>Met</v>
      </c>
      <c r="X194" s="399">
        <v>628.32966789667898</v>
      </c>
      <c r="Y194" s="400" t="str">
        <f t="shared" si="47"/>
        <v>Did not Meet</v>
      </c>
      <c r="AA194" s="399">
        <v>9541.1845387453868</v>
      </c>
      <c r="AB194" s="400" t="str">
        <f t="shared" si="48"/>
        <v>Did not Meet</v>
      </c>
      <c r="AD194" s="366" t="str">
        <f t="shared" si="42"/>
        <v>Met</v>
      </c>
      <c r="AF194" s="399">
        <v>397407.6</v>
      </c>
      <c r="AG194" s="400" t="str">
        <f t="shared" si="49"/>
        <v>Did not Meet</v>
      </c>
      <c r="AI194" s="399">
        <v>3171198.2800000003</v>
      </c>
      <c r="AJ194" s="400" t="str">
        <f t="shared" si="50"/>
        <v>Met</v>
      </c>
      <c r="AL194" s="399">
        <f>VLOOKUP(A194,$A$5:$AF$315,32,0)/IFERROR(VLOOKUP(A194,'21-22 child count'!$A$3:$S$317,19,0),0)</f>
        <v>1648.9941908713693</v>
      </c>
      <c r="AM194" s="400" t="str">
        <f t="shared" si="51"/>
        <v>Did not Meet</v>
      </c>
      <c r="AO194" s="399">
        <f>VLOOKUP(A194,'42. SEA or LEA Worksheet'!$A$4:$AB$318,28,0)/IFERROR(VLOOKUP('42. SEA or LEA Worksheet'!A30,'21-22 child count'!$A$3:$S$317,3,0),0)</f>
        <v>24322.548839285715</v>
      </c>
      <c r="AP194" s="400" t="str">
        <f t="shared" si="52"/>
        <v>Did not Meet</v>
      </c>
      <c r="AR194" s="366" t="str">
        <f t="shared" si="43"/>
        <v>Met</v>
      </c>
      <c r="AU194" s="400" t="str">
        <f t="shared" si="53"/>
        <v>Did not Meet</v>
      </c>
      <c r="AX194" s="400" t="str">
        <f t="shared" si="54"/>
        <v>Did not Meet</v>
      </c>
      <c r="BA194" s="400" t="str">
        <f t="shared" si="55"/>
        <v>Did not Meet</v>
      </c>
      <c r="BD194" s="400" t="str">
        <f t="shared" si="56"/>
        <v>Did not Meet</v>
      </c>
      <c r="BF194" s="366" t="str">
        <f t="shared" si="44"/>
        <v>Met</v>
      </c>
    </row>
    <row r="195" spans="1:58">
      <c r="A195" t="s">
        <v>569</v>
      </c>
      <c r="B195" t="s">
        <v>1013</v>
      </c>
      <c r="C195" s="360"/>
      <c r="D195" s="363">
        <v>0</v>
      </c>
      <c r="E195" t="s">
        <v>834</v>
      </c>
      <c r="F195" s="360"/>
      <c r="G195" s="363">
        <v>5366521.12</v>
      </c>
      <c r="H195" t="s">
        <v>834</v>
      </c>
      <c r="I195" s="360"/>
      <c r="J195" s="363">
        <v>0</v>
      </c>
      <c r="K195" t="s">
        <v>834</v>
      </c>
      <c r="L195" s="360"/>
      <c r="M195" s="363">
        <v>12747.081045130642</v>
      </c>
      <c r="N195" t="s">
        <v>834</v>
      </c>
      <c r="O195" s="360"/>
      <c r="P195" s="366" t="str">
        <f t="shared" si="57"/>
        <v>Met</v>
      </c>
      <c r="Q195" s="360"/>
      <c r="R195" s="399">
        <v>0</v>
      </c>
      <c r="S195" s="400" t="str">
        <f t="shared" si="45"/>
        <v>Met</v>
      </c>
      <c r="U195" s="399">
        <v>5523853.3799999999</v>
      </c>
      <c r="V195" s="400" t="str">
        <f t="shared" si="46"/>
        <v>Met</v>
      </c>
      <c r="X195" s="399">
        <v>0</v>
      </c>
      <c r="Y195" s="400" t="str">
        <f t="shared" si="47"/>
        <v>Met</v>
      </c>
      <c r="AA195" s="399">
        <v>13740.928805970148</v>
      </c>
      <c r="AB195" s="400" t="str">
        <f t="shared" si="48"/>
        <v>Met</v>
      </c>
      <c r="AD195" s="366" t="str">
        <f t="shared" si="42"/>
        <v>Met</v>
      </c>
      <c r="AF195" s="399">
        <v>445454.98</v>
      </c>
      <c r="AG195" s="400" t="str">
        <f t="shared" si="49"/>
        <v>Met</v>
      </c>
      <c r="AI195" s="399">
        <v>7178590.8100000005</v>
      </c>
      <c r="AJ195" s="400" t="str">
        <f t="shared" si="50"/>
        <v>Met</v>
      </c>
      <c r="AL195" s="399">
        <f>VLOOKUP(A195,$A$5:$AF$315,32,0)/IFERROR(VLOOKUP(A195,'21-22 child count'!$A$3:$S$317,19,0),0)</f>
        <v>1063.1383770883053</v>
      </c>
      <c r="AM195" s="400" t="str">
        <f t="shared" si="51"/>
        <v>Met</v>
      </c>
      <c r="AO195" s="399">
        <f>VLOOKUP(A195,'42. SEA or LEA Worksheet'!$A$4:$AB$318,28,0)/IFERROR(VLOOKUP('42. SEA or LEA Worksheet'!A191,'21-22 child count'!$A$3:$S$317,3,0),0)</f>
        <v>39285.875789473685</v>
      </c>
      <c r="AP195" s="400" t="str">
        <f t="shared" si="52"/>
        <v>Met</v>
      </c>
      <c r="AR195" s="366" t="str">
        <f t="shared" si="43"/>
        <v>Met</v>
      </c>
      <c r="AU195" s="400" t="str">
        <f t="shared" si="53"/>
        <v>Did not Meet</v>
      </c>
      <c r="AX195" s="400" t="str">
        <f t="shared" si="54"/>
        <v>Did not Meet</v>
      </c>
      <c r="BA195" s="400" t="str">
        <f t="shared" si="55"/>
        <v>Did not Meet</v>
      </c>
      <c r="BD195" s="400" t="str">
        <f t="shared" si="56"/>
        <v>Did not Meet</v>
      </c>
      <c r="BF195" s="366" t="str">
        <f t="shared" si="44"/>
        <v>Met</v>
      </c>
    </row>
    <row r="196" spans="1:58">
      <c r="A196" t="s">
        <v>571</v>
      </c>
      <c r="B196" t="s">
        <v>1014</v>
      </c>
      <c r="C196" s="360"/>
      <c r="D196" s="363">
        <v>0</v>
      </c>
      <c r="E196" t="s">
        <v>834</v>
      </c>
      <c r="F196" s="360"/>
      <c r="G196" s="363">
        <v>5774199.9900000002</v>
      </c>
      <c r="H196" t="s">
        <v>834</v>
      </c>
      <c r="I196" s="360"/>
      <c r="J196" s="363">
        <v>0</v>
      </c>
      <c r="K196" t="s">
        <v>834</v>
      </c>
      <c r="L196" s="360"/>
      <c r="M196" s="363">
        <v>9358.5088978930307</v>
      </c>
      <c r="N196" t="s">
        <v>834</v>
      </c>
      <c r="O196" s="360"/>
      <c r="P196" s="366" t="str">
        <f t="shared" si="57"/>
        <v>Met</v>
      </c>
      <c r="Q196" s="360"/>
      <c r="R196" s="399">
        <v>0</v>
      </c>
      <c r="S196" s="400" t="str">
        <f t="shared" si="45"/>
        <v>Met</v>
      </c>
      <c r="U196" s="399">
        <v>6212611.4100000001</v>
      </c>
      <c r="V196" s="400" t="str">
        <f t="shared" si="46"/>
        <v>Met</v>
      </c>
      <c r="X196" s="399">
        <v>0</v>
      </c>
      <c r="Y196" s="400" t="str">
        <f t="shared" si="47"/>
        <v>Met</v>
      </c>
      <c r="AA196" s="399">
        <v>9892.693328025478</v>
      </c>
      <c r="AB196" s="400" t="str">
        <f t="shared" si="48"/>
        <v>Met</v>
      </c>
      <c r="AD196" s="366" t="str">
        <f t="shared" si="42"/>
        <v>Met</v>
      </c>
      <c r="AF196" s="399">
        <v>0</v>
      </c>
      <c r="AG196" s="400" t="str">
        <f t="shared" si="49"/>
        <v>Met</v>
      </c>
      <c r="AI196" s="399">
        <v>5551455.3099999996</v>
      </c>
      <c r="AJ196" s="400" t="str">
        <f t="shared" si="50"/>
        <v>Did not Meet</v>
      </c>
      <c r="AL196" s="399">
        <f>VLOOKUP(A196,$A$5:$AF$315,32,0)/IFERROR(VLOOKUP(A196,'21-22 child count'!$A$3:$S$317,19,0),0)</f>
        <v>0</v>
      </c>
      <c r="AM196" s="400" t="str">
        <f t="shared" si="51"/>
        <v>Met</v>
      </c>
      <c r="AO196" s="399">
        <f>VLOOKUP(A196,'42. SEA or LEA Worksheet'!$A$4:$AB$318,28,0)/IFERROR(VLOOKUP('42. SEA or LEA Worksheet'!A192,'21-22 child count'!$A$3:$S$317,3,0),0)</f>
        <v>45456.891652892562</v>
      </c>
      <c r="AP196" s="400" t="str">
        <f t="shared" si="52"/>
        <v>Met</v>
      </c>
      <c r="AR196" s="366" t="str">
        <f t="shared" si="43"/>
        <v>Met</v>
      </c>
      <c r="AU196" s="400" t="str">
        <f t="shared" si="53"/>
        <v>Met</v>
      </c>
      <c r="AX196" s="400" t="str">
        <f t="shared" si="54"/>
        <v>Did not Meet</v>
      </c>
      <c r="BA196" s="400" t="str">
        <f t="shared" si="55"/>
        <v>Met</v>
      </c>
      <c r="BD196" s="400" t="str">
        <f t="shared" si="56"/>
        <v>Did not Meet</v>
      </c>
      <c r="BF196" s="366" t="str">
        <f t="shared" si="44"/>
        <v>Met</v>
      </c>
    </row>
    <row r="197" spans="1:58">
      <c r="A197" t="s">
        <v>573</v>
      </c>
      <c r="B197" t="s">
        <v>1015</v>
      </c>
      <c r="C197" s="360"/>
      <c r="D197" s="363">
        <v>0</v>
      </c>
      <c r="E197" t="s">
        <v>834</v>
      </c>
      <c r="F197" s="360"/>
      <c r="G197" s="363">
        <v>27307.83</v>
      </c>
      <c r="H197" t="s">
        <v>834</v>
      </c>
      <c r="I197" s="360"/>
      <c r="J197" s="363">
        <v>0</v>
      </c>
      <c r="K197" t="s">
        <v>855</v>
      </c>
      <c r="L197" s="360"/>
      <c r="M197" s="363">
        <v>6826.9575000000004</v>
      </c>
      <c r="N197" t="s">
        <v>855</v>
      </c>
      <c r="O197" s="360"/>
      <c r="P197" s="366" t="str">
        <f t="shared" si="57"/>
        <v>Met</v>
      </c>
      <c r="Q197" s="360"/>
      <c r="R197" s="399">
        <v>0</v>
      </c>
      <c r="S197" s="400" t="str">
        <f t="shared" si="45"/>
        <v>Met</v>
      </c>
      <c r="U197" s="399">
        <v>24840.58</v>
      </c>
      <c r="V197" s="400" t="str">
        <f t="shared" si="46"/>
        <v>Met</v>
      </c>
      <c r="X197" s="399">
        <v>0</v>
      </c>
      <c r="Y197" s="400" t="str">
        <f t="shared" si="47"/>
        <v>Did not Meet</v>
      </c>
      <c r="AA197" s="399">
        <v>4968.116</v>
      </c>
      <c r="AB197" s="400" t="str">
        <f t="shared" si="48"/>
        <v>Did not Meet</v>
      </c>
      <c r="AD197" s="366" t="str">
        <f t="shared" ref="AD197:AD260" si="58">IF(AND(P197="Did not Meet",S197="Did not Meet",V197="Did not Meet", Y197="Did not Meet",AB197="Did not Meet",),"Did not Meet","Met")</f>
        <v>Met</v>
      </c>
      <c r="AF197" s="399">
        <v>0</v>
      </c>
      <c r="AG197" s="400" t="str">
        <f t="shared" si="49"/>
        <v>Met</v>
      </c>
      <c r="AI197" s="399">
        <v>32783.64</v>
      </c>
      <c r="AJ197" s="400" t="str">
        <f t="shared" si="50"/>
        <v>Met</v>
      </c>
      <c r="AL197" s="399">
        <f>VLOOKUP(A197,$A$5:$AF$315,32,0)/IFERROR(VLOOKUP(A197,'21-22 child count'!$A$3:$S$317,19,0),0)</f>
        <v>0</v>
      </c>
      <c r="AM197" s="400" t="str">
        <f t="shared" si="51"/>
        <v>Did not Meet</v>
      </c>
      <c r="AO197" s="399">
        <f>VLOOKUP(A197,'42. SEA or LEA Worksheet'!$A$4:$AB$318,28,0)/IFERROR(VLOOKUP('42. SEA or LEA Worksheet'!A193,'21-22 child count'!$A$3:$S$317,3,0),0)</f>
        <v>266.53365853658534</v>
      </c>
      <c r="AP197" s="400" t="str">
        <f t="shared" si="52"/>
        <v>Did not Meet</v>
      </c>
      <c r="AR197" s="366" t="str">
        <f t="shared" si="43"/>
        <v>Met</v>
      </c>
      <c r="AU197" s="400" t="str">
        <f t="shared" si="53"/>
        <v>Met</v>
      </c>
      <c r="AX197" s="400" t="str">
        <f t="shared" si="54"/>
        <v>Did not Meet</v>
      </c>
      <c r="BA197" s="400" t="str">
        <f t="shared" si="55"/>
        <v>Did not Meet</v>
      </c>
      <c r="BD197" s="400" t="str">
        <f t="shared" si="56"/>
        <v>Did not Meet</v>
      </c>
      <c r="BF197" s="366" t="str">
        <f t="shared" si="44"/>
        <v>Met</v>
      </c>
    </row>
    <row r="198" spans="1:58">
      <c r="A198" t="s">
        <v>775</v>
      </c>
      <c r="B198" t="s">
        <v>1106</v>
      </c>
      <c r="C198" s="360"/>
      <c r="D198" s="363">
        <v>0</v>
      </c>
      <c r="E198" t="s">
        <v>855</v>
      </c>
      <c r="F198" s="360"/>
      <c r="G198" s="363">
        <v>1351707.85</v>
      </c>
      <c r="H198" t="s">
        <v>834</v>
      </c>
      <c r="I198" s="360"/>
      <c r="J198" s="363">
        <v>0</v>
      </c>
      <c r="K198" t="s">
        <v>855</v>
      </c>
      <c r="L198" s="360"/>
      <c r="M198" s="363">
        <v>8834.6918300653597</v>
      </c>
      <c r="N198" t="s">
        <v>855</v>
      </c>
      <c r="O198" s="360"/>
      <c r="P198" s="366" t="str">
        <f t="shared" si="57"/>
        <v>Met</v>
      </c>
      <c r="Q198" s="360"/>
      <c r="R198" s="399">
        <v>86534.1</v>
      </c>
      <c r="S198" s="400" t="str">
        <f t="shared" si="45"/>
        <v>Did not Meet</v>
      </c>
      <c r="U198" s="399">
        <v>1406374.08</v>
      </c>
      <c r="V198" s="400" t="str">
        <f t="shared" si="46"/>
        <v>Met</v>
      </c>
      <c r="X198" s="399">
        <v>645.77686567164187</v>
      </c>
      <c r="Y198" s="400" t="str">
        <f t="shared" si="47"/>
        <v>Did not Meet</v>
      </c>
      <c r="AA198" s="399">
        <v>10495.32895522388</v>
      </c>
      <c r="AB198" s="400" t="str">
        <f t="shared" si="48"/>
        <v>Did not Meet</v>
      </c>
      <c r="AD198" s="366" t="str">
        <f t="shared" si="58"/>
        <v>Met</v>
      </c>
      <c r="AF198" s="399">
        <v>1781.25</v>
      </c>
      <c r="AG198" s="400" t="str">
        <f t="shared" si="49"/>
        <v>Did not Meet</v>
      </c>
      <c r="AI198" s="399">
        <v>1322630.54</v>
      </c>
      <c r="AJ198" s="400" t="str">
        <f t="shared" si="50"/>
        <v>Did not Meet</v>
      </c>
      <c r="AL198" s="399">
        <f>VLOOKUP(A198,$A$5:$AF$315,32,0)/IFERROR(VLOOKUP(A198,'21-22 child count'!$A$3:$S$317,19,0),0)</f>
        <v>13.80813953488372</v>
      </c>
      <c r="AM198" s="400" t="str">
        <f t="shared" si="51"/>
        <v>Did not Meet</v>
      </c>
      <c r="AO198" s="399">
        <f>VLOOKUP(A198,'42. SEA or LEA Worksheet'!$A$4:$AB$318,28,0)/IFERROR(VLOOKUP('42. SEA or LEA Worksheet'!A289,'21-22 child count'!$A$3:$S$317,3,0),0)</f>
        <v>11574.957053571428</v>
      </c>
      <c r="AP198" s="400" t="str">
        <f t="shared" si="52"/>
        <v>Did not Meet</v>
      </c>
      <c r="AR198" s="366" t="str">
        <f t="shared" ref="AR198:AR261" si="59">IF(AND(AD198="Did not Meet",AG198="Did not Meet",AJ198="Did not Meet", AM198="Did not Meet",AP198="Did not Meet",),"Did not Meet","Met")</f>
        <v>Met</v>
      </c>
      <c r="AU198" s="400" t="str">
        <f t="shared" si="53"/>
        <v>Did not Meet</v>
      </c>
      <c r="AX198" s="400" t="str">
        <f t="shared" si="54"/>
        <v>Did not Meet</v>
      </c>
      <c r="BA198" s="400" t="str">
        <f t="shared" si="55"/>
        <v>Did not Meet</v>
      </c>
      <c r="BD198" s="400" t="str">
        <f t="shared" si="56"/>
        <v>Did not Meet</v>
      </c>
      <c r="BF198" s="366" t="str">
        <f t="shared" ref="BF198:BF261" si="60">IF(AND(AR198="Did not Meet",AU198="Did not Meet",AX198="Did not Meet", BA198="Did not Meet",BD198="Did not Meet",),"Did not Meet","Met")</f>
        <v>Met</v>
      </c>
    </row>
    <row r="199" spans="1:58">
      <c r="A199" t="s">
        <v>559</v>
      </c>
      <c r="B199" t="s">
        <v>1008</v>
      </c>
      <c r="C199" s="360"/>
      <c r="D199" s="363">
        <v>64633.72</v>
      </c>
      <c r="E199" t="s">
        <v>855</v>
      </c>
      <c r="F199" s="360"/>
      <c r="G199" s="363">
        <v>1348373.5</v>
      </c>
      <c r="H199" t="s">
        <v>834</v>
      </c>
      <c r="I199" s="360"/>
      <c r="J199" s="363">
        <v>742.91632183908052</v>
      </c>
      <c r="K199" t="s">
        <v>855</v>
      </c>
      <c r="L199" s="360"/>
      <c r="M199" s="363">
        <v>15498.545977011494</v>
      </c>
      <c r="N199" t="s">
        <v>834</v>
      </c>
      <c r="O199" s="360"/>
      <c r="P199" s="366" t="str">
        <f t="shared" si="57"/>
        <v>Met</v>
      </c>
      <c r="Q199" s="360"/>
      <c r="R199" s="399">
        <v>67488.070000000007</v>
      </c>
      <c r="S199" s="400" t="str">
        <f t="shared" si="45"/>
        <v>Did not Meet</v>
      </c>
      <c r="U199" s="399">
        <v>1242242.0900000001</v>
      </c>
      <c r="V199" s="400" t="str">
        <f t="shared" si="46"/>
        <v>Met</v>
      </c>
      <c r="X199" s="399">
        <v>674.88070000000005</v>
      </c>
      <c r="Y199" s="400" t="str">
        <f t="shared" si="47"/>
        <v>Did not Meet</v>
      </c>
      <c r="AA199" s="399">
        <v>12422.420900000001</v>
      </c>
      <c r="AB199" s="400" t="str">
        <f t="shared" si="48"/>
        <v>Did not Meet</v>
      </c>
      <c r="AD199" s="366" t="str">
        <f t="shared" si="58"/>
        <v>Met</v>
      </c>
      <c r="AF199" s="399">
        <v>0</v>
      </c>
      <c r="AG199" s="400" t="str">
        <f t="shared" si="49"/>
        <v>Did not Meet</v>
      </c>
      <c r="AI199" s="399">
        <v>1278979.17</v>
      </c>
      <c r="AJ199" s="400" t="str">
        <f t="shared" si="50"/>
        <v>Met</v>
      </c>
      <c r="AL199" s="399">
        <f>VLOOKUP(A199,$A$5:$AF$315,32,0)/IFERROR(VLOOKUP(A199,'21-22 child count'!$A$3:$S$317,19,0),0)</f>
        <v>0</v>
      </c>
      <c r="AM199" s="400" t="str">
        <f t="shared" si="51"/>
        <v>Did not Meet</v>
      </c>
      <c r="AO199" s="399">
        <f>VLOOKUP(A199,'42. SEA or LEA Worksheet'!$A$4:$AB$318,28,0)/IFERROR(VLOOKUP('42. SEA or LEA Worksheet'!A186,'21-22 child count'!$A$3:$S$317,3,0),0)</f>
        <v>12573.116336633664</v>
      </c>
      <c r="AP199" s="400" t="str">
        <f t="shared" si="52"/>
        <v>Did not Meet</v>
      </c>
      <c r="AR199" s="366" t="str">
        <f t="shared" si="59"/>
        <v>Met</v>
      </c>
      <c r="AU199" s="400" t="str">
        <f t="shared" si="53"/>
        <v>Did not Meet</v>
      </c>
      <c r="AX199" s="400" t="str">
        <f t="shared" si="54"/>
        <v>Did not Meet</v>
      </c>
      <c r="BA199" s="400" t="str">
        <f t="shared" si="55"/>
        <v>Did not Meet</v>
      </c>
      <c r="BD199" s="400" t="str">
        <f t="shared" si="56"/>
        <v>Did not Meet</v>
      </c>
      <c r="BF199" s="366" t="str">
        <f t="shared" si="60"/>
        <v>Met</v>
      </c>
    </row>
    <row r="200" spans="1:58">
      <c r="A200" t="s">
        <v>579</v>
      </c>
      <c r="B200" t="s">
        <v>1018</v>
      </c>
      <c r="C200" s="360"/>
      <c r="D200" s="363">
        <v>0</v>
      </c>
      <c r="E200" t="s">
        <v>834</v>
      </c>
      <c r="F200" s="360"/>
      <c r="G200" s="363">
        <v>449330.52</v>
      </c>
      <c r="H200" t="s">
        <v>834</v>
      </c>
      <c r="I200" s="360"/>
      <c r="J200" s="363">
        <v>0</v>
      </c>
      <c r="K200" t="s">
        <v>855</v>
      </c>
      <c r="L200" s="360"/>
      <c r="M200" s="363">
        <v>8169.6458181818189</v>
      </c>
      <c r="N200" t="s">
        <v>834</v>
      </c>
      <c r="O200" s="360"/>
      <c r="P200" s="366" t="str">
        <f t="shared" si="57"/>
        <v>Met</v>
      </c>
      <c r="Q200" s="360"/>
      <c r="R200" s="399">
        <v>0</v>
      </c>
      <c r="S200" s="400" t="str">
        <f t="shared" ref="S200:S263" si="61">IF(AND(E200="Met",R200&gt;=D200),"Met","Did not Meet")</f>
        <v>Met</v>
      </c>
      <c r="U200" s="399">
        <v>391225.98</v>
      </c>
      <c r="V200" s="400" t="str">
        <f t="shared" ref="V200:V263" si="62">IF(AND(H200="Met",U200&gt;=M200),"Met","Did not Meet")</f>
        <v>Met</v>
      </c>
      <c r="X200" s="399">
        <v>0</v>
      </c>
      <c r="Y200" s="400" t="str">
        <f t="shared" ref="Y200:Y263" si="63">IF(AND(K200="Met",X200&gt;=J200),"Met","Did not Meet")</f>
        <v>Did not Meet</v>
      </c>
      <c r="AA200" s="399">
        <v>8504.9126086956512</v>
      </c>
      <c r="AB200" s="400" t="str">
        <f t="shared" ref="AB200:AB263" si="64">IF(AND(N200="Met",AA200&gt;=M200),"Met","Did not Meet")</f>
        <v>Met</v>
      </c>
      <c r="AD200" s="366" t="str">
        <f t="shared" si="58"/>
        <v>Met</v>
      </c>
      <c r="AF200" s="399">
        <v>20807.2</v>
      </c>
      <c r="AG200" s="400" t="str">
        <f t="shared" ref="AG200:AG263" si="65">IF(AND(S200="Met",AF200&gt;=R200),"Met","Did not Meet")</f>
        <v>Met</v>
      </c>
      <c r="AI200" s="399">
        <v>471535.12</v>
      </c>
      <c r="AJ200" s="400" t="str">
        <f t="shared" ref="AJ200:AJ263" si="66">IF(AND(V200="Met",AI200&gt;=U200),"Met","Did not Meet")</f>
        <v>Met</v>
      </c>
      <c r="AL200" s="399">
        <f>VLOOKUP(A200,$A$5:$AF$315,32,0)/IFERROR(VLOOKUP(A200,'21-22 child count'!$A$3:$S$317,19,0),0)</f>
        <v>507.49268292682927</v>
      </c>
      <c r="AM200" s="400" t="str">
        <f t="shared" ref="AM200:AM263" si="67">IF(AND(Y200="Met",AL200&gt;=X200),"Met","Did not Meet")</f>
        <v>Did not Meet</v>
      </c>
      <c r="AO200" s="399">
        <f>VLOOKUP(A200,'42. SEA or LEA Worksheet'!$A$4:$AB$318,28,0)/IFERROR(VLOOKUP('42. SEA or LEA Worksheet'!A196,'21-22 child count'!$A$3:$S$317,3,0),0)</f>
        <v>3664.4546341463415</v>
      </c>
      <c r="AP200" s="400" t="str">
        <f t="shared" ref="AP200:AP263" si="68">IF(AND(AB200="Met",AO200&gt;=AA200),"Met","Did not Meet")</f>
        <v>Did not Meet</v>
      </c>
      <c r="AR200" s="366" t="str">
        <f t="shared" si="59"/>
        <v>Met</v>
      </c>
      <c r="AU200" s="400" t="str">
        <f t="shared" si="53"/>
        <v>Did not Meet</v>
      </c>
      <c r="AX200" s="400" t="str">
        <f t="shared" si="54"/>
        <v>Did not Meet</v>
      </c>
      <c r="BA200" s="400" t="str">
        <f t="shared" si="55"/>
        <v>Did not Meet</v>
      </c>
      <c r="BD200" s="400" t="str">
        <f t="shared" si="56"/>
        <v>Did not Meet</v>
      </c>
      <c r="BF200" s="366" t="str">
        <f t="shared" si="60"/>
        <v>Met</v>
      </c>
    </row>
    <row r="201" spans="1:58">
      <c r="A201" t="s">
        <v>589</v>
      </c>
      <c r="B201" t="s">
        <v>1022</v>
      </c>
      <c r="C201" s="360"/>
      <c r="D201" s="363">
        <v>0</v>
      </c>
      <c r="E201" t="s">
        <v>855</v>
      </c>
      <c r="F201" s="360"/>
      <c r="G201" s="363">
        <v>521236.59</v>
      </c>
      <c r="H201" t="s">
        <v>834</v>
      </c>
      <c r="I201" s="360"/>
      <c r="J201" s="363">
        <v>0</v>
      </c>
      <c r="K201" t="s">
        <v>855</v>
      </c>
      <c r="L201" s="360"/>
      <c r="M201" s="363">
        <v>11090.140212765958</v>
      </c>
      <c r="N201" t="s">
        <v>834</v>
      </c>
      <c r="O201" s="360"/>
      <c r="P201" s="366" t="str">
        <f t="shared" si="57"/>
        <v>Met</v>
      </c>
      <c r="Q201" s="360"/>
      <c r="R201" s="399">
        <v>34836.31</v>
      </c>
      <c r="S201" s="400" t="str">
        <f t="shared" si="61"/>
        <v>Did not Meet</v>
      </c>
      <c r="U201" s="399">
        <v>526170.46</v>
      </c>
      <c r="V201" s="400" t="str">
        <f t="shared" si="62"/>
        <v>Met</v>
      </c>
      <c r="X201" s="399">
        <v>710.94510204081632</v>
      </c>
      <c r="Y201" s="400" t="str">
        <f t="shared" si="63"/>
        <v>Did not Meet</v>
      </c>
      <c r="AA201" s="399">
        <v>10738.172653061223</v>
      </c>
      <c r="AB201" s="400" t="str">
        <f t="shared" si="64"/>
        <v>Did not Meet</v>
      </c>
      <c r="AD201" s="366" t="str">
        <f t="shared" si="58"/>
        <v>Met</v>
      </c>
      <c r="AF201" s="399">
        <v>0</v>
      </c>
      <c r="AG201" s="400" t="str">
        <f t="shared" si="65"/>
        <v>Did not Meet</v>
      </c>
      <c r="AI201" s="399">
        <v>527611.34</v>
      </c>
      <c r="AJ201" s="400" t="str">
        <f t="shared" si="66"/>
        <v>Met</v>
      </c>
      <c r="AL201" s="399">
        <f>VLOOKUP(A201,$A$5:$AF$315,32,0)/IFERROR(VLOOKUP(A201,'21-22 child count'!$A$3:$S$317,19,0),0)</f>
        <v>0</v>
      </c>
      <c r="AM201" s="400" t="str">
        <f t="shared" si="67"/>
        <v>Did not Meet</v>
      </c>
      <c r="AO201" s="399">
        <f>VLOOKUP(A201,'42. SEA or LEA Worksheet'!$A$4:$AB$318,28,0)/IFERROR(VLOOKUP('42. SEA or LEA Worksheet'!A201,'21-22 child count'!$A$3:$S$317,3,0),0)</f>
        <v>3085.446432748538</v>
      </c>
      <c r="AP201" s="400" t="str">
        <f t="shared" si="68"/>
        <v>Did not Meet</v>
      </c>
      <c r="AR201" s="366" t="str">
        <f t="shared" si="59"/>
        <v>Met</v>
      </c>
      <c r="AU201" s="400" t="str">
        <f t="shared" si="53"/>
        <v>Did not Meet</v>
      </c>
      <c r="AX201" s="400" t="str">
        <f t="shared" si="54"/>
        <v>Did not Meet</v>
      </c>
      <c r="BA201" s="400" t="str">
        <f t="shared" si="55"/>
        <v>Did not Meet</v>
      </c>
      <c r="BD201" s="400" t="str">
        <f t="shared" si="56"/>
        <v>Did not Meet</v>
      </c>
      <c r="BF201" s="366" t="str">
        <f t="shared" si="60"/>
        <v>Met</v>
      </c>
    </row>
    <row r="202" spans="1:58">
      <c r="A202" t="s">
        <v>583</v>
      </c>
      <c r="B202" t="s">
        <v>1019</v>
      </c>
      <c r="C202" s="360"/>
      <c r="D202" s="363">
        <v>0</v>
      </c>
      <c r="E202" t="s">
        <v>834</v>
      </c>
      <c r="F202" s="360"/>
      <c r="G202" s="363">
        <v>520505.38</v>
      </c>
      <c r="H202" t="s">
        <v>834</v>
      </c>
      <c r="I202" s="360"/>
      <c r="J202" s="363">
        <v>0</v>
      </c>
      <c r="K202" t="s">
        <v>834</v>
      </c>
      <c r="L202" s="360"/>
      <c r="M202" s="363">
        <v>10622.558775510204</v>
      </c>
      <c r="N202" t="s">
        <v>855</v>
      </c>
      <c r="O202" s="360"/>
      <c r="P202" s="366" t="str">
        <f t="shared" si="57"/>
        <v>Met</v>
      </c>
      <c r="Q202" s="360"/>
      <c r="R202" s="399">
        <v>0</v>
      </c>
      <c r="S202" s="400" t="str">
        <f t="shared" si="61"/>
        <v>Met</v>
      </c>
      <c r="U202" s="399">
        <v>448831.43</v>
      </c>
      <c r="V202" s="400" t="str">
        <f t="shared" si="62"/>
        <v>Met</v>
      </c>
      <c r="X202" s="399">
        <v>0</v>
      </c>
      <c r="Y202" s="400" t="str">
        <f t="shared" si="63"/>
        <v>Met</v>
      </c>
      <c r="AA202" s="399">
        <v>9549.6048936170209</v>
      </c>
      <c r="AB202" s="400" t="str">
        <f t="shared" si="64"/>
        <v>Did not Meet</v>
      </c>
      <c r="AD202" s="366" t="str">
        <f t="shared" si="58"/>
        <v>Met</v>
      </c>
      <c r="AF202" s="399">
        <v>0</v>
      </c>
      <c r="AG202" s="400" t="str">
        <f t="shared" si="65"/>
        <v>Met</v>
      </c>
      <c r="AI202" s="399">
        <v>472621.27</v>
      </c>
      <c r="AJ202" s="400" t="str">
        <f t="shared" si="66"/>
        <v>Met</v>
      </c>
      <c r="AL202" s="399">
        <f>VLOOKUP(A202,$A$5:$AF$315,32,0)/IFERROR(VLOOKUP(A202,'21-22 child count'!$A$3:$S$317,19,0),0)</f>
        <v>0</v>
      </c>
      <c r="AM202" s="400" t="str">
        <f t="shared" si="67"/>
        <v>Met</v>
      </c>
      <c r="AO202" s="399">
        <f>VLOOKUP(A202,'42. SEA or LEA Worksheet'!$A$4:$AB$318,28,0)/IFERROR(VLOOKUP('42. SEA or LEA Worksheet'!A198,'21-22 child count'!$A$3:$S$317,3,0),0)</f>
        <v>3830.9767479674797</v>
      </c>
      <c r="AP202" s="400" t="str">
        <f t="shared" si="68"/>
        <v>Did not Meet</v>
      </c>
      <c r="AR202" s="366" t="str">
        <f t="shared" si="59"/>
        <v>Met</v>
      </c>
      <c r="AU202" s="400" t="str">
        <f t="shared" ref="AU202:AU265" si="69">IF(AND(AG202="Met",AT202&gt;=AF202),"Met","Did not Meet")</f>
        <v>Met</v>
      </c>
      <c r="AX202" s="400" t="str">
        <f t="shared" ref="AX202:AX265" si="70">IF(AND(AJ202="Met",AW202&gt;=AI202),"Met","Did not Meet")</f>
        <v>Did not Meet</v>
      </c>
      <c r="BA202" s="400" t="str">
        <f t="shared" ref="BA202:BA265" si="71">IF(AND(AM202="Met",AZ202&gt;=AL202),"Met","Did not Meet")</f>
        <v>Met</v>
      </c>
      <c r="BD202" s="400" t="str">
        <f t="shared" ref="BD202:BD265" si="72">IF(AND(AP202="Met",BC202&gt;=AO202),"Met","Did not Meet")</f>
        <v>Did not Meet</v>
      </c>
      <c r="BF202" s="366" t="str">
        <f t="shared" si="60"/>
        <v>Met</v>
      </c>
    </row>
    <row r="203" spans="1:58">
      <c r="A203" t="s">
        <v>450</v>
      </c>
      <c r="B203" t="s">
        <v>954</v>
      </c>
      <c r="C203" s="360"/>
      <c r="D203" s="363">
        <v>796109.94</v>
      </c>
      <c r="E203" t="s">
        <v>855</v>
      </c>
      <c r="F203" s="360"/>
      <c r="G203" s="363">
        <v>12937863.799999999</v>
      </c>
      <c r="H203" t="s">
        <v>834</v>
      </c>
      <c r="I203" s="360"/>
      <c r="J203" s="363">
        <v>689.27267532467522</v>
      </c>
      <c r="K203" t="s">
        <v>855</v>
      </c>
      <c r="L203" s="360"/>
      <c r="M203" s="363">
        <v>11201.613679653679</v>
      </c>
      <c r="N203" t="s">
        <v>855</v>
      </c>
      <c r="O203" s="360"/>
      <c r="P203" s="366" t="str">
        <f t="shared" si="57"/>
        <v>Met</v>
      </c>
      <c r="Q203" s="360"/>
      <c r="R203" s="399">
        <v>797084.6</v>
      </c>
      <c r="S203" s="400" t="str">
        <f t="shared" si="61"/>
        <v>Did not Meet</v>
      </c>
      <c r="U203" s="399">
        <v>12497562.08</v>
      </c>
      <c r="V203" s="400" t="str">
        <f t="shared" si="62"/>
        <v>Met</v>
      </c>
      <c r="X203" s="399">
        <v>714.23351254480281</v>
      </c>
      <c r="Y203" s="400" t="str">
        <f t="shared" si="63"/>
        <v>Did not Meet</v>
      </c>
      <c r="AA203" s="399">
        <v>11198.532329749103</v>
      </c>
      <c r="AB203" s="400" t="str">
        <f t="shared" si="64"/>
        <v>Did not Meet</v>
      </c>
      <c r="AD203" s="366" t="str">
        <f t="shared" si="58"/>
        <v>Met</v>
      </c>
      <c r="AF203" s="399">
        <v>1383615.22</v>
      </c>
      <c r="AG203" s="400" t="str">
        <f t="shared" si="65"/>
        <v>Did not Meet</v>
      </c>
      <c r="AI203" s="399">
        <v>14369675.930000002</v>
      </c>
      <c r="AJ203" s="400" t="str">
        <f t="shared" si="66"/>
        <v>Met</v>
      </c>
      <c r="AL203" s="399">
        <f>VLOOKUP(A203,$A$5:$AF$315,32,0)/IFERROR(VLOOKUP(A203,'21-22 child count'!$A$3:$S$317,19,0),0)</f>
        <v>1275.2214009216589</v>
      </c>
      <c r="AM203" s="400" t="str">
        <f t="shared" si="67"/>
        <v>Did not Meet</v>
      </c>
      <c r="AO203" s="399">
        <f>VLOOKUP(A203,'42. SEA or LEA Worksheet'!$A$4:$AB$318,28,0)/IFERROR(VLOOKUP('42. SEA or LEA Worksheet'!A131,'21-22 child count'!$A$3:$S$317,3,0),0)</f>
        <v>127427.3092079208</v>
      </c>
      <c r="AP203" s="400" t="str">
        <f t="shared" si="68"/>
        <v>Did not Meet</v>
      </c>
      <c r="AR203" s="366" t="str">
        <f t="shared" si="59"/>
        <v>Met</v>
      </c>
      <c r="AU203" s="400" t="str">
        <f t="shared" si="69"/>
        <v>Did not Meet</v>
      </c>
      <c r="AX203" s="400" t="str">
        <f t="shared" si="70"/>
        <v>Did not Meet</v>
      </c>
      <c r="BA203" s="400" t="str">
        <f t="shared" si="71"/>
        <v>Did not Meet</v>
      </c>
      <c r="BD203" s="400" t="str">
        <f t="shared" si="72"/>
        <v>Did not Meet</v>
      </c>
      <c r="BF203" s="366" t="str">
        <f t="shared" si="60"/>
        <v>Met</v>
      </c>
    </row>
    <row r="204" spans="1:58">
      <c r="A204" t="s">
        <v>613</v>
      </c>
      <c r="B204" t="s">
        <v>1033</v>
      </c>
      <c r="C204" s="360"/>
      <c r="D204" s="363">
        <v>286771.84999999998</v>
      </c>
      <c r="E204" t="s">
        <v>855</v>
      </c>
      <c r="F204" s="360"/>
      <c r="G204" s="363">
        <v>4554095.8499999996</v>
      </c>
      <c r="H204" t="s">
        <v>834</v>
      </c>
      <c r="I204" s="360"/>
      <c r="J204" s="363">
        <v>681.16828978622323</v>
      </c>
      <c r="K204" t="s">
        <v>855</v>
      </c>
      <c r="L204" s="360"/>
      <c r="M204" s="363">
        <v>10817.329809976247</v>
      </c>
      <c r="N204" t="s">
        <v>834</v>
      </c>
      <c r="O204" s="360"/>
      <c r="P204" s="366" t="str">
        <f t="shared" si="57"/>
        <v>Met</v>
      </c>
      <c r="Q204" s="360"/>
      <c r="R204" s="399">
        <v>309722.62</v>
      </c>
      <c r="S204" s="400" t="str">
        <f t="shared" si="61"/>
        <v>Did not Meet</v>
      </c>
      <c r="U204" s="399">
        <v>4594378.17</v>
      </c>
      <c r="V204" s="400" t="str">
        <f t="shared" si="62"/>
        <v>Met</v>
      </c>
      <c r="X204" s="399">
        <v>732.20477541371156</v>
      </c>
      <c r="Y204" s="400" t="str">
        <f t="shared" si="63"/>
        <v>Did not Meet</v>
      </c>
      <c r="AA204" s="399">
        <v>10861.414113475177</v>
      </c>
      <c r="AB204" s="400" t="str">
        <f t="shared" si="64"/>
        <v>Met</v>
      </c>
      <c r="AD204" s="366" t="str">
        <f t="shared" si="58"/>
        <v>Met</v>
      </c>
      <c r="AF204" s="399">
        <v>154640.04</v>
      </c>
      <c r="AG204" s="400" t="str">
        <f t="shared" si="65"/>
        <v>Did not Meet</v>
      </c>
      <c r="AI204" s="399">
        <v>4872862.47</v>
      </c>
      <c r="AJ204" s="400" t="str">
        <f t="shared" si="66"/>
        <v>Met</v>
      </c>
      <c r="AL204" s="399">
        <f>VLOOKUP(A204,$A$5:$AF$315,32,0)/IFERROR(VLOOKUP(A204,'21-22 child count'!$A$3:$S$317,19,0),0)</f>
        <v>349.86434389140271</v>
      </c>
      <c r="AM204" s="400" t="str">
        <f t="shared" si="67"/>
        <v>Did not Meet</v>
      </c>
      <c r="AO204" s="399">
        <f>VLOOKUP(A204,'42. SEA or LEA Worksheet'!$A$4:$AB$318,28,0)/IFERROR(VLOOKUP('42. SEA or LEA Worksheet'!A212,'21-22 child count'!$A$3:$S$317,3,0),0)</f>
        <v>41387.916052631575</v>
      </c>
      <c r="AP204" s="400" t="str">
        <f t="shared" si="68"/>
        <v>Met</v>
      </c>
      <c r="AR204" s="366" t="str">
        <f t="shared" si="59"/>
        <v>Met</v>
      </c>
      <c r="AU204" s="400" t="str">
        <f t="shared" si="69"/>
        <v>Did not Meet</v>
      </c>
      <c r="AX204" s="400" t="str">
        <f t="shared" si="70"/>
        <v>Did not Meet</v>
      </c>
      <c r="BA204" s="400" t="str">
        <f t="shared" si="71"/>
        <v>Did not Meet</v>
      </c>
      <c r="BD204" s="400" t="str">
        <f t="shared" si="72"/>
        <v>Did not Meet</v>
      </c>
      <c r="BF204" s="366" t="str">
        <f t="shared" si="60"/>
        <v>Met</v>
      </c>
    </row>
    <row r="205" spans="1:58">
      <c r="A205" t="s">
        <v>430</v>
      </c>
      <c r="B205" t="s">
        <v>946</v>
      </c>
      <c r="C205" s="360"/>
      <c r="D205" s="363">
        <v>148346.5</v>
      </c>
      <c r="E205" t="s">
        <v>855</v>
      </c>
      <c r="F205" s="360"/>
      <c r="G205" s="363">
        <v>1215148.6200000001</v>
      </c>
      <c r="H205" t="s">
        <v>834</v>
      </c>
      <c r="I205" s="360"/>
      <c r="J205" s="363">
        <v>1386.4158878504672</v>
      </c>
      <c r="K205" t="s">
        <v>855</v>
      </c>
      <c r="L205" s="360"/>
      <c r="M205" s="363">
        <v>11356.529158878506</v>
      </c>
      <c r="N205" t="s">
        <v>855</v>
      </c>
      <c r="O205" s="360"/>
      <c r="P205" s="366" t="str">
        <f t="shared" si="57"/>
        <v>Met</v>
      </c>
      <c r="Q205" s="360"/>
      <c r="R205" s="399">
        <v>71427.87</v>
      </c>
      <c r="S205" s="400" t="str">
        <f t="shared" si="61"/>
        <v>Did not Meet</v>
      </c>
      <c r="U205" s="399">
        <v>1087971.71</v>
      </c>
      <c r="V205" s="400" t="str">
        <f t="shared" si="62"/>
        <v>Met</v>
      </c>
      <c r="X205" s="399">
        <v>776.38989130434777</v>
      </c>
      <c r="Y205" s="400" t="str">
        <f t="shared" si="63"/>
        <v>Did not Meet</v>
      </c>
      <c r="AA205" s="399">
        <v>11825.779456521739</v>
      </c>
      <c r="AB205" s="400" t="str">
        <f t="shared" si="64"/>
        <v>Did not Meet</v>
      </c>
      <c r="AD205" s="366" t="str">
        <f t="shared" si="58"/>
        <v>Met</v>
      </c>
      <c r="AF205" s="399">
        <v>39521</v>
      </c>
      <c r="AG205" s="400" t="str">
        <f t="shared" si="65"/>
        <v>Did not Meet</v>
      </c>
      <c r="AI205" s="399">
        <v>1213422.3700000001</v>
      </c>
      <c r="AJ205" s="400" t="str">
        <f t="shared" si="66"/>
        <v>Met</v>
      </c>
      <c r="AL205" s="399">
        <f>VLOOKUP(A205,$A$5:$AF$315,32,0)/IFERROR(VLOOKUP(A205,'21-22 child count'!$A$3:$S$317,19,0),0)</f>
        <v>429.57608695652175</v>
      </c>
      <c r="AM205" s="400" t="str">
        <f t="shared" si="67"/>
        <v>Did not Meet</v>
      </c>
      <c r="AO205" s="399">
        <f>VLOOKUP(A205,'42. SEA or LEA Worksheet'!$A$4:$AB$318,28,0)/IFERROR(VLOOKUP('42. SEA or LEA Worksheet'!A121,'21-22 child count'!$A$3:$S$317,3,0),0)</f>
        <v>10413.75330357143</v>
      </c>
      <c r="AP205" s="400" t="str">
        <f t="shared" si="68"/>
        <v>Did not Meet</v>
      </c>
      <c r="AR205" s="366" t="str">
        <f t="shared" si="59"/>
        <v>Met</v>
      </c>
      <c r="AU205" s="400" t="str">
        <f t="shared" si="69"/>
        <v>Did not Meet</v>
      </c>
      <c r="AX205" s="400" t="str">
        <f t="shared" si="70"/>
        <v>Did not Meet</v>
      </c>
      <c r="BA205" s="400" t="str">
        <f t="shared" si="71"/>
        <v>Did not Meet</v>
      </c>
      <c r="BD205" s="400" t="str">
        <f t="shared" si="72"/>
        <v>Did not Meet</v>
      </c>
      <c r="BF205" s="366" t="str">
        <f t="shared" si="60"/>
        <v>Met</v>
      </c>
    </row>
    <row r="206" spans="1:58">
      <c r="A206" t="s">
        <v>636</v>
      </c>
      <c r="B206" t="s">
        <v>1043</v>
      </c>
      <c r="C206" s="360"/>
      <c r="D206" s="363">
        <v>318991.34000000003</v>
      </c>
      <c r="E206" t="s">
        <v>855</v>
      </c>
      <c r="F206" s="360"/>
      <c r="G206" s="363">
        <v>4649803.6099999994</v>
      </c>
      <c r="H206" t="s">
        <v>834</v>
      </c>
      <c r="I206" s="360"/>
      <c r="J206" s="363">
        <v>903.65818696883855</v>
      </c>
      <c r="K206" t="s">
        <v>855</v>
      </c>
      <c r="L206" s="360"/>
      <c r="M206" s="363">
        <v>13172.248186968836</v>
      </c>
      <c r="N206" t="s">
        <v>834</v>
      </c>
      <c r="O206" s="360"/>
      <c r="P206" s="366" t="str">
        <f t="shared" si="57"/>
        <v>Met</v>
      </c>
      <c r="Q206" s="360"/>
      <c r="R206" s="399">
        <v>257317.38</v>
      </c>
      <c r="S206" s="400" t="str">
        <f t="shared" si="61"/>
        <v>Did not Meet</v>
      </c>
      <c r="U206" s="399">
        <v>4796738.91</v>
      </c>
      <c r="V206" s="400" t="str">
        <f t="shared" si="62"/>
        <v>Met</v>
      </c>
      <c r="X206" s="399">
        <v>777.39389728096683</v>
      </c>
      <c r="Y206" s="400" t="str">
        <f t="shared" si="63"/>
        <v>Did not Meet</v>
      </c>
      <c r="AA206" s="399">
        <v>14491.658338368581</v>
      </c>
      <c r="AB206" s="400" t="str">
        <f t="shared" si="64"/>
        <v>Met</v>
      </c>
      <c r="AD206" s="366" t="str">
        <f t="shared" si="58"/>
        <v>Met</v>
      </c>
      <c r="AF206" s="399">
        <v>768515.05</v>
      </c>
      <c r="AG206" s="400" t="str">
        <f t="shared" si="65"/>
        <v>Did not Meet</v>
      </c>
      <c r="AI206" s="399">
        <v>5486285.1899999995</v>
      </c>
      <c r="AJ206" s="400" t="str">
        <f t="shared" si="66"/>
        <v>Met</v>
      </c>
      <c r="AL206" s="399">
        <f>VLOOKUP(A206,$A$5:$AF$315,32,0)/IFERROR(VLOOKUP(A206,'21-22 child count'!$A$3:$S$317,19,0),0)</f>
        <v>2314.8043674698797</v>
      </c>
      <c r="AM206" s="400" t="str">
        <f t="shared" si="67"/>
        <v>Did not Meet</v>
      </c>
      <c r="AO206" s="399">
        <f>VLOOKUP(A206,'42. SEA or LEA Worksheet'!$A$4:$AB$318,28,0)/IFERROR(VLOOKUP('42. SEA or LEA Worksheet'!A222,'21-22 child count'!$A$3:$S$317,3,0),0)</f>
        <v>46710.595445544554</v>
      </c>
      <c r="AP206" s="400" t="str">
        <f t="shared" si="68"/>
        <v>Met</v>
      </c>
      <c r="AR206" s="366" t="str">
        <f t="shared" si="59"/>
        <v>Met</v>
      </c>
      <c r="AU206" s="400" t="str">
        <f t="shared" si="69"/>
        <v>Did not Meet</v>
      </c>
      <c r="AX206" s="400" t="str">
        <f t="shared" si="70"/>
        <v>Did not Meet</v>
      </c>
      <c r="BA206" s="400" t="str">
        <f t="shared" si="71"/>
        <v>Did not Meet</v>
      </c>
      <c r="BD206" s="400" t="str">
        <f t="shared" si="72"/>
        <v>Did not Meet</v>
      </c>
      <c r="BF206" s="366" t="str">
        <f t="shared" si="60"/>
        <v>Met</v>
      </c>
    </row>
    <row r="207" spans="1:58">
      <c r="A207" t="s">
        <v>777</v>
      </c>
      <c r="B207" t="s">
        <v>1107</v>
      </c>
      <c r="C207" s="360"/>
      <c r="D207" s="363">
        <v>355307.22</v>
      </c>
      <c r="E207" t="s">
        <v>855</v>
      </c>
      <c r="F207" s="360"/>
      <c r="G207" s="363">
        <v>6254603.1200000001</v>
      </c>
      <c r="H207" t="s">
        <v>834</v>
      </c>
      <c r="I207" s="360"/>
      <c r="J207" s="363">
        <v>728.08856557377044</v>
      </c>
      <c r="K207" t="s">
        <v>855</v>
      </c>
      <c r="L207" s="360"/>
      <c r="M207" s="363">
        <v>12816.809672131149</v>
      </c>
      <c r="N207" t="s">
        <v>834</v>
      </c>
      <c r="O207" s="360"/>
      <c r="P207" s="366" t="str">
        <f t="shared" si="57"/>
        <v>Met</v>
      </c>
      <c r="Q207" s="360"/>
      <c r="R207" s="399">
        <v>358589.35</v>
      </c>
      <c r="S207" s="400" t="str">
        <f t="shared" si="61"/>
        <v>Did not Meet</v>
      </c>
      <c r="U207" s="399">
        <v>6878038.6599999992</v>
      </c>
      <c r="V207" s="400" t="str">
        <f t="shared" si="62"/>
        <v>Met</v>
      </c>
      <c r="X207" s="399">
        <v>786.38015350877185</v>
      </c>
      <c r="Y207" s="400" t="str">
        <f t="shared" si="63"/>
        <v>Did not Meet</v>
      </c>
      <c r="AA207" s="399">
        <v>15083.418114035087</v>
      </c>
      <c r="AB207" s="400" t="str">
        <f t="shared" si="64"/>
        <v>Met</v>
      </c>
      <c r="AD207" s="366" t="str">
        <f t="shared" si="58"/>
        <v>Met</v>
      </c>
      <c r="AF207" s="399">
        <v>309017.24</v>
      </c>
      <c r="AG207" s="400" t="str">
        <f t="shared" si="65"/>
        <v>Did not Meet</v>
      </c>
      <c r="AI207" s="399">
        <v>7440308.6100000003</v>
      </c>
      <c r="AJ207" s="400" t="str">
        <f t="shared" si="66"/>
        <v>Met</v>
      </c>
      <c r="AL207" s="399">
        <f>VLOOKUP(A207,$A$5:$AF$315,32,0)/IFERROR(VLOOKUP(A207,'21-22 child count'!$A$3:$S$317,19,0),0)</f>
        <v>656.08755838641184</v>
      </c>
      <c r="AM207" s="400" t="str">
        <f t="shared" si="67"/>
        <v>Did not Meet</v>
      </c>
      <c r="AO207" s="399">
        <f>VLOOKUP(A207,'42. SEA or LEA Worksheet'!$A$4:$AB$318,28,0)/IFERROR(VLOOKUP('42. SEA or LEA Worksheet'!A290,'21-22 child count'!$A$3:$S$317,3,0),0)</f>
        <v>58526.605454545454</v>
      </c>
      <c r="AP207" s="400" t="str">
        <f t="shared" si="68"/>
        <v>Met</v>
      </c>
      <c r="AR207" s="366" t="str">
        <f t="shared" si="59"/>
        <v>Met</v>
      </c>
      <c r="AU207" s="400" t="str">
        <f t="shared" si="69"/>
        <v>Did not Meet</v>
      </c>
      <c r="AX207" s="400" t="str">
        <f t="shared" si="70"/>
        <v>Did not Meet</v>
      </c>
      <c r="BA207" s="400" t="str">
        <f t="shared" si="71"/>
        <v>Did not Meet</v>
      </c>
      <c r="BD207" s="400" t="str">
        <f t="shared" si="72"/>
        <v>Did not Meet</v>
      </c>
      <c r="BF207" s="366" t="str">
        <f t="shared" si="60"/>
        <v>Met</v>
      </c>
    </row>
    <row r="208" spans="1:58">
      <c r="A208" t="s">
        <v>630</v>
      </c>
      <c r="B208" t="s">
        <v>1040</v>
      </c>
      <c r="C208" s="360"/>
      <c r="D208" s="363">
        <v>76500</v>
      </c>
      <c r="E208" t="s">
        <v>855</v>
      </c>
      <c r="F208" s="360"/>
      <c r="G208" s="363">
        <v>4364323.1100000003</v>
      </c>
      <c r="H208" t="s">
        <v>834</v>
      </c>
      <c r="I208" s="360"/>
      <c r="J208" s="363">
        <v>200.26178010471205</v>
      </c>
      <c r="K208" t="s">
        <v>855</v>
      </c>
      <c r="L208" s="360"/>
      <c r="M208" s="363">
        <v>11424.929607329845</v>
      </c>
      <c r="N208" t="s">
        <v>855</v>
      </c>
      <c r="O208" s="360"/>
      <c r="P208" s="366" t="str">
        <f t="shared" si="57"/>
        <v>Met</v>
      </c>
      <c r="Q208" s="360"/>
      <c r="R208" s="399">
        <v>327846.28999999998</v>
      </c>
      <c r="S208" s="400" t="str">
        <f t="shared" si="61"/>
        <v>Did not Meet</v>
      </c>
      <c r="U208" s="399">
        <v>4451081.75</v>
      </c>
      <c r="V208" s="400" t="str">
        <f t="shared" si="62"/>
        <v>Met</v>
      </c>
      <c r="X208" s="399">
        <v>849.34272020725382</v>
      </c>
      <c r="Y208" s="400" t="str">
        <f t="shared" si="63"/>
        <v>Did not Meet</v>
      </c>
      <c r="AA208" s="399">
        <v>11531.29987046632</v>
      </c>
      <c r="AB208" s="400" t="str">
        <f t="shared" si="64"/>
        <v>Did not Meet</v>
      </c>
      <c r="AD208" s="366" t="str">
        <f t="shared" si="58"/>
        <v>Met</v>
      </c>
      <c r="AF208" s="399">
        <v>485594.08</v>
      </c>
      <c r="AG208" s="400" t="str">
        <f t="shared" si="65"/>
        <v>Did not Meet</v>
      </c>
      <c r="AI208" s="399">
        <v>5561533.1399999997</v>
      </c>
      <c r="AJ208" s="400" t="str">
        <f t="shared" si="66"/>
        <v>Met</v>
      </c>
      <c r="AL208" s="399">
        <f>VLOOKUP(A208,$A$5:$AF$315,32,0)/IFERROR(VLOOKUP(A208,'21-22 child count'!$A$3:$S$317,19,0),0)</f>
        <v>1142.574305882353</v>
      </c>
      <c r="AM208" s="400" t="str">
        <f t="shared" si="67"/>
        <v>Did not Meet</v>
      </c>
      <c r="AO208" s="399">
        <f>VLOOKUP(A208,'42. SEA or LEA Worksheet'!$A$4:$AB$318,28,0)/IFERROR(VLOOKUP('42. SEA or LEA Worksheet'!A219,'21-22 child count'!$A$3:$S$317,3,0),0)</f>
        <v>44834.516725663714</v>
      </c>
      <c r="AP208" s="400" t="str">
        <f t="shared" si="68"/>
        <v>Did not Meet</v>
      </c>
      <c r="AR208" s="366" t="str">
        <f t="shared" si="59"/>
        <v>Met</v>
      </c>
      <c r="AU208" s="400" t="str">
        <f t="shared" si="69"/>
        <v>Did not Meet</v>
      </c>
      <c r="AX208" s="400" t="str">
        <f t="shared" si="70"/>
        <v>Did not Meet</v>
      </c>
      <c r="BA208" s="400" t="str">
        <f t="shared" si="71"/>
        <v>Did not Meet</v>
      </c>
      <c r="BD208" s="400" t="str">
        <f t="shared" si="72"/>
        <v>Did not Meet</v>
      </c>
      <c r="BF208" s="366" t="str">
        <f t="shared" si="60"/>
        <v>Met</v>
      </c>
    </row>
    <row r="209" spans="1:58">
      <c r="A209" t="s">
        <v>459</v>
      </c>
      <c r="B209" t="s">
        <v>958</v>
      </c>
      <c r="C209" s="360"/>
      <c r="D209" s="363">
        <v>593697.55000000005</v>
      </c>
      <c r="E209" t="s">
        <v>834</v>
      </c>
      <c r="F209" s="360"/>
      <c r="G209" s="363">
        <v>6853695.3999999994</v>
      </c>
      <c r="H209" t="s">
        <v>834</v>
      </c>
      <c r="I209" s="360"/>
      <c r="J209" s="363">
        <v>1063.9741039426524</v>
      </c>
      <c r="K209" t="s">
        <v>834</v>
      </c>
      <c r="L209" s="360"/>
      <c r="M209" s="363">
        <v>12282.608243727598</v>
      </c>
      <c r="N209" t="s">
        <v>855</v>
      </c>
      <c r="O209" s="360"/>
      <c r="P209" s="366" t="str">
        <f t="shared" si="57"/>
        <v>Met</v>
      </c>
      <c r="Q209" s="360"/>
      <c r="R209" s="399">
        <v>420060</v>
      </c>
      <c r="S209" s="400" t="str">
        <f t="shared" si="61"/>
        <v>Did not Meet</v>
      </c>
      <c r="U209" s="399">
        <v>7268205.7000000002</v>
      </c>
      <c r="V209" s="400" t="str">
        <f t="shared" si="62"/>
        <v>Met</v>
      </c>
      <c r="X209" s="399">
        <v>859.01840490797542</v>
      </c>
      <c r="Y209" s="400" t="str">
        <f t="shared" si="63"/>
        <v>Did not Meet</v>
      </c>
      <c r="AA209" s="399">
        <v>14863.406339468303</v>
      </c>
      <c r="AB209" s="400" t="str">
        <f t="shared" si="64"/>
        <v>Did not Meet</v>
      </c>
      <c r="AD209" s="366" t="str">
        <f t="shared" si="58"/>
        <v>Met</v>
      </c>
      <c r="AF209" s="399">
        <v>500000</v>
      </c>
      <c r="AG209" s="400" t="str">
        <f t="shared" si="65"/>
        <v>Did not Meet</v>
      </c>
      <c r="AI209" s="399">
        <v>7799915.4699999997</v>
      </c>
      <c r="AJ209" s="400" t="str">
        <f t="shared" si="66"/>
        <v>Met</v>
      </c>
      <c r="AL209" s="399">
        <f>VLOOKUP(A209,$A$5:$AF$315,32,0)/IFERROR(VLOOKUP(A209,'21-22 child count'!$A$3:$S$317,19,0),0)</f>
        <v>1000</v>
      </c>
      <c r="AM209" s="400" t="str">
        <f t="shared" si="67"/>
        <v>Did not Meet</v>
      </c>
      <c r="AO209" s="399">
        <f>VLOOKUP(A209,'42. SEA or LEA Worksheet'!$A$4:$AB$318,28,0)/IFERROR(VLOOKUP('42. SEA or LEA Worksheet'!A136,'21-22 child count'!$A$3:$S$317,3,0),0)</f>
        <v>64254.431696428568</v>
      </c>
      <c r="AP209" s="400" t="str">
        <f t="shared" si="68"/>
        <v>Did not Meet</v>
      </c>
      <c r="AR209" s="366" t="str">
        <f t="shared" si="59"/>
        <v>Met</v>
      </c>
      <c r="AU209" s="400" t="str">
        <f t="shared" si="69"/>
        <v>Did not Meet</v>
      </c>
      <c r="AX209" s="400" t="str">
        <f t="shared" si="70"/>
        <v>Did not Meet</v>
      </c>
      <c r="BA209" s="400" t="str">
        <f t="shared" si="71"/>
        <v>Did not Meet</v>
      </c>
      <c r="BD209" s="400" t="str">
        <f t="shared" si="72"/>
        <v>Did not Meet</v>
      </c>
      <c r="BF209" s="366" t="str">
        <f t="shared" si="60"/>
        <v>Met</v>
      </c>
    </row>
    <row r="210" spans="1:58">
      <c r="A210" t="s">
        <v>211</v>
      </c>
      <c r="B210" t="s">
        <v>845</v>
      </c>
      <c r="C210" s="360"/>
      <c r="D210" s="363">
        <v>327011.34999999998</v>
      </c>
      <c r="E210" t="s">
        <v>855</v>
      </c>
      <c r="F210" s="360"/>
      <c r="G210" s="363">
        <v>45107480.690000005</v>
      </c>
      <c r="H210" t="s">
        <v>834</v>
      </c>
      <c r="I210" s="360"/>
      <c r="J210" s="363">
        <v>174.59228510411103</v>
      </c>
      <c r="K210" t="s">
        <v>855</v>
      </c>
      <c r="L210" s="360"/>
      <c r="M210" s="363">
        <v>24083.011580352377</v>
      </c>
      <c r="N210" t="s">
        <v>834</v>
      </c>
      <c r="O210" s="360"/>
      <c r="P210" s="366" t="str">
        <f t="shared" si="57"/>
        <v>Met</v>
      </c>
      <c r="Q210" s="360"/>
      <c r="R210" s="399">
        <v>1601067.92</v>
      </c>
      <c r="S210" s="400" t="str">
        <f t="shared" si="61"/>
        <v>Did not Meet</v>
      </c>
      <c r="U210" s="399">
        <v>48983880.950000003</v>
      </c>
      <c r="V210" s="400" t="str">
        <f t="shared" si="62"/>
        <v>Met</v>
      </c>
      <c r="X210" s="399">
        <v>878.2599670872188</v>
      </c>
      <c r="Y210" s="400" t="str">
        <f t="shared" si="63"/>
        <v>Did not Meet</v>
      </c>
      <c r="AA210" s="399">
        <v>26869.929210093254</v>
      </c>
      <c r="AB210" s="400" t="str">
        <f t="shared" si="64"/>
        <v>Met</v>
      </c>
      <c r="AD210" s="366" t="str">
        <f t="shared" si="58"/>
        <v>Met</v>
      </c>
      <c r="AF210" s="399">
        <v>1619516.22</v>
      </c>
      <c r="AG210" s="400" t="str">
        <f t="shared" si="65"/>
        <v>Did not Meet</v>
      </c>
      <c r="AI210" s="399">
        <v>53037439.289999999</v>
      </c>
      <c r="AJ210" s="400" t="str">
        <f t="shared" si="66"/>
        <v>Met</v>
      </c>
      <c r="AL210" s="399">
        <f>VLOOKUP(A210,$A$5:$AF$315,32,0)/IFERROR(VLOOKUP(A210,'21-22 child count'!$A$3:$S$317,19,0),0)</f>
        <v>945.42686514886168</v>
      </c>
      <c r="AM210" s="400" t="str">
        <f t="shared" si="67"/>
        <v>Did not Meet</v>
      </c>
      <c r="AO210" s="399">
        <f>VLOOKUP(A210,'42. SEA or LEA Worksheet'!$A$4:$AB$318,28,0)/IFERROR(VLOOKUP('42. SEA or LEA Worksheet'!A13,'21-22 child count'!$A$3:$S$317,3,0),0)</f>
        <v>424931.75099173549</v>
      </c>
      <c r="AP210" s="400" t="str">
        <f t="shared" si="68"/>
        <v>Met</v>
      </c>
      <c r="AR210" s="366" t="str">
        <f t="shared" si="59"/>
        <v>Met</v>
      </c>
      <c r="AU210" s="400" t="str">
        <f t="shared" si="69"/>
        <v>Did not Meet</v>
      </c>
      <c r="AX210" s="400" t="str">
        <f t="shared" si="70"/>
        <v>Did not Meet</v>
      </c>
      <c r="BA210" s="400" t="str">
        <f t="shared" si="71"/>
        <v>Did not Meet</v>
      </c>
      <c r="BD210" s="400" t="str">
        <f t="shared" si="72"/>
        <v>Did not Meet</v>
      </c>
      <c r="BF210" s="366" t="str">
        <f t="shared" si="60"/>
        <v>Met</v>
      </c>
    </row>
    <row r="211" spans="1:58">
      <c r="A211" t="s">
        <v>277</v>
      </c>
      <c r="B211" t="s">
        <v>875</v>
      </c>
      <c r="C211" s="360"/>
      <c r="D211" s="363">
        <v>189203.29</v>
      </c>
      <c r="E211" t="s">
        <v>855</v>
      </c>
      <c r="F211" s="360"/>
      <c r="G211" s="363">
        <v>2465268.54</v>
      </c>
      <c r="H211" t="s">
        <v>834</v>
      </c>
      <c r="I211" s="360"/>
      <c r="J211" s="363">
        <v>922.94287804878047</v>
      </c>
      <c r="K211" t="s">
        <v>855</v>
      </c>
      <c r="L211" s="360"/>
      <c r="M211" s="363">
        <v>12025.700195121952</v>
      </c>
      <c r="N211" t="s">
        <v>834</v>
      </c>
      <c r="O211" s="360"/>
      <c r="P211" s="366" t="str">
        <f t="shared" si="57"/>
        <v>Met</v>
      </c>
      <c r="Q211" s="360"/>
      <c r="R211" s="399">
        <v>198524.52</v>
      </c>
      <c r="S211" s="400" t="str">
        <f t="shared" si="61"/>
        <v>Did not Meet</v>
      </c>
      <c r="U211" s="399">
        <v>2737541.82</v>
      </c>
      <c r="V211" s="400" t="str">
        <f t="shared" si="62"/>
        <v>Met</v>
      </c>
      <c r="X211" s="399">
        <v>894.25459459459455</v>
      </c>
      <c r="Y211" s="400" t="str">
        <f t="shared" si="63"/>
        <v>Did not Meet</v>
      </c>
      <c r="AA211" s="399">
        <v>12331.26945945946</v>
      </c>
      <c r="AB211" s="400" t="str">
        <f t="shared" si="64"/>
        <v>Met</v>
      </c>
      <c r="AD211" s="366" t="str">
        <f t="shared" si="58"/>
        <v>Met</v>
      </c>
      <c r="AF211" s="399">
        <v>0</v>
      </c>
      <c r="AG211" s="400" t="str">
        <f t="shared" si="65"/>
        <v>Did not Meet</v>
      </c>
      <c r="AI211" s="399">
        <v>2619941.5</v>
      </c>
      <c r="AJ211" s="400" t="str">
        <f t="shared" si="66"/>
        <v>Did not Meet</v>
      </c>
      <c r="AL211" s="399">
        <f>VLOOKUP(A211,$A$5:$AF$315,32,0)/IFERROR(VLOOKUP(A211,'21-22 child count'!$A$3:$S$317,19,0),0)</f>
        <v>0</v>
      </c>
      <c r="AM211" s="400" t="str">
        <f t="shared" si="67"/>
        <v>Did not Meet</v>
      </c>
      <c r="AO211" s="399">
        <f>VLOOKUP(A211,'42. SEA or LEA Worksheet'!$A$4:$AB$318,28,0)/IFERROR(VLOOKUP('42. SEA or LEA Worksheet'!A44,'21-22 child count'!$A$3:$S$317,3,0),0)</f>
        <v>20972.510162601626</v>
      </c>
      <c r="AP211" s="400" t="str">
        <f t="shared" si="68"/>
        <v>Met</v>
      </c>
      <c r="AR211" s="366" t="str">
        <f t="shared" si="59"/>
        <v>Met</v>
      </c>
      <c r="AU211" s="400" t="str">
        <f t="shared" si="69"/>
        <v>Did not Meet</v>
      </c>
      <c r="AX211" s="400" t="str">
        <f t="shared" si="70"/>
        <v>Did not Meet</v>
      </c>
      <c r="BA211" s="400" t="str">
        <f t="shared" si="71"/>
        <v>Did not Meet</v>
      </c>
      <c r="BD211" s="400" t="str">
        <f t="shared" si="72"/>
        <v>Did not Meet</v>
      </c>
      <c r="BF211" s="366" t="str">
        <f t="shared" si="60"/>
        <v>Met</v>
      </c>
    </row>
    <row r="212" spans="1:58">
      <c r="A212" t="s">
        <v>603</v>
      </c>
      <c r="B212" t="s">
        <v>1029</v>
      </c>
      <c r="C212" s="360"/>
      <c r="D212" s="363">
        <v>3028102.19</v>
      </c>
      <c r="E212" t="s">
        <v>834</v>
      </c>
      <c r="F212" s="360"/>
      <c r="G212" s="363">
        <v>36772942.719999999</v>
      </c>
      <c r="H212" t="s">
        <v>834</v>
      </c>
      <c r="I212" s="360"/>
      <c r="J212" s="363">
        <v>1044.1731689655173</v>
      </c>
      <c r="K212" t="s">
        <v>855</v>
      </c>
      <c r="L212" s="360"/>
      <c r="M212" s="363">
        <v>12680.325075862069</v>
      </c>
      <c r="N212" t="s">
        <v>834</v>
      </c>
      <c r="O212" s="360"/>
      <c r="P212" s="366" t="str">
        <f t="shared" si="57"/>
        <v>Met</v>
      </c>
      <c r="Q212" s="360"/>
      <c r="R212" s="399">
        <v>5973347.3600000003</v>
      </c>
      <c r="S212" s="400" t="str">
        <f t="shared" si="61"/>
        <v>Met</v>
      </c>
      <c r="U212" s="399">
        <v>38844819</v>
      </c>
      <c r="V212" s="400" t="str">
        <f t="shared" si="62"/>
        <v>Met</v>
      </c>
      <c r="X212" s="399">
        <v>2183.2409941520468</v>
      </c>
      <c r="Y212" s="400" t="str">
        <f t="shared" si="63"/>
        <v>Did not Meet</v>
      </c>
      <c r="AA212" s="399">
        <v>14197.667763157895</v>
      </c>
      <c r="AB212" s="400" t="str">
        <f t="shared" si="64"/>
        <v>Met</v>
      </c>
      <c r="AD212" s="366" t="str">
        <f t="shared" si="58"/>
        <v>Met</v>
      </c>
      <c r="AF212" s="399">
        <v>6835690.2400000002</v>
      </c>
      <c r="AG212" s="400" t="str">
        <f t="shared" si="65"/>
        <v>Met</v>
      </c>
      <c r="AI212" s="399">
        <v>47473624.600000001</v>
      </c>
      <c r="AJ212" s="400" t="str">
        <f t="shared" si="66"/>
        <v>Met</v>
      </c>
      <c r="AL212" s="399">
        <f>VLOOKUP(A212,$A$5:$AF$315,32,0)/IFERROR(VLOOKUP(A212,'21-22 child count'!$A$3:$S$317,19,0),0)</f>
        <v>2503.9158388278388</v>
      </c>
      <c r="AM212" s="400" t="str">
        <f t="shared" si="67"/>
        <v>Did not Meet</v>
      </c>
      <c r="AO212" s="399">
        <f>VLOOKUP(A212,'42. SEA or LEA Worksheet'!$A$4:$AB$318,28,0)/IFERROR(VLOOKUP('42. SEA or LEA Worksheet'!A208,'21-22 child count'!$A$3:$S$317,3,0),0)</f>
        <v>328068.42455284554</v>
      </c>
      <c r="AP212" s="400" t="str">
        <f t="shared" si="68"/>
        <v>Met</v>
      </c>
      <c r="AR212" s="366" t="str">
        <f t="shared" si="59"/>
        <v>Met</v>
      </c>
      <c r="AU212" s="400" t="str">
        <f t="shared" si="69"/>
        <v>Did not Meet</v>
      </c>
      <c r="AX212" s="400" t="str">
        <f t="shared" si="70"/>
        <v>Did not Meet</v>
      </c>
      <c r="BA212" s="400" t="str">
        <f t="shared" si="71"/>
        <v>Did not Meet</v>
      </c>
      <c r="BD212" s="400" t="str">
        <f t="shared" si="72"/>
        <v>Did not Meet</v>
      </c>
      <c r="BF212" s="366" t="str">
        <f t="shared" si="60"/>
        <v>Met</v>
      </c>
    </row>
    <row r="213" spans="1:58">
      <c r="A213" t="s">
        <v>727</v>
      </c>
      <c r="B213" t="s">
        <v>1083</v>
      </c>
      <c r="C213" s="360"/>
      <c r="D213" s="363">
        <v>2703832.48</v>
      </c>
      <c r="E213" t="s">
        <v>855</v>
      </c>
      <c r="F213" s="360"/>
      <c r="G213" s="363">
        <v>54442616.659999996</v>
      </c>
      <c r="H213" t="s">
        <v>834</v>
      </c>
      <c r="I213" s="360"/>
      <c r="J213" s="363">
        <v>611.58843700520242</v>
      </c>
      <c r="K213" t="s">
        <v>855</v>
      </c>
      <c r="L213" s="360"/>
      <c r="M213" s="363">
        <v>12314.547989142728</v>
      </c>
      <c r="N213" t="s">
        <v>855</v>
      </c>
      <c r="O213" s="360"/>
      <c r="P213" s="366" t="str">
        <f t="shared" si="57"/>
        <v>Met</v>
      </c>
      <c r="Q213" s="360"/>
      <c r="R213" s="399">
        <v>4479792.1399999997</v>
      </c>
      <c r="S213" s="400" t="str">
        <f t="shared" si="61"/>
        <v>Did not Meet</v>
      </c>
      <c r="U213" s="399">
        <v>52937424.990000002</v>
      </c>
      <c r="V213" s="400" t="str">
        <f t="shared" si="62"/>
        <v>Met</v>
      </c>
      <c r="X213" s="399">
        <v>1051.1009244486156</v>
      </c>
      <c r="Y213" s="400" t="str">
        <f t="shared" si="63"/>
        <v>Did not Meet</v>
      </c>
      <c r="AA213" s="399">
        <v>12420.794225715626</v>
      </c>
      <c r="AB213" s="400" t="str">
        <f t="shared" si="64"/>
        <v>Did not Meet</v>
      </c>
      <c r="AD213" s="366" t="str">
        <f t="shared" si="58"/>
        <v>Met</v>
      </c>
      <c r="AF213" s="399">
        <v>1684288.24</v>
      </c>
      <c r="AG213" s="400" t="str">
        <f t="shared" si="65"/>
        <v>Did not Meet</v>
      </c>
      <c r="AI213" s="399">
        <v>54805882.18</v>
      </c>
      <c r="AJ213" s="400" t="str">
        <f t="shared" si="66"/>
        <v>Met</v>
      </c>
      <c r="AL213" s="399">
        <f>VLOOKUP(A213,$A$5:$AF$315,32,0)/IFERROR(VLOOKUP(A213,'21-22 child count'!$A$3:$S$317,19,0),0)</f>
        <v>399.68871381110586</v>
      </c>
      <c r="AM213" s="400" t="str">
        <f t="shared" si="67"/>
        <v>Did not Meet</v>
      </c>
      <c r="AO213" s="399">
        <f>VLOOKUP(A213,'42. SEA or LEA Worksheet'!$A$4:$AB$318,28,0)/IFERROR(VLOOKUP('42. SEA or LEA Worksheet'!A265,'21-22 child count'!$A$3:$S$317,3,0),0)</f>
        <v>436532.73413223145</v>
      </c>
      <c r="AP213" s="400" t="str">
        <f t="shared" si="68"/>
        <v>Did not Meet</v>
      </c>
      <c r="AR213" s="366" t="str">
        <f t="shared" si="59"/>
        <v>Met</v>
      </c>
      <c r="AU213" s="400" t="str">
        <f t="shared" si="69"/>
        <v>Did not Meet</v>
      </c>
      <c r="AX213" s="400" t="str">
        <f t="shared" si="70"/>
        <v>Did not Meet</v>
      </c>
      <c r="BA213" s="400" t="str">
        <f t="shared" si="71"/>
        <v>Did not Meet</v>
      </c>
      <c r="BD213" s="400" t="str">
        <f t="shared" si="72"/>
        <v>Did not Meet</v>
      </c>
      <c r="BF213" s="366" t="str">
        <f t="shared" si="60"/>
        <v>Met</v>
      </c>
    </row>
    <row r="214" spans="1:58">
      <c r="A214" t="s">
        <v>369</v>
      </c>
      <c r="B214" t="s">
        <v>921</v>
      </c>
      <c r="C214" s="360"/>
      <c r="D214" s="363">
        <v>43872.62</v>
      </c>
      <c r="E214" t="s">
        <v>855</v>
      </c>
      <c r="F214" s="360"/>
      <c r="G214" s="363">
        <v>1133663.78</v>
      </c>
      <c r="H214" t="s">
        <v>834</v>
      </c>
      <c r="I214" s="360"/>
      <c r="J214" s="363">
        <v>388.2532743362832</v>
      </c>
      <c r="K214" t="s">
        <v>855</v>
      </c>
      <c r="L214" s="360"/>
      <c r="M214" s="363">
        <v>10032.422831858406</v>
      </c>
      <c r="N214" t="s">
        <v>855</v>
      </c>
      <c r="O214" s="360"/>
      <c r="P214" s="366" t="str">
        <f t="shared" si="57"/>
        <v>Met</v>
      </c>
      <c r="Q214" s="360"/>
      <c r="R214" s="399">
        <v>121860.49</v>
      </c>
      <c r="S214" s="400" t="str">
        <f t="shared" si="61"/>
        <v>Did not Meet</v>
      </c>
      <c r="U214" s="399">
        <v>1108493.97</v>
      </c>
      <c r="V214" s="400" t="str">
        <f t="shared" si="62"/>
        <v>Met</v>
      </c>
      <c r="X214" s="399">
        <v>1107.8226363636363</v>
      </c>
      <c r="Y214" s="400" t="str">
        <f t="shared" si="63"/>
        <v>Did not Meet</v>
      </c>
      <c r="AA214" s="399">
        <v>10077.217909090909</v>
      </c>
      <c r="AB214" s="400" t="str">
        <f t="shared" si="64"/>
        <v>Did not Meet</v>
      </c>
      <c r="AD214" s="366" t="str">
        <f t="shared" si="58"/>
        <v>Met</v>
      </c>
      <c r="AF214" s="399">
        <v>104299.01</v>
      </c>
      <c r="AG214" s="400" t="str">
        <f t="shared" si="65"/>
        <v>Did not Meet</v>
      </c>
      <c r="AI214" s="399">
        <v>1200675.73</v>
      </c>
      <c r="AJ214" s="400" t="str">
        <f t="shared" si="66"/>
        <v>Met</v>
      </c>
      <c r="AL214" s="399">
        <f>VLOOKUP(A214,$A$5:$AF$315,32,0)/IFERROR(VLOOKUP(A214,'21-22 child count'!$A$3:$S$317,19,0),0)</f>
        <v>974.75710280373823</v>
      </c>
      <c r="AM214" s="400" t="str">
        <f t="shared" si="67"/>
        <v>Did not Meet</v>
      </c>
      <c r="AO214" s="399">
        <f>VLOOKUP(A214,'42. SEA or LEA Worksheet'!$A$4:$AB$318,28,0)/IFERROR(VLOOKUP('42. SEA or LEA Worksheet'!A91,'21-22 child count'!$A$3:$S$317,3,0),0)</f>
        <v>6410.9661988304088</v>
      </c>
      <c r="AP214" s="400" t="str">
        <f t="shared" si="68"/>
        <v>Did not Meet</v>
      </c>
      <c r="AR214" s="366" t="str">
        <f t="shared" si="59"/>
        <v>Met</v>
      </c>
      <c r="AU214" s="400" t="str">
        <f t="shared" si="69"/>
        <v>Did not Meet</v>
      </c>
      <c r="AX214" s="400" t="str">
        <f t="shared" si="70"/>
        <v>Did not Meet</v>
      </c>
      <c r="BA214" s="400" t="str">
        <f t="shared" si="71"/>
        <v>Did not Meet</v>
      </c>
      <c r="BD214" s="400" t="str">
        <f t="shared" si="72"/>
        <v>Did not Meet</v>
      </c>
      <c r="BF214" s="366" t="str">
        <f t="shared" si="60"/>
        <v>Met</v>
      </c>
    </row>
    <row r="215" spans="1:58">
      <c r="A215" t="s">
        <v>611</v>
      </c>
      <c r="B215" t="s">
        <v>1032</v>
      </c>
      <c r="C215" s="360"/>
      <c r="D215" s="363">
        <v>0</v>
      </c>
      <c r="E215" t="s">
        <v>834</v>
      </c>
      <c r="F215" s="360"/>
      <c r="G215" s="363">
        <v>4908299.93</v>
      </c>
      <c r="H215" t="s">
        <v>834</v>
      </c>
      <c r="I215" s="360"/>
      <c r="J215" s="363">
        <v>0</v>
      </c>
      <c r="K215" t="s">
        <v>834</v>
      </c>
      <c r="L215" s="360"/>
      <c r="M215" s="363">
        <v>8843.7836576576574</v>
      </c>
      <c r="N215" t="s">
        <v>834</v>
      </c>
      <c r="O215" s="360"/>
      <c r="P215" s="366" t="str">
        <f t="shared" si="57"/>
        <v>Met</v>
      </c>
      <c r="Q215" s="360"/>
      <c r="R215" s="399">
        <v>0</v>
      </c>
      <c r="S215" s="400" t="str">
        <f t="shared" si="61"/>
        <v>Met</v>
      </c>
      <c r="U215" s="399">
        <v>5264103.99</v>
      </c>
      <c r="V215" s="400" t="str">
        <f t="shared" si="62"/>
        <v>Met</v>
      </c>
      <c r="X215" s="399">
        <v>0</v>
      </c>
      <c r="Y215" s="400" t="str">
        <f t="shared" si="63"/>
        <v>Met</v>
      </c>
      <c r="AA215" s="399">
        <v>9029.3378902229852</v>
      </c>
      <c r="AB215" s="400" t="str">
        <f t="shared" si="64"/>
        <v>Met</v>
      </c>
      <c r="AD215" s="366" t="str">
        <f t="shared" si="58"/>
        <v>Met</v>
      </c>
      <c r="AF215" s="399">
        <v>0</v>
      </c>
      <c r="AG215" s="400" t="str">
        <f t="shared" si="65"/>
        <v>Met</v>
      </c>
      <c r="AI215" s="399">
        <v>5012344.3</v>
      </c>
      <c r="AJ215" s="400" t="str">
        <f t="shared" si="66"/>
        <v>Did not Meet</v>
      </c>
      <c r="AL215" s="399">
        <f>VLOOKUP(A215,$A$5:$AF$315,32,0)/IFERROR(VLOOKUP(A215,'21-22 child count'!$A$3:$S$317,19,0),0)</f>
        <v>0</v>
      </c>
      <c r="AM215" s="400" t="str">
        <f t="shared" si="67"/>
        <v>Met</v>
      </c>
      <c r="AO215" s="399">
        <f>VLOOKUP(A215,'42. SEA or LEA Worksheet'!$A$4:$AB$318,28,0)/IFERROR(VLOOKUP('42. SEA or LEA Worksheet'!A211,'21-22 child count'!$A$3:$S$317,3,0),0)</f>
        <v>41424.33305785124</v>
      </c>
      <c r="AP215" s="400" t="str">
        <f t="shared" si="68"/>
        <v>Met</v>
      </c>
      <c r="AR215" s="366" t="str">
        <f t="shared" si="59"/>
        <v>Met</v>
      </c>
      <c r="AU215" s="400" t="str">
        <f t="shared" si="69"/>
        <v>Met</v>
      </c>
      <c r="AX215" s="400" t="str">
        <f t="shared" si="70"/>
        <v>Did not Meet</v>
      </c>
      <c r="BA215" s="400" t="str">
        <f t="shared" si="71"/>
        <v>Met</v>
      </c>
      <c r="BD215" s="400" t="str">
        <f t="shared" si="72"/>
        <v>Did not Meet</v>
      </c>
      <c r="BF215" s="366" t="str">
        <f t="shared" si="60"/>
        <v>Met</v>
      </c>
    </row>
    <row r="216" spans="1:58">
      <c r="A216" t="s">
        <v>416</v>
      </c>
      <c r="B216" t="s">
        <v>940</v>
      </c>
      <c r="C216" s="360"/>
      <c r="D216" s="363">
        <v>2562038.54</v>
      </c>
      <c r="E216" t="s">
        <v>834</v>
      </c>
      <c r="F216" s="360"/>
      <c r="G216" s="363">
        <v>25533545.07</v>
      </c>
      <c r="H216" t="s">
        <v>834</v>
      </c>
      <c r="I216" s="360"/>
      <c r="J216" s="363">
        <v>1086.5303392705682</v>
      </c>
      <c r="K216" t="s">
        <v>834</v>
      </c>
      <c r="L216" s="360"/>
      <c r="M216" s="363">
        <v>10828.475432569974</v>
      </c>
      <c r="N216" t="s">
        <v>855</v>
      </c>
      <c r="O216" s="360"/>
      <c r="P216" s="366" t="str">
        <f t="shared" si="57"/>
        <v>Met</v>
      </c>
      <c r="Q216" s="360"/>
      <c r="R216" s="399">
        <v>2473460.41</v>
      </c>
      <c r="S216" s="400" t="str">
        <f t="shared" si="61"/>
        <v>Did not Meet</v>
      </c>
      <c r="U216" s="399">
        <v>26802692.989999998</v>
      </c>
      <c r="V216" s="400" t="str">
        <f t="shared" si="62"/>
        <v>Met</v>
      </c>
      <c r="X216" s="399">
        <v>1111.6676</v>
      </c>
      <c r="Y216" s="400" t="str">
        <f t="shared" si="63"/>
        <v>Met</v>
      </c>
      <c r="AA216" s="399">
        <v>12046.154152808987</v>
      </c>
      <c r="AB216" s="400" t="str">
        <f t="shared" si="64"/>
        <v>Did not Meet</v>
      </c>
      <c r="AD216" s="366" t="str">
        <f t="shared" si="58"/>
        <v>Met</v>
      </c>
      <c r="AF216" s="399">
        <v>3293872.64</v>
      </c>
      <c r="AG216" s="400" t="str">
        <f t="shared" si="65"/>
        <v>Did not Meet</v>
      </c>
      <c r="AI216" s="399">
        <v>30170055.780000001</v>
      </c>
      <c r="AJ216" s="400" t="str">
        <f t="shared" si="66"/>
        <v>Met</v>
      </c>
      <c r="AL216" s="399">
        <f>VLOOKUP(A216,$A$5:$AF$315,32,0)/IFERROR(VLOOKUP(A216,'21-22 child count'!$A$3:$S$317,19,0),0)</f>
        <v>1414.28623443538</v>
      </c>
      <c r="AM216" s="400" t="str">
        <f t="shared" si="67"/>
        <v>Met</v>
      </c>
      <c r="AO216" s="399">
        <f>VLOOKUP(A216,'42. SEA or LEA Worksheet'!$A$4:$AB$318,28,0)/IFERROR(VLOOKUP('42. SEA or LEA Worksheet'!A114,'21-22 child count'!$A$3:$S$317,3,0),0)</f>
        <v>238157.09196428573</v>
      </c>
      <c r="AP216" s="400" t="str">
        <f t="shared" si="68"/>
        <v>Did not Meet</v>
      </c>
      <c r="AR216" s="366" t="str">
        <f t="shared" si="59"/>
        <v>Met</v>
      </c>
      <c r="AU216" s="400" t="str">
        <f t="shared" si="69"/>
        <v>Did not Meet</v>
      </c>
      <c r="AX216" s="400" t="str">
        <f t="shared" si="70"/>
        <v>Did not Meet</v>
      </c>
      <c r="BA216" s="400" t="str">
        <f t="shared" si="71"/>
        <v>Did not Meet</v>
      </c>
      <c r="BD216" s="400" t="str">
        <f t="shared" si="72"/>
        <v>Did not Meet</v>
      </c>
      <c r="BF216" s="366" t="str">
        <f t="shared" si="60"/>
        <v>Met</v>
      </c>
    </row>
    <row r="217" spans="1:58">
      <c r="A217" t="s">
        <v>319</v>
      </c>
      <c r="B217" t="s">
        <v>897</v>
      </c>
      <c r="C217" s="360"/>
      <c r="D217" s="363">
        <v>591133.51</v>
      </c>
      <c r="E217" t="s">
        <v>855</v>
      </c>
      <c r="F217" s="360"/>
      <c r="G217" s="363">
        <v>7097477.1600000001</v>
      </c>
      <c r="H217" t="s">
        <v>834</v>
      </c>
      <c r="I217" s="360"/>
      <c r="J217" s="363">
        <v>964.32872756933114</v>
      </c>
      <c r="K217" t="s">
        <v>855</v>
      </c>
      <c r="L217" s="360"/>
      <c r="M217" s="363">
        <v>11578.26616639478</v>
      </c>
      <c r="N217" t="s">
        <v>834</v>
      </c>
      <c r="O217" s="360"/>
      <c r="P217" s="366" t="str">
        <f t="shared" si="57"/>
        <v>Met</v>
      </c>
      <c r="Q217" s="360"/>
      <c r="R217" s="399">
        <v>629542.47</v>
      </c>
      <c r="S217" s="400" t="str">
        <f t="shared" si="61"/>
        <v>Did not Meet</v>
      </c>
      <c r="U217" s="399">
        <v>7393187.3999999994</v>
      </c>
      <c r="V217" s="400" t="str">
        <f t="shared" si="62"/>
        <v>Met</v>
      </c>
      <c r="X217" s="399">
        <v>1138.4131464737793</v>
      </c>
      <c r="Y217" s="400" t="str">
        <f t="shared" si="63"/>
        <v>Did not Meet</v>
      </c>
      <c r="AA217" s="399">
        <v>13369.235804701626</v>
      </c>
      <c r="AB217" s="400" t="str">
        <f t="shared" si="64"/>
        <v>Met</v>
      </c>
      <c r="AD217" s="366" t="str">
        <f t="shared" si="58"/>
        <v>Met</v>
      </c>
      <c r="AF217" s="399">
        <v>644793.81000000006</v>
      </c>
      <c r="AG217" s="400" t="str">
        <f t="shared" si="65"/>
        <v>Did not Meet</v>
      </c>
      <c r="AI217" s="399">
        <v>8041410.1600000001</v>
      </c>
      <c r="AJ217" s="400" t="str">
        <f t="shared" si="66"/>
        <v>Met</v>
      </c>
      <c r="AL217" s="399">
        <f>VLOOKUP(A217,$A$5:$AF$315,32,0)/IFERROR(VLOOKUP(A217,'21-22 child count'!$A$3:$S$317,19,0),0)</f>
        <v>1109.800017211704</v>
      </c>
      <c r="AM217" s="400" t="str">
        <f t="shared" si="67"/>
        <v>Did not Meet</v>
      </c>
      <c r="AO217" s="399">
        <f>VLOOKUP(A217,'42. SEA or LEA Worksheet'!$A$4:$AB$318,28,0)/IFERROR(VLOOKUP('42. SEA or LEA Worksheet'!A65,'21-22 child count'!$A$3:$S$317,3,0),0)</f>
        <v>73233.825247524743</v>
      </c>
      <c r="AP217" s="400" t="str">
        <f t="shared" si="68"/>
        <v>Met</v>
      </c>
      <c r="AR217" s="366" t="str">
        <f t="shared" si="59"/>
        <v>Met</v>
      </c>
      <c r="AU217" s="400" t="str">
        <f t="shared" si="69"/>
        <v>Did not Meet</v>
      </c>
      <c r="AX217" s="400" t="str">
        <f t="shared" si="70"/>
        <v>Did not Meet</v>
      </c>
      <c r="BA217" s="400" t="str">
        <f t="shared" si="71"/>
        <v>Did not Meet</v>
      </c>
      <c r="BD217" s="400" t="str">
        <f t="shared" si="72"/>
        <v>Did not Meet</v>
      </c>
      <c r="BF217" s="366" t="str">
        <f t="shared" si="60"/>
        <v>Met</v>
      </c>
    </row>
    <row r="218" spans="1:58">
      <c r="A218" t="s">
        <v>809</v>
      </c>
      <c r="B218" t="s">
        <v>1122</v>
      </c>
      <c r="C218" s="360"/>
      <c r="D218" s="363">
        <v>330987.96000000002</v>
      </c>
      <c r="E218" t="s">
        <v>855</v>
      </c>
      <c r="F218" s="360"/>
      <c r="G218" s="363">
        <v>4387472.96</v>
      </c>
      <c r="H218" t="s">
        <v>834</v>
      </c>
      <c r="I218" s="360"/>
      <c r="J218" s="363">
        <v>1027.9129192546584</v>
      </c>
      <c r="K218" t="s">
        <v>855</v>
      </c>
      <c r="L218" s="360"/>
      <c r="M218" s="363">
        <v>13625.692422360249</v>
      </c>
      <c r="N218" t="s">
        <v>834</v>
      </c>
      <c r="O218" s="360"/>
      <c r="P218" s="366" t="str">
        <f t="shared" si="57"/>
        <v>Met</v>
      </c>
      <c r="Q218" s="360"/>
      <c r="R218" s="399">
        <v>371213.6</v>
      </c>
      <c r="S218" s="400" t="str">
        <f t="shared" si="61"/>
        <v>Did not Meet</v>
      </c>
      <c r="U218" s="399">
        <v>4739699.5999999996</v>
      </c>
      <c r="V218" s="400" t="str">
        <f t="shared" si="62"/>
        <v>Met</v>
      </c>
      <c r="X218" s="399">
        <v>1178.4558730158728</v>
      </c>
      <c r="Y218" s="400" t="str">
        <f t="shared" si="63"/>
        <v>Did not Meet</v>
      </c>
      <c r="AA218" s="399">
        <v>15046.665396825396</v>
      </c>
      <c r="AB218" s="400" t="str">
        <f t="shared" si="64"/>
        <v>Met</v>
      </c>
      <c r="AD218" s="366" t="str">
        <f t="shared" si="58"/>
        <v>Met</v>
      </c>
      <c r="AF218" s="399">
        <v>373565.69</v>
      </c>
      <c r="AG218" s="400" t="str">
        <f t="shared" si="65"/>
        <v>Did not Meet</v>
      </c>
      <c r="AI218" s="399">
        <v>4890145.4800000004</v>
      </c>
      <c r="AJ218" s="400" t="str">
        <f t="shared" si="66"/>
        <v>Met</v>
      </c>
      <c r="AL218" s="399">
        <f>VLOOKUP(A218,$A$5:$AF$315,32,0)/IFERROR(VLOOKUP(A218,'21-22 child count'!$A$3:$S$317,19,0),0)</f>
        <v>1108.5035311572701</v>
      </c>
      <c r="AM218" s="400" t="str">
        <f t="shared" si="67"/>
        <v>Did not Meet</v>
      </c>
      <c r="AO218" s="399">
        <f>VLOOKUP(A218,'42. SEA or LEA Worksheet'!$A$4:$AB$318,28,0)/IFERROR(VLOOKUP('42. SEA or LEA Worksheet'!A306,'21-22 child count'!$A$3:$S$317,3,0),0)</f>
        <v>32836.560082644632</v>
      </c>
      <c r="AP218" s="400" t="str">
        <f t="shared" si="68"/>
        <v>Met</v>
      </c>
      <c r="AR218" s="366" t="str">
        <f t="shared" si="59"/>
        <v>Met</v>
      </c>
      <c r="AU218" s="400" t="str">
        <f t="shared" si="69"/>
        <v>Did not Meet</v>
      </c>
      <c r="AX218" s="400" t="str">
        <f t="shared" si="70"/>
        <v>Did not Meet</v>
      </c>
      <c r="BA218" s="400" t="str">
        <f t="shared" si="71"/>
        <v>Did not Meet</v>
      </c>
      <c r="BD218" s="400" t="str">
        <f t="shared" si="72"/>
        <v>Did not Meet</v>
      </c>
      <c r="BF218" s="366" t="str">
        <f t="shared" si="60"/>
        <v>Met</v>
      </c>
    </row>
    <row r="219" spans="1:58">
      <c r="A219" t="s">
        <v>497</v>
      </c>
      <c r="B219" t="s">
        <v>977</v>
      </c>
      <c r="C219" s="360"/>
      <c r="D219" s="363">
        <v>57376.58</v>
      </c>
      <c r="E219" t="s">
        <v>834</v>
      </c>
      <c r="F219" s="360"/>
      <c r="G219" s="363">
        <v>1425852.9000000001</v>
      </c>
      <c r="H219" t="s">
        <v>834</v>
      </c>
      <c r="I219" s="360"/>
      <c r="J219" s="363">
        <v>451.784094488189</v>
      </c>
      <c r="K219" t="s">
        <v>834</v>
      </c>
      <c r="L219" s="360"/>
      <c r="M219" s="363">
        <v>11227.188188976379</v>
      </c>
      <c r="N219" t="s">
        <v>834</v>
      </c>
      <c r="O219" s="360"/>
      <c r="P219" s="366" t="str">
        <f t="shared" si="57"/>
        <v>Met</v>
      </c>
      <c r="Q219" s="360"/>
      <c r="R219" s="399">
        <v>140260</v>
      </c>
      <c r="S219" s="400" t="str">
        <f t="shared" si="61"/>
        <v>Met</v>
      </c>
      <c r="U219" s="399">
        <v>1120695.96</v>
      </c>
      <c r="V219" s="400" t="str">
        <f t="shared" si="62"/>
        <v>Met</v>
      </c>
      <c r="X219" s="399">
        <v>1198.8034188034187</v>
      </c>
      <c r="Y219" s="400" t="str">
        <f t="shared" si="63"/>
        <v>Met</v>
      </c>
      <c r="AA219" s="399">
        <v>9578.5979487179484</v>
      </c>
      <c r="AB219" s="400" t="str">
        <f t="shared" si="64"/>
        <v>Did not Meet</v>
      </c>
      <c r="AD219" s="366" t="str">
        <f t="shared" si="58"/>
        <v>Met</v>
      </c>
      <c r="AF219" s="399">
        <v>0</v>
      </c>
      <c r="AG219" s="400" t="str">
        <f t="shared" si="65"/>
        <v>Did not Meet</v>
      </c>
      <c r="AI219" s="399">
        <v>1344889.6</v>
      </c>
      <c r="AJ219" s="400" t="str">
        <f t="shared" si="66"/>
        <v>Met</v>
      </c>
      <c r="AL219" s="399">
        <f>VLOOKUP(A219,$A$5:$AF$315,32,0)/IFERROR(VLOOKUP(A219,'21-22 child count'!$A$3:$S$317,19,0),0)</f>
        <v>0</v>
      </c>
      <c r="AM219" s="400" t="str">
        <f t="shared" si="67"/>
        <v>Did not Meet</v>
      </c>
      <c r="AO219" s="399">
        <f>VLOOKUP(A219,'42. SEA or LEA Worksheet'!$A$4:$AB$318,28,0)/IFERROR(VLOOKUP('42. SEA or LEA Worksheet'!A155,'21-22 child count'!$A$3:$S$317,3,0),0)</f>
        <v>11901.677876106196</v>
      </c>
      <c r="AP219" s="400" t="str">
        <f t="shared" si="68"/>
        <v>Did not Meet</v>
      </c>
      <c r="AR219" s="366" t="str">
        <f t="shared" si="59"/>
        <v>Met</v>
      </c>
      <c r="AU219" s="400" t="str">
        <f t="shared" si="69"/>
        <v>Did not Meet</v>
      </c>
      <c r="AX219" s="400" t="str">
        <f t="shared" si="70"/>
        <v>Did not Meet</v>
      </c>
      <c r="BA219" s="400" t="str">
        <f t="shared" si="71"/>
        <v>Did not Meet</v>
      </c>
      <c r="BD219" s="400" t="str">
        <f t="shared" si="72"/>
        <v>Did not Meet</v>
      </c>
      <c r="BF219" s="366" t="str">
        <f t="shared" si="60"/>
        <v>Met</v>
      </c>
    </row>
    <row r="220" spans="1:58">
      <c r="A220" t="s">
        <v>323</v>
      </c>
      <c r="B220" t="s">
        <v>899</v>
      </c>
      <c r="C220" s="360"/>
      <c r="D220" s="363">
        <v>966328.21</v>
      </c>
      <c r="E220" t="s">
        <v>834</v>
      </c>
      <c r="F220" s="360"/>
      <c r="G220" s="363">
        <v>8127908.4299999997</v>
      </c>
      <c r="H220" t="s">
        <v>834</v>
      </c>
      <c r="I220" s="360"/>
      <c r="J220" s="363">
        <v>1283.3043957503319</v>
      </c>
      <c r="K220" t="s">
        <v>834</v>
      </c>
      <c r="L220" s="360"/>
      <c r="M220" s="363">
        <v>10794.035099601593</v>
      </c>
      <c r="N220" t="s">
        <v>834</v>
      </c>
      <c r="O220" s="360"/>
      <c r="P220" s="366" t="str">
        <f t="shared" si="57"/>
        <v>Met</v>
      </c>
      <c r="Q220" s="360"/>
      <c r="R220" s="399">
        <v>904395.18</v>
      </c>
      <c r="S220" s="400" t="str">
        <f t="shared" si="61"/>
        <v>Did not Meet</v>
      </c>
      <c r="U220" s="399">
        <v>8367278.7799999993</v>
      </c>
      <c r="V220" s="400" t="str">
        <f t="shared" si="62"/>
        <v>Met</v>
      </c>
      <c r="X220" s="399">
        <v>1230.4696326530614</v>
      </c>
      <c r="Y220" s="400" t="str">
        <f t="shared" si="63"/>
        <v>Did not Meet</v>
      </c>
      <c r="AA220" s="399">
        <v>11384.052761904761</v>
      </c>
      <c r="AB220" s="400" t="str">
        <f t="shared" si="64"/>
        <v>Met</v>
      </c>
      <c r="AD220" s="366" t="str">
        <f t="shared" si="58"/>
        <v>Met</v>
      </c>
      <c r="AF220" s="399">
        <v>1818138.78</v>
      </c>
      <c r="AG220" s="400" t="str">
        <f t="shared" si="65"/>
        <v>Did not Meet</v>
      </c>
      <c r="AI220" s="399">
        <v>11023604.09</v>
      </c>
      <c r="AJ220" s="400" t="str">
        <f t="shared" si="66"/>
        <v>Met</v>
      </c>
      <c r="AL220" s="399">
        <f>VLOOKUP(A220,$A$5:$AF$315,32,0)/IFERROR(VLOOKUP(A220,'21-22 child count'!$A$3:$S$317,19,0),0)</f>
        <v>2560.7588450704225</v>
      </c>
      <c r="AM220" s="400" t="str">
        <f t="shared" si="67"/>
        <v>Did not Meet</v>
      </c>
      <c r="AO220" s="399">
        <f>VLOOKUP(A220,'42. SEA or LEA Worksheet'!$A$4:$AB$318,28,0)/IFERROR(VLOOKUP('42. SEA or LEA Worksheet'!A67,'21-22 child count'!$A$3:$S$317,3,0),0)</f>
        <v>53833.130467836258</v>
      </c>
      <c r="AP220" s="400" t="str">
        <f t="shared" si="68"/>
        <v>Met</v>
      </c>
      <c r="AR220" s="366" t="str">
        <f t="shared" si="59"/>
        <v>Met</v>
      </c>
      <c r="AU220" s="400" t="str">
        <f t="shared" si="69"/>
        <v>Did not Meet</v>
      </c>
      <c r="AX220" s="400" t="str">
        <f t="shared" si="70"/>
        <v>Did not Meet</v>
      </c>
      <c r="BA220" s="400" t="str">
        <f t="shared" si="71"/>
        <v>Did not Meet</v>
      </c>
      <c r="BD220" s="400" t="str">
        <f t="shared" si="72"/>
        <v>Did not Meet</v>
      </c>
      <c r="BF220" s="366" t="str">
        <f t="shared" si="60"/>
        <v>Met</v>
      </c>
    </row>
    <row r="221" spans="1:58">
      <c r="A221" t="s">
        <v>628</v>
      </c>
      <c r="B221" t="s">
        <v>1039</v>
      </c>
      <c r="C221" s="360"/>
      <c r="D221" s="363">
        <v>3917281.21</v>
      </c>
      <c r="E221" t="s">
        <v>834</v>
      </c>
      <c r="F221" s="360"/>
      <c r="G221" s="363">
        <v>18488767.530000001</v>
      </c>
      <c r="H221" t="s">
        <v>834</v>
      </c>
      <c r="I221" s="360"/>
      <c r="J221" s="363">
        <v>2415.0932244143032</v>
      </c>
      <c r="K221" t="s">
        <v>855</v>
      </c>
      <c r="L221" s="360"/>
      <c r="M221" s="363">
        <v>11398.746935881629</v>
      </c>
      <c r="N221" t="s">
        <v>855</v>
      </c>
      <c r="O221" s="360"/>
      <c r="P221" s="366" t="str">
        <f t="shared" si="57"/>
        <v>Met</v>
      </c>
      <c r="Q221" s="360"/>
      <c r="R221" s="399">
        <v>2205728.13</v>
      </c>
      <c r="S221" s="400" t="str">
        <f t="shared" si="61"/>
        <v>Did not Meet</v>
      </c>
      <c r="U221" s="399">
        <v>20820591.539999999</v>
      </c>
      <c r="V221" s="400" t="str">
        <f t="shared" si="62"/>
        <v>Met</v>
      </c>
      <c r="X221" s="399">
        <v>1363.2435908529048</v>
      </c>
      <c r="Y221" s="400" t="str">
        <f t="shared" si="63"/>
        <v>Did not Meet</v>
      </c>
      <c r="AA221" s="399">
        <v>12868.103547589617</v>
      </c>
      <c r="AB221" s="400" t="str">
        <f t="shared" si="64"/>
        <v>Did not Meet</v>
      </c>
      <c r="AD221" s="366" t="str">
        <f t="shared" si="58"/>
        <v>Met</v>
      </c>
      <c r="AF221" s="399">
        <v>3037079.73</v>
      </c>
      <c r="AG221" s="400" t="str">
        <f t="shared" si="65"/>
        <v>Did not Meet</v>
      </c>
      <c r="AI221" s="399">
        <v>26108637.260000002</v>
      </c>
      <c r="AJ221" s="400" t="str">
        <f t="shared" si="66"/>
        <v>Met</v>
      </c>
      <c r="AL221" s="399">
        <f>VLOOKUP(A221,$A$5:$AF$315,32,0)/IFERROR(VLOOKUP(A221,'21-22 child count'!$A$3:$S$317,19,0),0)</f>
        <v>1781.2784340175954</v>
      </c>
      <c r="AM221" s="400" t="str">
        <f t="shared" si="67"/>
        <v>Did not Meet</v>
      </c>
      <c r="AO221" s="399">
        <f>VLOOKUP(A221,'42. SEA or LEA Worksheet'!$A$4:$AB$318,28,0)/IFERROR(VLOOKUP('42. SEA or LEA Worksheet'!A218,'21-22 child count'!$A$3:$S$317,3,0),0)</f>
        <v>190674.02917355372</v>
      </c>
      <c r="AP221" s="400" t="str">
        <f t="shared" si="68"/>
        <v>Did not Meet</v>
      </c>
      <c r="AR221" s="366" t="str">
        <f t="shared" si="59"/>
        <v>Met</v>
      </c>
      <c r="AU221" s="400" t="str">
        <f t="shared" si="69"/>
        <v>Did not Meet</v>
      </c>
      <c r="AX221" s="400" t="str">
        <f t="shared" si="70"/>
        <v>Did not Meet</v>
      </c>
      <c r="BA221" s="400" t="str">
        <f t="shared" si="71"/>
        <v>Did not Meet</v>
      </c>
      <c r="BD221" s="400" t="str">
        <f t="shared" si="72"/>
        <v>Did not Meet</v>
      </c>
      <c r="BF221" s="366" t="str">
        <f t="shared" si="60"/>
        <v>Met</v>
      </c>
    </row>
    <row r="222" spans="1:58">
      <c r="A222" t="s">
        <v>273</v>
      </c>
      <c r="B222" t="s">
        <v>873</v>
      </c>
      <c r="C222" s="360"/>
      <c r="D222" s="363">
        <v>2363928.2999999998</v>
      </c>
      <c r="E222" t="s">
        <v>855</v>
      </c>
      <c r="F222" s="360"/>
      <c r="G222" s="363">
        <v>26951312.5</v>
      </c>
      <c r="H222" t="s">
        <v>834</v>
      </c>
      <c r="I222" s="360"/>
      <c r="J222" s="363">
        <v>1135.4122478386166</v>
      </c>
      <c r="K222" t="s">
        <v>855</v>
      </c>
      <c r="L222" s="360"/>
      <c r="M222" s="363">
        <v>12944.91474543708</v>
      </c>
      <c r="N222" t="s">
        <v>834</v>
      </c>
      <c r="O222" s="360"/>
      <c r="P222" s="366" t="str">
        <f t="shared" si="57"/>
        <v>Met</v>
      </c>
      <c r="Q222" s="360"/>
      <c r="R222" s="399">
        <v>2792479.34</v>
      </c>
      <c r="S222" s="400" t="str">
        <f t="shared" si="61"/>
        <v>Did not Meet</v>
      </c>
      <c r="U222" s="399">
        <v>26669488.489999998</v>
      </c>
      <c r="V222" s="400" t="str">
        <f t="shared" si="62"/>
        <v>Met</v>
      </c>
      <c r="X222" s="399">
        <v>1411.7691304347825</v>
      </c>
      <c r="Y222" s="400" t="str">
        <f t="shared" si="63"/>
        <v>Did not Meet</v>
      </c>
      <c r="AA222" s="399">
        <v>13483.057881698685</v>
      </c>
      <c r="AB222" s="400" t="str">
        <f t="shared" si="64"/>
        <v>Met</v>
      </c>
      <c r="AD222" s="366" t="str">
        <f t="shared" si="58"/>
        <v>Met</v>
      </c>
      <c r="AF222" s="399">
        <v>2946536.76</v>
      </c>
      <c r="AG222" s="400" t="str">
        <f t="shared" si="65"/>
        <v>Did not Meet</v>
      </c>
      <c r="AI222" s="399">
        <v>30026629.719999999</v>
      </c>
      <c r="AJ222" s="400" t="str">
        <f t="shared" si="66"/>
        <v>Met</v>
      </c>
      <c r="AL222" s="399">
        <f>VLOOKUP(A222,$A$5:$AF$315,32,0)/IFERROR(VLOOKUP(A222,'21-22 child count'!$A$3:$S$317,19,0),0)</f>
        <v>1491.1623279352225</v>
      </c>
      <c r="AM222" s="400" t="str">
        <f t="shared" si="67"/>
        <v>Did not Meet</v>
      </c>
      <c r="AO222" s="399">
        <f>VLOOKUP(A222,'42. SEA or LEA Worksheet'!$A$4:$AB$318,28,0)/IFERROR(VLOOKUP('42. SEA or LEA Worksheet'!A42,'21-22 child count'!$A$3:$S$317,3,0),0)</f>
        <v>223197.95421487605</v>
      </c>
      <c r="AP222" s="400" t="str">
        <f t="shared" si="68"/>
        <v>Met</v>
      </c>
      <c r="AR222" s="366" t="str">
        <f t="shared" si="59"/>
        <v>Met</v>
      </c>
      <c r="AU222" s="400" t="str">
        <f t="shared" si="69"/>
        <v>Did not Meet</v>
      </c>
      <c r="AX222" s="400" t="str">
        <f t="shared" si="70"/>
        <v>Did not Meet</v>
      </c>
      <c r="BA222" s="400" t="str">
        <f t="shared" si="71"/>
        <v>Did not Meet</v>
      </c>
      <c r="BD222" s="400" t="str">
        <f t="shared" si="72"/>
        <v>Did not Meet</v>
      </c>
      <c r="BF222" s="366" t="str">
        <f t="shared" si="60"/>
        <v>Met</v>
      </c>
    </row>
    <row r="223" spans="1:58">
      <c r="A223" t="s">
        <v>761</v>
      </c>
      <c r="B223" t="s">
        <v>1099</v>
      </c>
      <c r="C223" s="360"/>
      <c r="D223" s="363">
        <v>4540772.51</v>
      </c>
      <c r="E223" t="s">
        <v>855</v>
      </c>
      <c r="F223" s="360"/>
      <c r="G223" s="363">
        <v>39964146.079999998</v>
      </c>
      <c r="H223" t="s">
        <v>834</v>
      </c>
      <c r="I223" s="360"/>
      <c r="J223" s="363">
        <v>1487.8022640891218</v>
      </c>
      <c r="K223" t="s">
        <v>855</v>
      </c>
      <c r="L223" s="360"/>
      <c r="M223" s="363">
        <v>13094.412214941021</v>
      </c>
      <c r="N223" t="s">
        <v>834</v>
      </c>
      <c r="O223" s="360"/>
      <c r="P223" s="366" t="str">
        <f t="shared" si="57"/>
        <v>Met</v>
      </c>
      <c r="Q223" s="360"/>
      <c r="R223" s="399">
        <v>4357500.32</v>
      </c>
      <c r="S223" s="400" t="str">
        <f t="shared" si="61"/>
        <v>Did not Meet</v>
      </c>
      <c r="U223" s="399">
        <v>40277856.740000002</v>
      </c>
      <c r="V223" s="400" t="str">
        <f t="shared" si="62"/>
        <v>Met</v>
      </c>
      <c r="X223" s="399">
        <v>1470.1418083670717</v>
      </c>
      <c r="Y223" s="400" t="str">
        <f t="shared" si="63"/>
        <v>Did not Meet</v>
      </c>
      <c r="AA223" s="399">
        <v>13589.020492577598</v>
      </c>
      <c r="AB223" s="400" t="str">
        <f t="shared" si="64"/>
        <v>Met</v>
      </c>
      <c r="AD223" s="366" t="str">
        <f t="shared" si="58"/>
        <v>Met</v>
      </c>
      <c r="AF223" s="399">
        <v>4948822.22</v>
      </c>
      <c r="AG223" s="400" t="str">
        <f t="shared" si="65"/>
        <v>Did not Meet</v>
      </c>
      <c r="AI223" s="399">
        <v>49134420.539999999</v>
      </c>
      <c r="AJ223" s="400" t="str">
        <f t="shared" si="66"/>
        <v>Met</v>
      </c>
      <c r="AL223" s="399">
        <f>VLOOKUP(A223,$A$5:$AF$315,32,0)/IFERROR(VLOOKUP(A223,'21-22 child count'!$A$3:$S$317,19,0),0)</f>
        <v>1637.5983520847121</v>
      </c>
      <c r="AM223" s="400" t="str">
        <f t="shared" si="67"/>
        <v>Did not Meet</v>
      </c>
      <c r="AO223" s="399">
        <f>VLOOKUP(A223,'42. SEA or LEA Worksheet'!$A$4:$AB$318,28,0)/IFERROR(VLOOKUP('42. SEA or LEA Worksheet'!A282,'21-22 child count'!$A$3:$S$317,3,0),0)</f>
        <v>388630.0226785714</v>
      </c>
      <c r="AP223" s="400" t="str">
        <f t="shared" si="68"/>
        <v>Met</v>
      </c>
      <c r="AR223" s="366" t="str">
        <f t="shared" si="59"/>
        <v>Met</v>
      </c>
      <c r="AU223" s="400" t="str">
        <f t="shared" si="69"/>
        <v>Did not Meet</v>
      </c>
      <c r="AX223" s="400" t="str">
        <f t="shared" si="70"/>
        <v>Did not Meet</v>
      </c>
      <c r="BA223" s="400" t="str">
        <f t="shared" si="71"/>
        <v>Did not Meet</v>
      </c>
      <c r="BD223" s="400" t="str">
        <f t="shared" si="72"/>
        <v>Did not Meet</v>
      </c>
      <c r="BF223" s="366" t="str">
        <f t="shared" si="60"/>
        <v>Met</v>
      </c>
    </row>
    <row r="224" spans="1:58">
      <c r="A224" t="s">
        <v>329</v>
      </c>
      <c r="B224" t="s">
        <v>902</v>
      </c>
      <c r="C224" s="360"/>
      <c r="D224" s="363">
        <v>3532542.92</v>
      </c>
      <c r="E224" t="s">
        <v>855</v>
      </c>
      <c r="F224" s="360"/>
      <c r="G224" s="363">
        <v>44991374.5</v>
      </c>
      <c r="H224" t="s">
        <v>834</v>
      </c>
      <c r="I224" s="360"/>
      <c r="J224" s="363">
        <v>1141.0022351421189</v>
      </c>
      <c r="K224" t="s">
        <v>855</v>
      </c>
      <c r="L224" s="360"/>
      <c r="M224" s="363">
        <v>14532.097706718347</v>
      </c>
      <c r="N224" t="s">
        <v>834</v>
      </c>
      <c r="O224" s="360"/>
      <c r="P224" s="366" t="str">
        <f t="shared" si="57"/>
        <v>Met</v>
      </c>
      <c r="Q224" s="360"/>
      <c r="R224" s="399">
        <v>4614231.8499999996</v>
      </c>
      <c r="S224" s="400" t="str">
        <f t="shared" si="61"/>
        <v>Did not Meet</v>
      </c>
      <c r="U224" s="399">
        <v>44983172.219999999</v>
      </c>
      <c r="V224" s="400" t="str">
        <f t="shared" si="62"/>
        <v>Met</v>
      </c>
      <c r="X224" s="399">
        <v>1515.844891590013</v>
      </c>
      <c r="Y224" s="400" t="str">
        <f t="shared" si="63"/>
        <v>Did not Meet</v>
      </c>
      <c r="AA224" s="399">
        <v>14777.651846254927</v>
      </c>
      <c r="AB224" s="400" t="str">
        <f t="shared" si="64"/>
        <v>Met</v>
      </c>
      <c r="AD224" s="366" t="str">
        <f t="shared" si="58"/>
        <v>Met</v>
      </c>
      <c r="AF224" s="399">
        <v>6181499.3799999999</v>
      </c>
      <c r="AG224" s="400" t="str">
        <f t="shared" si="65"/>
        <v>Did not Meet</v>
      </c>
      <c r="AI224" s="399">
        <v>53963105.970000006</v>
      </c>
      <c r="AJ224" s="400" t="str">
        <f t="shared" si="66"/>
        <v>Met</v>
      </c>
      <c r="AL224" s="399">
        <f>VLOOKUP(A224,$A$5:$AF$315,32,0)/IFERROR(VLOOKUP(A224,'21-22 child count'!$A$3:$S$317,19,0),0)</f>
        <v>2075.0249681101041</v>
      </c>
      <c r="AM224" s="400" t="str">
        <f t="shared" si="67"/>
        <v>Did not Meet</v>
      </c>
      <c r="AO224" s="399">
        <f>VLOOKUP(A224,'42. SEA or LEA Worksheet'!$A$4:$AB$318,28,0)/IFERROR(VLOOKUP('42. SEA or LEA Worksheet'!A70,'21-22 child count'!$A$3:$S$317,3,0),0)</f>
        <v>251582.11</v>
      </c>
      <c r="AP224" s="400" t="str">
        <f t="shared" si="68"/>
        <v>Met</v>
      </c>
      <c r="AR224" s="366" t="str">
        <f t="shared" si="59"/>
        <v>Met</v>
      </c>
      <c r="AU224" s="400" t="str">
        <f t="shared" si="69"/>
        <v>Did not Meet</v>
      </c>
      <c r="AX224" s="400" t="str">
        <f t="shared" si="70"/>
        <v>Did not Meet</v>
      </c>
      <c r="BA224" s="400" t="str">
        <f t="shared" si="71"/>
        <v>Did not Meet</v>
      </c>
      <c r="BD224" s="400" t="str">
        <f t="shared" si="72"/>
        <v>Did not Meet</v>
      </c>
      <c r="BF224" s="366" t="str">
        <f t="shared" si="60"/>
        <v>Met</v>
      </c>
    </row>
    <row r="225" spans="1:58">
      <c r="A225" t="s">
        <v>217</v>
      </c>
      <c r="B225" t="s">
        <v>848</v>
      </c>
      <c r="C225" s="360"/>
      <c r="D225" s="363">
        <v>787625.56</v>
      </c>
      <c r="E225" t="s">
        <v>855</v>
      </c>
      <c r="F225" s="360"/>
      <c r="G225" s="363">
        <v>34039022.049999997</v>
      </c>
      <c r="H225" t="s">
        <v>834</v>
      </c>
      <c r="I225" s="360"/>
      <c r="J225" s="363">
        <v>279.7959360568384</v>
      </c>
      <c r="K225" t="s">
        <v>855</v>
      </c>
      <c r="L225" s="360"/>
      <c r="M225" s="363">
        <v>12092.014937833037</v>
      </c>
      <c r="N225" t="s">
        <v>855</v>
      </c>
      <c r="O225" s="360"/>
      <c r="P225" s="366" t="str">
        <f t="shared" si="57"/>
        <v>Met</v>
      </c>
      <c r="Q225" s="360"/>
      <c r="R225" s="399">
        <v>4111161.8</v>
      </c>
      <c r="S225" s="400" t="str">
        <f t="shared" si="61"/>
        <v>Did not Meet</v>
      </c>
      <c r="U225" s="399">
        <v>36016643.359999999</v>
      </c>
      <c r="V225" s="400" t="str">
        <f t="shared" si="62"/>
        <v>Met</v>
      </c>
      <c r="X225" s="399">
        <v>1524.9116468842728</v>
      </c>
      <c r="Y225" s="400" t="str">
        <f t="shared" si="63"/>
        <v>Did not Meet</v>
      </c>
      <c r="AA225" s="399">
        <v>13359.289080118695</v>
      </c>
      <c r="AB225" s="400" t="str">
        <f t="shared" si="64"/>
        <v>Did not Meet</v>
      </c>
      <c r="AD225" s="366" t="str">
        <f t="shared" si="58"/>
        <v>Met</v>
      </c>
      <c r="AF225" s="399">
        <v>3888785.54</v>
      </c>
      <c r="AG225" s="400" t="str">
        <f t="shared" si="65"/>
        <v>Did not Meet</v>
      </c>
      <c r="AI225" s="399">
        <v>40048986.82</v>
      </c>
      <c r="AJ225" s="400" t="str">
        <f t="shared" si="66"/>
        <v>Met</v>
      </c>
      <c r="AL225" s="399">
        <f>VLOOKUP(A225,$A$5:$AF$315,32,0)/IFERROR(VLOOKUP(A225,'21-22 child count'!$A$3:$S$317,19,0),0)</f>
        <v>1416.1637072104879</v>
      </c>
      <c r="AM225" s="400" t="str">
        <f t="shared" si="67"/>
        <v>Did not Meet</v>
      </c>
      <c r="AO225" s="399">
        <f>VLOOKUP(A225,'42. SEA or LEA Worksheet'!$A$4:$AB$318,28,0)/IFERROR(VLOOKUP('42. SEA or LEA Worksheet'!A16,'21-22 child count'!$A$3:$S$317,3,0),0)</f>
        <v>297687.65479338844</v>
      </c>
      <c r="AP225" s="400" t="str">
        <f t="shared" si="68"/>
        <v>Did not Meet</v>
      </c>
      <c r="AR225" s="366" t="str">
        <f t="shared" si="59"/>
        <v>Met</v>
      </c>
      <c r="AU225" s="400" t="str">
        <f t="shared" si="69"/>
        <v>Did not Meet</v>
      </c>
      <c r="AX225" s="400" t="str">
        <f t="shared" si="70"/>
        <v>Did not Meet</v>
      </c>
      <c r="BA225" s="400" t="str">
        <f t="shared" si="71"/>
        <v>Did not Meet</v>
      </c>
      <c r="BD225" s="400" t="str">
        <f t="shared" si="72"/>
        <v>Did not Meet</v>
      </c>
      <c r="BF225" s="366" t="str">
        <f t="shared" si="60"/>
        <v>Met</v>
      </c>
    </row>
    <row r="226" spans="1:58">
      <c r="A226" t="s">
        <v>634</v>
      </c>
      <c r="B226" t="s">
        <v>1042</v>
      </c>
      <c r="C226" s="360"/>
      <c r="D226" s="363">
        <v>0</v>
      </c>
      <c r="E226" t="s">
        <v>834</v>
      </c>
      <c r="F226" s="360"/>
      <c r="G226" s="363">
        <v>2190905.54</v>
      </c>
      <c r="H226" t="s">
        <v>834</v>
      </c>
      <c r="I226" s="360"/>
      <c r="J226" s="363">
        <v>0</v>
      </c>
      <c r="K226" t="s">
        <v>834</v>
      </c>
      <c r="L226" s="360"/>
      <c r="M226" s="363">
        <v>9205.4854621848735</v>
      </c>
      <c r="N226" t="s">
        <v>834</v>
      </c>
      <c r="O226" s="360"/>
      <c r="P226" s="366" t="str">
        <f t="shared" si="57"/>
        <v>Met</v>
      </c>
      <c r="Q226" s="360"/>
      <c r="R226" s="399">
        <v>0</v>
      </c>
      <c r="S226" s="400" t="str">
        <f t="shared" si="61"/>
        <v>Met</v>
      </c>
      <c r="U226" s="399">
        <v>2072511.95</v>
      </c>
      <c r="V226" s="400" t="str">
        <f t="shared" si="62"/>
        <v>Met</v>
      </c>
      <c r="X226" s="399">
        <v>0</v>
      </c>
      <c r="Y226" s="400" t="str">
        <f t="shared" si="63"/>
        <v>Met</v>
      </c>
      <c r="AA226" s="399">
        <v>9550.7463133640558</v>
      </c>
      <c r="AB226" s="400" t="str">
        <f t="shared" si="64"/>
        <v>Met</v>
      </c>
      <c r="AD226" s="366" t="str">
        <f t="shared" si="58"/>
        <v>Met</v>
      </c>
      <c r="AF226" s="399">
        <v>0</v>
      </c>
      <c r="AG226" s="400" t="str">
        <f t="shared" si="65"/>
        <v>Met</v>
      </c>
      <c r="AI226" s="399">
        <v>2101961.7200000002</v>
      </c>
      <c r="AJ226" s="400" t="str">
        <f t="shared" si="66"/>
        <v>Met</v>
      </c>
      <c r="AL226" s="399">
        <f>VLOOKUP(A226,$A$5:$AF$315,32,0)/IFERROR(VLOOKUP(A226,'21-22 child count'!$A$3:$S$317,19,0),0)</f>
        <v>0</v>
      </c>
      <c r="AM226" s="400" t="str">
        <f t="shared" si="67"/>
        <v>Met</v>
      </c>
      <c r="AO226" s="399">
        <f>VLOOKUP(A226,'42. SEA or LEA Worksheet'!$A$4:$AB$318,28,0)/IFERROR(VLOOKUP('42. SEA or LEA Worksheet'!A221,'21-22 child count'!$A$3:$S$317,3,0),0)</f>
        <v>17371.584462809918</v>
      </c>
      <c r="AP226" s="400" t="str">
        <f t="shared" si="68"/>
        <v>Met</v>
      </c>
      <c r="AR226" s="366" t="str">
        <f t="shared" si="59"/>
        <v>Met</v>
      </c>
      <c r="AU226" s="400" t="str">
        <f t="shared" si="69"/>
        <v>Met</v>
      </c>
      <c r="AX226" s="400" t="str">
        <f t="shared" si="70"/>
        <v>Did not Meet</v>
      </c>
      <c r="BA226" s="400" t="str">
        <f t="shared" si="71"/>
        <v>Met</v>
      </c>
      <c r="BD226" s="400" t="str">
        <f t="shared" si="72"/>
        <v>Did not Meet</v>
      </c>
      <c r="BF226" s="366" t="str">
        <f t="shared" si="60"/>
        <v>Met</v>
      </c>
    </row>
    <row r="227" spans="1:58">
      <c r="A227" t="s">
        <v>797</v>
      </c>
      <c r="B227" t="s">
        <v>1117</v>
      </c>
      <c r="C227" s="360"/>
      <c r="D227" s="363">
        <v>14631.29</v>
      </c>
      <c r="E227" t="s">
        <v>855</v>
      </c>
      <c r="F227" s="360"/>
      <c r="G227" s="363">
        <v>357952.00999999995</v>
      </c>
      <c r="H227" t="s">
        <v>834</v>
      </c>
      <c r="I227" s="360"/>
      <c r="J227" s="363">
        <v>365.78225000000003</v>
      </c>
      <c r="K227" t="s">
        <v>855</v>
      </c>
      <c r="L227" s="360"/>
      <c r="M227" s="363">
        <v>8948.8002499999984</v>
      </c>
      <c r="N227" t="s">
        <v>855</v>
      </c>
      <c r="O227" s="360"/>
      <c r="P227" s="366" t="str">
        <f t="shared" si="57"/>
        <v>Met</v>
      </c>
      <c r="Q227" s="360"/>
      <c r="R227" s="399">
        <v>62927.68</v>
      </c>
      <c r="S227" s="400" t="str">
        <f t="shared" si="61"/>
        <v>Did not Meet</v>
      </c>
      <c r="U227" s="399">
        <v>385478.52999999997</v>
      </c>
      <c r="V227" s="400" t="str">
        <f t="shared" si="62"/>
        <v>Met</v>
      </c>
      <c r="X227" s="399">
        <v>1534.8214634146341</v>
      </c>
      <c r="Y227" s="400" t="str">
        <f t="shared" si="63"/>
        <v>Did not Meet</v>
      </c>
      <c r="AA227" s="399">
        <v>9401.9153658536579</v>
      </c>
      <c r="AB227" s="400" t="str">
        <f t="shared" si="64"/>
        <v>Did not Meet</v>
      </c>
      <c r="AD227" s="366" t="str">
        <f t="shared" si="58"/>
        <v>Met</v>
      </c>
      <c r="AF227" s="399">
        <v>71525.399999999994</v>
      </c>
      <c r="AG227" s="400" t="str">
        <f t="shared" si="65"/>
        <v>Did not Meet</v>
      </c>
      <c r="AI227" s="399">
        <v>482222.78</v>
      </c>
      <c r="AJ227" s="400" t="str">
        <f t="shared" si="66"/>
        <v>Met</v>
      </c>
      <c r="AL227" s="399">
        <f>VLOOKUP(A227,$A$5:$AF$315,32,0)/IFERROR(VLOOKUP(A227,'21-22 child count'!$A$3:$S$317,19,0),0)</f>
        <v>1833.9846153846152</v>
      </c>
      <c r="AM227" s="400" t="str">
        <f t="shared" si="67"/>
        <v>Did not Meet</v>
      </c>
      <c r="AO227" s="399">
        <f>VLOOKUP(A227,'42. SEA or LEA Worksheet'!$A$4:$AB$318,28,0)/IFERROR(VLOOKUP('42. SEA or LEA Worksheet'!A300,'21-22 child count'!$A$3:$S$317,3,0),0)</f>
        <v>4066.310693069307</v>
      </c>
      <c r="AP227" s="400" t="str">
        <f t="shared" si="68"/>
        <v>Did not Meet</v>
      </c>
      <c r="AR227" s="366" t="str">
        <f t="shared" si="59"/>
        <v>Met</v>
      </c>
      <c r="AU227" s="400" t="str">
        <f t="shared" si="69"/>
        <v>Did not Meet</v>
      </c>
      <c r="AX227" s="400" t="str">
        <f t="shared" si="70"/>
        <v>Did not Meet</v>
      </c>
      <c r="BA227" s="400" t="str">
        <f t="shared" si="71"/>
        <v>Did not Meet</v>
      </c>
      <c r="BD227" s="400" t="str">
        <f t="shared" si="72"/>
        <v>Did not Meet</v>
      </c>
      <c r="BF227" s="366" t="str">
        <f t="shared" si="60"/>
        <v>Met</v>
      </c>
    </row>
    <row r="228" spans="1:58">
      <c r="A228" t="s">
        <v>638</v>
      </c>
      <c r="B228" t="s">
        <v>1044</v>
      </c>
      <c r="C228" s="360"/>
      <c r="D228" s="363">
        <v>908284.07</v>
      </c>
      <c r="E228" t="s">
        <v>834</v>
      </c>
      <c r="F228" s="360"/>
      <c r="G228" s="363">
        <v>4565636.18</v>
      </c>
      <c r="H228" t="s">
        <v>834</v>
      </c>
      <c r="I228" s="360"/>
      <c r="J228" s="363">
        <v>2786.1474539877299</v>
      </c>
      <c r="K228" t="s">
        <v>834</v>
      </c>
      <c r="L228" s="360"/>
      <c r="M228" s="363">
        <v>14005.018957055214</v>
      </c>
      <c r="N228" t="s">
        <v>834</v>
      </c>
      <c r="O228" s="360"/>
      <c r="P228" s="366" t="str">
        <f t="shared" si="57"/>
        <v>Met</v>
      </c>
      <c r="Q228" s="360"/>
      <c r="R228" s="399">
        <v>1062118.3999999999</v>
      </c>
      <c r="S228" s="400" t="str">
        <f t="shared" si="61"/>
        <v>Met</v>
      </c>
      <c r="U228" s="399">
        <v>4613226.9000000004</v>
      </c>
      <c r="V228" s="400" t="str">
        <f t="shared" si="62"/>
        <v>Met</v>
      </c>
      <c r="X228" s="399">
        <v>3404.2256410256409</v>
      </c>
      <c r="Y228" s="400" t="str">
        <f t="shared" si="63"/>
        <v>Met</v>
      </c>
      <c r="AA228" s="399">
        <v>14785.983653846155</v>
      </c>
      <c r="AB228" s="400" t="str">
        <f t="shared" si="64"/>
        <v>Met</v>
      </c>
      <c r="AD228" s="366" t="str">
        <f t="shared" si="58"/>
        <v>Met</v>
      </c>
      <c r="AF228" s="399">
        <v>1150294.48</v>
      </c>
      <c r="AG228" s="400" t="str">
        <f t="shared" si="65"/>
        <v>Met</v>
      </c>
      <c r="AI228" s="399">
        <v>5721657.5899999999</v>
      </c>
      <c r="AJ228" s="400" t="str">
        <f t="shared" si="66"/>
        <v>Met</v>
      </c>
      <c r="AL228" s="399">
        <f>VLOOKUP(A228,$A$5:$AF$315,32,0)/IFERROR(VLOOKUP(A228,'21-22 child count'!$A$3:$S$317,19,0),0)</f>
        <v>4050.3326760563382</v>
      </c>
      <c r="AM228" s="400" t="str">
        <f t="shared" si="67"/>
        <v>Met</v>
      </c>
      <c r="AO228" s="399">
        <f>VLOOKUP(A228,'42. SEA or LEA Worksheet'!$A$4:$AB$318,28,0)/IFERROR(VLOOKUP('42. SEA or LEA Worksheet'!A223,'21-22 child count'!$A$3:$S$317,3,0),0)</f>
        <v>36823.952439024397</v>
      </c>
      <c r="AP228" s="400" t="str">
        <f t="shared" si="68"/>
        <v>Met</v>
      </c>
      <c r="AR228" s="366" t="str">
        <f t="shared" si="59"/>
        <v>Met</v>
      </c>
      <c r="AU228" s="400" t="str">
        <f t="shared" si="69"/>
        <v>Did not Meet</v>
      </c>
      <c r="AX228" s="400" t="str">
        <f t="shared" si="70"/>
        <v>Did not Meet</v>
      </c>
      <c r="BA228" s="400" t="str">
        <f t="shared" si="71"/>
        <v>Did not Meet</v>
      </c>
      <c r="BD228" s="400" t="str">
        <f t="shared" si="72"/>
        <v>Did not Meet</v>
      </c>
      <c r="BF228" s="366" t="str">
        <f t="shared" si="60"/>
        <v>Met</v>
      </c>
    </row>
    <row r="229" spans="1:58">
      <c r="A229" t="s">
        <v>640</v>
      </c>
      <c r="B229" t="s">
        <v>1045</v>
      </c>
      <c r="C229" s="360"/>
      <c r="D229" s="363">
        <v>0</v>
      </c>
      <c r="E229" t="s">
        <v>834</v>
      </c>
      <c r="F229" s="360"/>
      <c r="G229" s="363">
        <v>36671.83</v>
      </c>
      <c r="H229" t="s">
        <v>834</v>
      </c>
      <c r="I229" s="360"/>
      <c r="J229" s="363">
        <v>0</v>
      </c>
      <c r="K229" t="s">
        <v>834</v>
      </c>
      <c r="L229" s="360"/>
      <c r="M229" s="363">
        <v>9167.9575000000004</v>
      </c>
      <c r="N229" t="s">
        <v>855</v>
      </c>
      <c r="O229" s="360"/>
      <c r="P229" s="366" t="str">
        <f t="shared" si="57"/>
        <v>Met</v>
      </c>
      <c r="Q229" s="360"/>
      <c r="R229" s="399">
        <v>0</v>
      </c>
      <c r="S229" s="400" t="str">
        <f t="shared" si="61"/>
        <v>Met</v>
      </c>
      <c r="U229" s="399">
        <v>61134.8</v>
      </c>
      <c r="V229" s="400" t="str">
        <f t="shared" si="62"/>
        <v>Met</v>
      </c>
      <c r="X229" s="399">
        <v>0</v>
      </c>
      <c r="Y229" s="400" t="str">
        <f t="shared" si="63"/>
        <v>Met</v>
      </c>
      <c r="AA229" s="399">
        <v>10189.133333333333</v>
      </c>
      <c r="AB229" s="400" t="str">
        <f t="shared" si="64"/>
        <v>Did not Meet</v>
      </c>
      <c r="AD229" s="366" t="str">
        <f t="shared" si="58"/>
        <v>Met</v>
      </c>
      <c r="AF229" s="399">
        <v>0</v>
      </c>
      <c r="AG229" s="400" t="str">
        <f t="shared" si="65"/>
        <v>Met</v>
      </c>
      <c r="AI229" s="399">
        <v>52937.56</v>
      </c>
      <c r="AJ229" s="400" t="str">
        <f t="shared" si="66"/>
        <v>Did not Meet</v>
      </c>
      <c r="AL229" s="399">
        <f>VLOOKUP(A229,$A$5:$AF$315,32,0)/IFERROR(VLOOKUP(A229,'21-22 child count'!$A$3:$S$317,19,0),0)</f>
        <v>0</v>
      </c>
      <c r="AM229" s="400" t="str">
        <f t="shared" si="67"/>
        <v>Met</v>
      </c>
      <c r="AO229" s="399">
        <f>VLOOKUP(A229,'42. SEA or LEA Worksheet'!$A$4:$AB$318,28,0)/IFERROR(VLOOKUP('42. SEA or LEA Worksheet'!A224,'21-22 child count'!$A$3:$S$317,3,0),0)</f>
        <v>472.65678571428572</v>
      </c>
      <c r="AP229" s="400" t="str">
        <f t="shared" si="68"/>
        <v>Did not Meet</v>
      </c>
      <c r="AR229" s="366" t="str">
        <f t="shared" si="59"/>
        <v>Met</v>
      </c>
      <c r="AU229" s="400" t="str">
        <f t="shared" si="69"/>
        <v>Met</v>
      </c>
      <c r="AX229" s="400" t="str">
        <f t="shared" si="70"/>
        <v>Did not Meet</v>
      </c>
      <c r="BA229" s="400" t="str">
        <f t="shared" si="71"/>
        <v>Met</v>
      </c>
      <c r="BD229" s="400" t="str">
        <f t="shared" si="72"/>
        <v>Did not Meet</v>
      </c>
      <c r="BF229" s="366" t="str">
        <f t="shared" si="60"/>
        <v>Met</v>
      </c>
    </row>
    <row r="230" spans="1:58">
      <c r="A230" t="s">
        <v>325</v>
      </c>
      <c r="B230" t="s">
        <v>900</v>
      </c>
      <c r="C230" s="360"/>
      <c r="D230" s="363">
        <v>17268.830000000002</v>
      </c>
      <c r="E230" t="s">
        <v>855</v>
      </c>
      <c r="F230" s="360"/>
      <c r="G230" s="363">
        <v>151550.75</v>
      </c>
      <c r="H230" t="s">
        <v>834</v>
      </c>
      <c r="I230" s="360"/>
      <c r="J230" s="363">
        <v>1079.3018750000001</v>
      </c>
      <c r="K230" t="s">
        <v>855</v>
      </c>
      <c r="L230" s="360"/>
      <c r="M230" s="363">
        <v>9471.921875</v>
      </c>
      <c r="N230" t="s">
        <v>855</v>
      </c>
      <c r="O230" s="360"/>
      <c r="P230" s="366" t="str">
        <f t="shared" si="57"/>
        <v>Met</v>
      </c>
      <c r="Q230" s="360"/>
      <c r="R230" s="399">
        <v>27723.46</v>
      </c>
      <c r="S230" s="400" t="str">
        <f t="shared" si="61"/>
        <v>Did not Meet</v>
      </c>
      <c r="U230" s="399">
        <v>157715.76999999999</v>
      </c>
      <c r="V230" s="400" t="str">
        <f t="shared" si="62"/>
        <v>Met</v>
      </c>
      <c r="X230" s="399">
        <v>1630.7917647058823</v>
      </c>
      <c r="Y230" s="400" t="str">
        <f t="shared" si="63"/>
        <v>Did not Meet</v>
      </c>
      <c r="AA230" s="399">
        <v>9277.3982352941166</v>
      </c>
      <c r="AB230" s="400" t="str">
        <f t="shared" si="64"/>
        <v>Did not Meet</v>
      </c>
      <c r="AD230" s="366" t="str">
        <f t="shared" si="58"/>
        <v>Met</v>
      </c>
      <c r="AF230" s="399">
        <v>41378.46</v>
      </c>
      <c r="AG230" s="400" t="str">
        <f t="shared" si="65"/>
        <v>Did not Meet</v>
      </c>
      <c r="AI230" s="399">
        <v>200761.31</v>
      </c>
      <c r="AJ230" s="400" t="str">
        <f t="shared" si="66"/>
        <v>Met</v>
      </c>
      <c r="AL230" s="399">
        <f>VLOOKUP(A230,$A$5:$AF$315,32,0)/IFERROR(VLOOKUP(A230,'21-22 child count'!$A$3:$S$317,19,0),0)</f>
        <v>4137.8459999999995</v>
      </c>
      <c r="AM230" s="400" t="str">
        <f t="shared" si="67"/>
        <v>Did not Meet</v>
      </c>
      <c r="AO230" s="399">
        <f>VLOOKUP(A230,'42. SEA or LEA Worksheet'!$A$4:$AB$318,28,0)/IFERROR(VLOOKUP('42. SEA or LEA Worksheet'!A68,'21-22 child count'!$A$3:$S$317,3,0),0)</f>
        <v>1517.9319047619049</v>
      </c>
      <c r="AP230" s="400" t="str">
        <f t="shared" si="68"/>
        <v>Did not Meet</v>
      </c>
      <c r="AR230" s="366" t="str">
        <f t="shared" si="59"/>
        <v>Met</v>
      </c>
      <c r="AU230" s="400" t="str">
        <f t="shared" si="69"/>
        <v>Did not Meet</v>
      </c>
      <c r="AX230" s="400" t="str">
        <f t="shared" si="70"/>
        <v>Did not Meet</v>
      </c>
      <c r="BA230" s="400" t="str">
        <f t="shared" si="71"/>
        <v>Did not Meet</v>
      </c>
      <c r="BD230" s="400" t="str">
        <f t="shared" si="72"/>
        <v>Did not Meet</v>
      </c>
      <c r="BF230" s="366" t="str">
        <f t="shared" si="60"/>
        <v>Met</v>
      </c>
    </row>
    <row r="231" spans="1:58">
      <c r="A231" t="s">
        <v>644</v>
      </c>
      <c r="B231" t="s">
        <v>1047</v>
      </c>
      <c r="C231" s="360"/>
      <c r="D231" s="363">
        <v>0</v>
      </c>
      <c r="E231" t="s">
        <v>834</v>
      </c>
      <c r="F231" s="360"/>
      <c r="G231" s="363">
        <v>1874978.71</v>
      </c>
      <c r="H231" t="s">
        <v>834</v>
      </c>
      <c r="I231" s="360"/>
      <c r="J231" s="363">
        <v>0</v>
      </c>
      <c r="K231" t="s">
        <v>834</v>
      </c>
      <c r="L231" s="360"/>
      <c r="M231" s="363">
        <v>9566.2179081632657</v>
      </c>
      <c r="N231" t="s">
        <v>834</v>
      </c>
      <c r="O231" s="360"/>
      <c r="P231" s="366" t="str">
        <f t="shared" si="57"/>
        <v>Met</v>
      </c>
      <c r="Q231" s="360"/>
      <c r="R231" s="399">
        <v>0</v>
      </c>
      <c r="S231" s="400" t="str">
        <f t="shared" si="61"/>
        <v>Met</v>
      </c>
      <c r="U231" s="399">
        <v>2217358.44</v>
      </c>
      <c r="V231" s="400" t="str">
        <f t="shared" si="62"/>
        <v>Met</v>
      </c>
      <c r="X231" s="399">
        <v>0</v>
      </c>
      <c r="Y231" s="400" t="str">
        <f t="shared" si="63"/>
        <v>Met</v>
      </c>
      <c r="AA231" s="399">
        <v>9475.8907692307694</v>
      </c>
      <c r="AB231" s="400" t="str">
        <f t="shared" si="64"/>
        <v>Did not Meet</v>
      </c>
      <c r="AD231" s="366" t="str">
        <f t="shared" si="58"/>
        <v>Met</v>
      </c>
      <c r="AF231" s="399">
        <v>0</v>
      </c>
      <c r="AG231" s="400" t="str">
        <f t="shared" si="65"/>
        <v>Met</v>
      </c>
      <c r="AI231" s="399">
        <v>2139684.0499999998</v>
      </c>
      <c r="AJ231" s="400" t="str">
        <f t="shared" si="66"/>
        <v>Did not Meet</v>
      </c>
      <c r="AL231" s="399">
        <f>VLOOKUP(A231,$A$5:$AF$315,32,0)/IFERROR(VLOOKUP(A231,'21-22 child count'!$A$3:$S$317,19,0),0)</f>
        <v>0</v>
      </c>
      <c r="AM231" s="400" t="str">
        <f t="shared" si="67"/>
        <v>Met</v>
      </c>
      <c r="AO231" s="399">
        <f>VLOOKUP(A231,'42. SEA or LEA Worksheet'!$A$4:$AB$318,28,0)/IFERROR(VLOOKUP('42. SEA or LEA Worksheet'!A226,'21-22 child count'!$A$3:$S$317,3,0),0)</f>
        <v>21184.990594059404</v>
      </c>
      <c r="AP231" s="400" t="str">
        <f t="shared" si="68"/>
        <v>Did not Meet</v>
      </c>
      <c r="AR231" s="366" t="str">
        <f t="shared" si="59"/>
        <v>Met</v>
      </c>
      <c r="AU231" s="400" t="str">
        <f t="shared" si="69"/>
        <v>Met</v>
      </c>
      <c r="AX231" s="400" t="str">
        <f t="shared" si="70"/>
        <v>Did not Meet</v>
      </c>
      <c r="BA231" s="400" t="str">
        <f t="shared" si="71"/>
        <v>Met</v>
      </c>
      <c r="BD231" s="400" t="str">
        <f t="shared" si="72"/>
        <v>Did not Meet</v>
      </c>
      <c r="BF231" s="366" t="str">
        <f t="shared" si="60"/>
        <v>Met</v>
      </c>
    </row>
    <row r="232" spans="1:58">
      <c r="A232" t="s">
        <v>434</v>
      </c>
      <c r="B232" t="s">
        <v>947</v>
      </c>
      <c r="C232" s="360"/>
      <c r="D232" s="363">
        <v>422162.77</v>
      </c>
      <c r="E232" t="s">
        <v>834</v>
      </c>
      <c r="F232" s="360"/>
      <c r="G232" s="363">
        <v>1756338.66</v>
      </c>
      <c r="H232" t="s">
        <v>834</v>
      </c>
      <c r="I232" s="360"/>
      <c r="J232" s="363">
        <v>3015.4483571428573</v>
      </c>
      <c r="K232" t="s">
        <v>834</v>
      </c>
      <c r="L232" s="360"/>
      <c r="M232" s="363">
        <v>12545.276142857143</v>
      </c>
      <c r="N232" t="s">
        <v>834</v>
      </c>
      <c r="O232" s="360"/>
      <c r="P232" s="366" t="str">
        <f t="shared" si="57"/>
        <v>Met</v>
      </c>
      <c r="Q232" s="360"/>
      <c r="R232" s="399">
        <v>221633.47</v>
      </c>
      <c r="S232" s="400" t="str">
        <f t="shared" si="61"/>
        <v>Did not Meet</v>
      </c>
      <c r="U232" s="399">
        <v>1574890.71</v>
      </c>
      <c r="V232" s="400" t="str">
        <f t="shared" si="62"/>
        <v>Met</v>
      </c>
      <c r="X232" s="399">
        <v>1691.8585496183207</v>
      </c>
      <c r="Y232" s="400" t="str">
        <f t="shared" si="63"/>
        <v>Did not Meet</v>
      </c>
      <c r="AA232" s="399">
        <v>12022.066488549617</v>
      </c>
      <c r="AB232" s="400" t="str">
        <f t="shared" si="64"/>
        <v>Did not Meet</v>
      </c>
      <c r="AD232" s="366" t="str">
        <f t="shared" si="58"/>
        <v>Met</v>
      </c>
      <c r="AF232" s="399">
        <v>229758.88</v>
      </c>
      <c r="AG232" s="400" t="str">
        <f t="shared" si="65"/>
        <v>Did not Meet</v>
      </c>
      <c r="AI232" s="399">
        <v>1812636.0499999998</v>
      </c>
      <c r="AJ232" s="400" t="str">
        <f t="shared" si="66"/>
        <v>Met</v>
      </c>
      <c r="AL232" s="399">
        <f>VLOOKUP(A232,$A$5:$AF$315,32,0)/IFERROR(VLOOKUP(A232,'21-22 child count'!$A$3:$S$317,19,0),0)</f>
        <v>1714.6185074626867</v>
      </c>
      <c r="AM232" s="400" t="str">
        <f t="shared" si="67"/>
        <v>Did not Meet</v>
      </c>
      <c r="AO232" s="399">
        <f>VLOOKUP(A232,'42. SEA or LEA Worksheet'!$A$4:$AB$318,28,0)/IFERROR(VLOOKUP('42. SEA or LEA Worksheet'!A123,'21-22 child count'!$A$3:$S$317,3,0),0)</f>
        <v>8375.0114814814806</v>
      </c>
      <c r="AP232" s="400" t="str">
        <f t="shared" si="68"/>
        <v>Did not Meet</v>
      </c>
      <c r="AR232" s="366" t="str">
        <f t="shared" si="59"/>
        <v>Met</v>
      </c>
      <c r="AU232" s="400" t="str">
        <f t="shared" si="69"/>
        <v>Did not Meet</v>
      </c>
      <c r="AX232" s="400" t="str">
        <f t="shared" si="70"/>
        <v>Did not Meet</v>
      </c>
      <c r="BA232" s="400" t="str">
        <f t="shared" si="71"/>
        <v>Did not Meet</v>
      </c>
      <c r="BD232" s="400" t="str">
        <f t="shared" si="72"/>
        <v>Did not Meet</v>
      </c>
      <c r="BF232" s="366" t="str">
        <f t="shared" si="60"/>
        <v>Met</v>
      </c>
    </row>
    <row r="233" spans="1:58">
      <c r="A233" t="s">
        <v>666</v>
      </c>
      <c r="B233" t="s">
        <v>1055</v>
      </c>
      <c r="C233" s="360"/>
      <c r="D233" s="363">
        <v>868585.8</v>
      </c>
      <c r="E233" t="s">
        <v>855</v>
      </c>
      <c r="F233" s="360"/>
      <c r="G233" s="363">
        <v>8172075.8399999999</v>
      </c>
      <c r="H233" t="s">
        <v>834</v>
      </c>
      <c r="I233" s="360"/>
      <c r="J233" s="363">
        <v>1237.3017094017096</v>
      </c>
      <c r="K233" t="s">
        <v>855</v>
      </c>
      <c r="L233" s="360"/>
      <c r="M233" s="363">
        <v>11641.133675213676</v>
      </c>
      <c r="N233" t="s">
        <v>834</v>
      </c>
      <c r="O233" s="360"/>
      <c r="P233" s="366" t="str">
        <f t="shared" si="57"/>
        <v>Met</v>
      </c>
      <c r="Q233" s="360"/>
      <c r="R233" s="399">
        <v>1110071.82</v>
      </c>
      <c r="S233" s="400" t="str">
        <f t="shared" si="61"/>
        <v>Did not Meet</v>
      </c>
      <c r="U233" s="399">
        <v>7891591.5200000005</v>
      </c>
      <c r="V233" s="400" t="str">
        <f t="shared" si="62"/>
        <v>Met</v>
      </c>
      <c r="X233" s="399">
        <v>1756.442753164557</v>
      </c>
      <c r="Y233" s="400" t="str">
        <f t="shared" si="63"/>
        <v>Did not Meet</v>
      </c>
      <c r="AA233" s="399">
        <v>12486.695443037976</v>
      </c>
      <c r="AB233" s="400" t="str">
        <f t="shared" si="64"/>
        <v>Met</v>
      </c>
      <c r="AD233" s="366" t="str">
        <f t="shared" si="58"/>
        <v>Met</v>
      </c>
      <c r="AF233" s="399">
        <v>1211828.17</v>
      </c>
      <c r="AG233" s="400" t="str">
        <f t="shared" si="65"/>
        <v>Did not Meet</v>
      </c>
      <c r="AI233" s="399">
        <v>9206860.2800000012</v>
      </c>
      <c r="AJ233" s="400" t="str">
        <f t="shared" si="66"/>
        <v>Met</v>
      </c>
      <c r="AL233" s="399">
        <f>VLOOKUP(A233,$A$5:$AF$315,32,0)/IFERROR(VLOOKUP(A233,'21-22 child count'!$A$3:$S$317,19,0),0)</f>
        <v>1942.0323237179487</v>
      </c>
      <c r="AM233" s="400" t="str">
        <f t="shared" si="67"/>
        <v>Did not Meet</v>
      </c>
      <c r="AO233" s="399">
        <f>VLOOKUP(A233,'42. SEA or LEA Worksheet'!$A$4:$AB$318,28,0)/IFERROR(VLOOKUP('42. SEA or LEA Worksheet'!A235,'21-22 child count'!$A$3:$S$317,3,0),0)</f>
        <v>8883.3690111111118</v>
      </c>
      <c r="AP233" s="400" t="str">
        <f t="shared" si="68"/>
        <v>Did not Meet</v>
      </c>
      <c r="AR233" s="366" t="str">
        <f t="shared" si="59"/>
        <v>Met</v>
      </c>
      <c r="AU233" s="400" t="str">
        <f t="shared" si="69"/>
        <v>Did not Meet</v>
      </c>
      <c r="AX233" s="400" t="str">
        <f t="shared" si="70"/>
        <v>Did not Meet</v>
      </c>
      <c r="BA233" s="400" t="str">
        <f t="shared" si="71"/>
        <v>Did not Meet</v>
      </c>
      <c r="BD233" s="400" t="str">
        <f t="shared" si="72"/>
        <v>Did not Meet</v>
      </c>
      <c r="BF233" s="366" t="str">
        <f t="shared" si="60"/>
        <v>Met</v>
      </c>
    </row>
    <row r="234" spans="1:58">
      <c r="A234" t="s">
        <v>357</v>
      </c>
      <c r="B234" t="s">
        <v>915</v>
      </c>
      <c r="C234" s="360"/>
      <c r="D234" s="363">
        <v>0</v>
      </c>
      <c r="E234" t="s">
        <v>855</v>
      </c>
      <c r="F234" s="360"/>
      <c r="G234" s="363">
        <v>1257846.6000000001</v>
      </c>
      <c r="H234" t="s">
        <v>879</v>
      </c>
      <c r="I234" s="360"/>
      <c r="J234" s="363">
        <v>0</v>
      </c>
      <c r="K234" t="s">
        <v>855</v>
      </c>
      <c r="L234" s="360"/>
      <c r="M234" s="363">
        <v>9982.9095238095251</v>
      </c>
      <c r="N234" t="s">
        <v>834</v>
      </c>
      <c r="O234" s="360"/>
      <c r="P234" s="366" t="str">
        <f t="shared" si="57"/>
        <v>Met</v>
      </c>
      <c r="Q234" s="360"/>
      <c r="R234" s="399">
        <v>222280.12</v>
      </c>
      <c r="S234" s="400" t="str">
        <f t="shared" si="61"/>
        <v>Did not Meet</v>
      </c>
      <c r="U234" s="399">
        <v>1378792.9</v>
      </c>
      <c r="V234" s="400" t="str">
        <f t="shared" si="62"/>
        <v>Did not Meet</v>
      </c>
      <c r="X234" s="399">
        <v>1821.9681967213114</v>
      </c>
      <c r="Y234" s="400" t="str">
        <f t="shared" si="63"/>
        <v>Did not Meet</v>
      </c>
      <c r="AA234" s="399">
        <v>11301.581147540983</v>
      </c>
      <c r="AB234" s="400" t="str">
        <f t="shared" si="64"/>
        <v>Met</v>
      </c>
      <c r="AD234" s="366" t="str">
        <f t="shared" si="58"/>
        <v>Met</v>
      </c>
      <c r="AF234" s="399">
        <v>482687.13</v>
      </c>
      <c r="AG234" s="400" t="str">
        <f t="shared" si="65"/>
        <v>Did not Meet</v>
      </c>
      <c r="AI234" s="399">
        <v>1847994.5699999998</v>
      </c>
      <c r="AJ234" s="400" t="str">
        <f t="shared" si="66"/>
        <v>Did not Meet</v>
      </c>
      <c r="AL234" s="399">
        <f>VLOOKUP(A234,$A$5:$AF$315,32,0)/IFERROR(VLOOKUP(A234,'21-22 child count'!$A$3:$S$317,19,0),0)</f>
        <v>4271.5675221238935</v>
      </c>
      <c r="AM234" s="400" t="str">
        <f t="shared" si="67"/>
        <v>Did not Meet</v>
      </c>
      <c r="AO234" s="399">
        <f>VLOOKUP(A234,'42. SEA or LEA Worksheet'!$A$4:$AB$318,28,0)/IFERROR(VLOOKUP('42. SEA or LEA Worksheet'!A85,'21-22 child count'!$A$3:$S$317,3,0),0)</f>
        <v>10872.626422764228</v>
      </c>
      <c r="AP234" s="400" t="str">
        <f t="shared" si="68"/>
        <v>Did not Meet</v>
      </c>
      <c r="AR234" s="366" t="str">
        <f t="shared" si="59"/>
        <v>Met</v>
      </c>
      <c r="AU234" s="400" t="str">
        <f t="shared" si="69"/>
        <v>Did not Meet</v>
      </c>
      <c r="AX234" s="400" t="str">
        <f t="shared" si="70"/>
        <v>Did not Meet</v>
      </c>
      <c r="BA234" s="400" t="str">
        <f t="shared" si="71"/>
        <v>Did not Meet</v>
      </c>
      <c r="BD234" s="400" t="str">
        <f t="shared" si="72"/>
        <v>Did not Meet</v>
      </c>
      <c r="BF234" s="366" t="str">
        <f t="shared" si="60"/>
        <v>Met</v>
      </c>
    </row>
    <row r="235" spans="1:58">
      <c r="A235" t="s">
        <v>331</v>
      </c>
      <c r="B235" t="s">
        <v>903</v>
      </c>
      <c r="C235" s="360"/>
      <c r="D235" s="363">
        <v>350037.6</v>
      </c>
      <c r="E235" t="s">
        <v>855</v>
      </c>
      <c r="F235" s="360"/>
      <c r="G235" s="363">
        <v>5127441.4799999995</v>
      </c>
      <c r="H235" t="s">
        <v>834</v>
      </c>
      <c r="I235" s="360"/>
      <c r="J235" s="363">
        <v>784.83766816143498</v>
      </c>
      <c r="K235" t="s">
        <v>855</v>
      </c>
      <c r="L235" s="360"/>
      <c r="M235" s="363">
        <v>11496.505560538115</v>
      </c>
      <c r="N235" t="s">
        <v>834</v>
      </c>
      <c r="O235" s="360"/>
      <c r="P235" s="366" t="str">
        <f t="shared" si="57"/>
        <v>Met</v>
      </c>
      <c r="Q235" s="360"/>
      <c r="R235" s="399">
        <v>735021.58</v>
      </c>
      <c r="S235" s="400" t="str">
        <f t="shared" si="61"/>
        <v>Did not Meet</v>
      </c>
      <c r="U235" s="399">
        <v>5084041.72</v>
      </c>
      <c r="V235" s="400" t="str">
        <f t="shared" si="62"/>
        <v>Met</v>
      </c>
      <c r="X235" s="399">
        <v>1832.9715211970074</v>
      </c>
      <c r="Y235" s="400" t="str">
        <f t="shared" si="63"/>
        <v>Did not Meet</v>
      </c>
      <c r="AA235" s="399">
        <v>12678.408279301744</v>
      </c>
      <c r="AB235" s="400" t="str">
        <f t="shared" si="64"/>
        <v>Met</v>
      </c>
      <c r="AD235" s="366" t="str">
        <f t="shared" si="58"/>
        <v>Met</v>
      </c>
      <c r="AF235" s="399">
        <v>731166.5</v>
      </c>
      <c r="AG235" s="400" t="str">
        <f t="shared" si="65"/>
        <v>Did not Meet</v>
      </c>
      <c r="AI235" s="399">
        <v>6013499.46</v>
      </c>
      <c r="AJ235" s="400" t="str">
        <f t="shared" si="66"/>
        <v>Met</v>
      </c>
      <c r="AL235" s="399">
        <f>VLOOKUP(A235,$A$5:$AF$315,32,0)/IFERROR(VLOOKUP(A235,'21-22 child count'!$A$3:$S$317,19,0),0)</f>
        <v>1814.3089330024814</v>
      </c>
      <c r="AM235" s="400" t="str">
        <f t="shared" si="67"/>
        <v>Did not Meet</v>
      </c>
      <c r="AO235" s="399">
        <f>VLOOKUP(A235,'42. SEA or LEA Worksheet'!$A$4:$AB$318,28,0)/IFERROR(VLOOKUP('42. SEA or LEA Worksheet'!A71,'21-22 child count'!$A$3:$S$317,3,0),0)</f>
        <v>50197.06904761905</v>
      </c>
      <c r="AP235" s="400" t="str">
        <f t="shared" si="68"/>
        <v>Met</v>
      </c>
      <c r="AR235" s="366" t="str">
        <f t="shared" si="59"/>
        <v>Met</v>
      </c>
      <c r="AU235" s="400" t="str">
        <f t="shared" si="69"/>
        <v>Did not Meet</v>
      </c>
      <c r="AX235" s="400" t="str">
        <f t="shared" si="70"/>
        <v>Did not Meet</v>
      </c>
      <c r="BA235" s="400" t="str">
        <f t="shared" si="71"/>
        <v>Did not Meet</v>
      </c>
      <c r="BD235" s="400" t="str">
        <f t="shared" si="72"/>
        <v>Did not Meet</v>
      </c>
      <c r="BF235" s="366" t="str">
        <f t="shared" si="60"/>
        <v>Met</v>
      </c>
    </row>
    <row r="236" spans="1:58">
      <c r="A236" t="s">
        <v>658</v>
      </c>
      <c r="B236" t="s">
        <v>1052</v>
      </c>
      <c r="C236" s="360"/>
      <c r="D236" s="363">
        <v>0</v>
      </c>
      <c r="E236" t="s">
        <v>834</v>
      </c>
      <c r="F236" s="360"/>
      <c r="G236" s="363">
        <v>5076044.2699999996</v>
      </c>
      <c r="H236" t="s">
        <v>834</v>
      </c>
      <c r="I236" s="360"/>
      <c r="J236" s="363">
        <v>0</v>
      </c>
      <c r="K236" t="s">
        <v>834</v>
      </c>
      <c r="L236" s="360"/>
      <c r="M236" s="363">
        <v>10031.70804347826</v>
      </c>
      <c r="N236" t="s">
        <v>834</v>
      </c>
      <c r="O236" s="360"/>
      <c r="P236" s="366" t="str">
        <f t="shared" si="57"/>
        <v>Met</v>
      </c>
      <c r="Q236" s="360"/>
      <c r="R236" s="399">
        <v>0</v>
      </c>
      <c r="S236" s="400" t="str">
        <f t="shared" si="61"/>
        <v>Met</v>
      </c>
      <c r="U236" s="399">
        <v>4954076.6100000003</v>
      </c>
      <c r="V236" s="400" t="str">
        <f t="shared" si="62"/>
        <v>Met</v>
      </c>
      <c r="X236" s="399">
        <v>0</v>
      </c>
      <c r="Y236" s="400" t="str">
        <f t="shared" si="63"/>
        <v>Met</v>
      </c>
      <c r="AA236" s="399">
        <v>10723.109545454547</v>
      </c>
      <c r="AB236" s="400" t="str">
        <f t="shared" si="64"/>
        <v>Met</v>
      </c>
      <c r="AD236" s="366" t="str">
        <f t="shared" si="58"/>
        <v>Met</v>
      </c>
      <c r="AF236" s="399">
        <v>0</v>
      </c>
      <c r="AG236" s="400" t="str">
        <f t="shared" si="65"/>
        <v>Met</v>
      </c>
      <c r="AI236" s="399">
        <v>5091657.2300000004</v>
      </c>
      <c r="AJ236" s="400" t="str">
        <f t="shared" si="66"/>
        <v>Met</v>
      </c>
      <c r="AL236" s="399">
        <f>VLOOKUP(A236,$A$5:$AF$315,32,0)/IFERROR(VLOOKUP(A236,'21-22 child count'!$A$3:$S$317,19,0),0)</f>
        <v>0</v>
      </c>
      <c r="AM236" s="400" t="str">
        <f t="shared" si="67"/>
        <v>Met</v>
      </c>
      <c r="AO236" s="399">
        <f>VLOOKUP(A236,'42. SEA or LEA Worksheet'!$A$4:$AB$318,28,0)/IFERROR(VLOOKUP('42. SEA or LEA Worksheet'!A231,'21-22 child count'!$A$3:$S$317,3,0),0)</f>
        <v>48491.973619047625</v>
      </c>
      <c r="AP236" s="400" t="str">
        <f t="shared" si="68"/>
        <v>Met</v>
      </c>
      <c r="AR236" s="366" t="str">
        <f t="shared" si="59"/>
        <v>Met</v>
      </c>
      <c r="AU236" s="400" t="str">
        <f t="shared" si="69"/>
        <v>Met</v>
      </c>
      <c r="AX236" s="400" t="str">
        <f t="shared" si="70"/>
        <v>Did not Meet</v>
      </c>
      <c r="BA236" s="400" t="str">
        <f t="shared" si="71"/>
        <v>Met</v>
      </c>
      <c r="BD236" s="400" t="str">
        <f t="shared" si="72"/>
        <v>Did not Meet</v>
      </c>
      <c r="BF236" s="366" t="str">
        <f t="shared" si="60"/>
        <v>Met</v>
      </c>
    </row>
    <row r="237" spans="1:58">
      <c r="A237" t="s">
        <v>660</v>
      </c>
      <c r="B237" t="s">
        <v>1053</v>
      </c>
      <c r="C237" s="360"/>
      <c r="D237" s="363">
        <v>0</v>
      </c>
      <c r="E237" t="s">
        <v>834</v>
      </c>
      <c r="F237" s="360"/>
      <c r="G237" s="363">
        <v>390872.43</v>
      </c>
      <c r="H237" t="s">
        <v>834</v>
      </c>
      <c r="I237" s="360"/>
      <c r="J237" s="363">
        <v>0</v>
      </c>
      <c r="K237" t="s">
        <v>834</v>
      </c>
      <c r="L237" s="360"/>
      <c r="M237" s="363">
        <v>7516.7775000000001</v>
      </c>
      <c r="N237" t="s">
        <v>855</v>
      </c>
      <c r="O237" s="360"/>
      <c r="P237" s="366" t="str">
        <f t="shared" si="57"/>
        <v>Met</v>
      </c>
      <c r="Q237" s="360"/>
      <c r="R237" s="399">
        <v>0</v>
      </c>
      <c r="S237" s="400" t="str">
        <f t="shared" si="61"/>
        <v>Met</v>
      </c>
      <c r="U237" s="399">
        <v>402410.23</v>
      </c>
      <c r="V237" s="400" t="str">
        <f t="shared" si="62"/>
        <v>Met</v>
      </c>
      <c r="X237" s="399">
        <v>0</v>
      </c>
      <c r="Y237" s="400" t="str">
        <f t="shared" si="63"/>
        <v>Met</v>
      </c>
      <c r="AA237" s="399">
        <v>7738.6582692307693</v>
      </c>
      <c r="AB237" s="400" t="str">
        <f t="shared" si="64"/>
        <v>Did not Meet</v>
      </c>
      <c r="AD237" s="366" t="str">
        <f t="shared" si="58"/>
        <v>Met</v>
      </c>
      <c r="AF237" s="399">
        <v>0</v>
      </c>
      <c r="AG237" s="400" t="str">
        <f t="shared" si="65"/>
        <v>Met</v>
      </c>
      <c r="AI237" s="399">
        <v>389013.81</v>
      </c>
      <c r="AJ237" s="400" t="str">
        <f t="shared" si="66"/>
        <v>Did not Meet</v>
      </c>
      <c r="AL237" s="399">
        <f>VLOOKUP(A237,$A$5:$AF$315,32,0)/IFERROR(VLOOKUP(A237,'21-22 child count'!$A$3:$S$317,19,0),0)</f>
        <v>0</v>
      </c>
      <c r="AM237" s="400" t="str">
        <f t="shared" si="67"/>
        <v>Met</v>
      </c>
      <c r="AO237" s="399">
        <f>VLOOKUP(A237,'42. SEA or LEA Worksheet'!$A$4:$AB$318,28,0)/IFERROR(VLOOKUP('42. SEA or LEA Worksheet'!A232,'21-22 child count'!$A$3:$S$317,3,0),0)</f>
        <v>2058.2741269841272</v>
      </c>
      <c r="AP237" s="400" t="str">
        <f t="shared" si="68"/>
        <v>Did not Meet</v>
      </c>
      <c r="AR237" s="366" t="str">
        <f t="shared" si="59"/>
        <v>Met</v>
      </c>
      <c r="AU237" s="400" t="str">
        <f t="shared" si="69"/>
        <v>Met</v>
      </c>
      <c r="AX237" s="400" t="str">
        <f t="shared" si="70"/>
        <v>Did not Meet</v>
      </c>
      <c r="BA237" s="400" t="str">
        <f t="shared" si="71"/>
        <v>Met</v>
      </c>
      <c r="BD237" s="400" t="str">
        <f t="shared" si="72"/>
        <v>Did not Meet</v>
      </c>
      <c r="BF237" s="366" t="str">
        <f t="shared" si="60"/>
        <v>Met</v>
      </c>
    </row>
    <row r="238" spans="1:58">
      <c r="A238" t="s">
        <v>662</v>
      </c>
      <c r="B238" t="s">
        <v>1054</v>
      </c>
      <c r="C238" s="360"/>
      <c r="D238" s="363">
        <v>0</v>
      </c>
      <c r="E238" t="s">
        <v>834</v>
      </c>
      <c r="F238" s="360"/>
      <c r="G238" s="363">
        <v>5606594.1299999999</v>
      </c>
      <c r="H238" t="s">
        <v>834</v>
      </c>
      <c r="I238" s="360"/>
      <c r="J238" s="363">
        <v>0</v>
      </c>
      <c r="K238" t="s">
        <v>834</v>
      </c>
      <c r="L238" s="360"/>
      <c r="M238" s="363">
        <v>13380.892911694511</v>
      </c>
      <c r="N238" t="s">
        <v>834</v>
      </c>
      <c r="O238" s="360"/>
      <c r="P238" s="366" t="str">
        <f t="shared" si="57"/>
        <v>Met</v>
      </c>
      <c r="Q238" s="360"/>
      <c r="R238" s="399">
        <v>49291.83</v>
      </c>
      <c r="S238" s="400" t="str">
        <f t="shared" si="61"/>
        <v>Met</v>
      </c>
      <c r="U238" s="399">
        <v>4958984.0200000005</v>
      </c>
      <c r="V238" s="400" t="str">
        <f t="shared" si="62"/>
        <v>Met</v>
      </c>
      <c r="X238" s="399">
        <v>127.6990414507772</v>
      </c>
      <c r="Y238" s="400" t="str">
        <f t="shared" si="63"/>
        <v>Met</v>
      </c>
      <c r="AA238" s="399">
        <v>12847.108860103628</v>
      </c>
      <c r="AB238" s="400" t="str">
        <f t="shared" si="64"/>
        <v>Did not Meet</v>
      </c>
      <c r="AD238" s="366" t="str">
        <f t="shared" si="58"/>
        <v>Met</v>
      </c>
      <c r="AF238" s="399">
        <v>134295.89000000001</v>
      </c>
      <c r="AG238" s="400" t="str">
        <f t="shared" si="65"/>
        <v>Met</v>
      </c>
      <c r="AI238" s="399">
        <v>5651700.9799999995</v>
      </c>
      <c r="AJ238" s="400" t="str">
        <f t="shared" si="66"/>
        <v>Met</v>
      </c>
      <c r="AL238" s="399">
        <f>VLOOKUP(A238,$A$5:$AF$315,32,0)/IFERROR(VLOOKUP(A238,'21-22 child count'!$A$3:$S$317,19,0),0)</f>
        <v>315.99032941176472</v>
      </c>
      <c r="AM238" s="400" t="str">
        <f t="shared" si="67"/>
        <v>Met</v>
      </c>
      <c r="AO238" s="399">
        <f>VLOOKUP(A238,'42. SEA or LEA Worksheet'!$A$4:$AB$318,28,0)/IFERROR(VLOOKUP('42. SEA or LEA Worksheet'!A233,'21-22 child count'!$A$3:$S$317,3,0),0)</f>
        <v>48130.147876106195</v>
      </c>
      <c r="AP238" s="400" t="str">
        <f t="shared" si="68"/>
        <v>Did not Meet</v>
      </c>
      <c r="AR238" s="366" t="str">
        <f t="shared" si="59"/>
        <v>Met</v>
      </c>
      <c r="AU238" s="400" t="str">
        <f t="shared" si="69"/>
        <v>Did not Meet</v>
      </c>
      <c r="AX238" s="400" t="str">
        <f t="shared" si="70"/>
        <v>Did not Meet</v>
      </c>
      <c r="BA238" s="400" t="str">
        <f t="shared" si="71"/>
        <v>Did not Meet</v>
      </c>
      <c r="BD238" s="400" t="str">
        <f t="shared" si="72"/>
        <v>Did not Meet</v>
      </c>
      <c r="BF238" s="366" t="str">
        <f t="shared" si="60"/>
        <v>Met</v>
      </c>
    </row>
    <row r="239" spans="1:58">
      <c r="A239" t="s">
        <v>664</v>
      </c>
      <c r="B239" t="s">
        <v>1369</v>
      </c>
      <c r="C239" s="360"/>
      <c r="D239" s="363">
        <v>0</v>
      </c>
      <c r="E239" t="s">
        <v>834</v>
      </c>
      <c r="F239" s="360"/>
      <c r="G239" s="363">
        <v>0</v>
      </c>
      <c r="H239" t="s">
        <v>855</v>
      </c>
      <c r="I239" s="360"/>
      <c r="J239" s="363">
        <v>0</v>
      </c>
      <c r="K239" t="s">
        <v>1150</v>
      </c>
      <c r="L239" s="360"/>
      <c r="M239" s="363">
        <v>0</v>
      </c>
      <c r="N239" t="s">
        <v>1150</v>
      </c>
      <c r="O239" s="360"/>
      <c r="P239" s="366" t="str">
        <f t="shared" si="57"/>
        <v>Met</v>
      </c>
      <c r="Q239" s="360"/>
      <c r="R239" s="399">
        <v>0</v>
      </c>
      <c r="S239" s="400" t="str">
        <f t="shared" si="61"/>
        <v>Met</v>
      </c>
      <c r="U239" s="399">
        <v>2299.06</v>
      </c>
      <c r="V239" s="400" t="str">
        <f t="shared" si="62"/>
        <v>Did not Meet</v>
      </c>
      <c r="X239" s="399" t="s">
        <v>1150</v>
      </c>
      <c r="Y239" s="400" t="str">
        <f t="shared" si="63"/>
        <v>Did not Meet</v>
      </c>
      <c r="AA239" s="399" t="s">
        <v>1150</v>
      </c>
      <c r="AB239" s="400" t="str">
        <f t="shared" si="64"/>
        <v>Did not Meet</v>
      </c>
      <c r="AD239" s="366" t="str">
        <f t="shared" si="58"/>
        <v>Met</v>
      </c>
      <c r="AF239" s="399">
        <v>0</v>
      </c>
      <c r="AG239" s="400" t="str">
        <f t="shared" si="65"/>
        <v>Met</v>
      </c>
      <c r="AI239" s="399">
        <v>0</v>
      </c>
      <c r="AJ239" s="400" t="str">
        <f t="shared" si="66"/>
        <v>Did not Meet</v>
      </c>
      <c r="AL239" s="399" t="e">
        <f>VLOOKUP(A239,$A$5:$AF$315,32,0)/IFERROR(VLOOKUP(A239,'21-22 child count'!$A$3:$S$317,19,0),0)</f>
        <v>#DIV/0!</v>
      </c>
      <c r="AM239" s="400" t="e">
        <f t="shared" si="67"/>
        <v>#DIV/0!</v>
      </c>
      <c r="AO239" s="399">
        <f>VLOOKUP(A239,'42. SEA or LEA Worksheet'!$A$4:$AB$318,28,0)/IFERROR(VLOOKUP('42. SEA or LEA Worksheet'!A234,'21-22 child count'!$A$3:$S$317,3,0),0)</f>
        <v>0</v>
      </c>
      <c r="AP239" s="400" t="str">
        <f t="shared" si="68"/>
        <v>Did not Meet</v>
      </c>
      <c r="AR239" s="366" t="s">
        <v>1370</v>
      </c>
      <c r="AU239" s="400" t="str">
        <f t="shared" si="69"/>
        <v>Met</v>
      </c>
      <c r="AX239" s="400" t="str">
        <f t="shared" si="70"/>
        <v>Did not Meet</v>
      </c>
      <c r="BA239" s="400" t="e">
        <f t="shared" si="71"/>
        <v>#DIV/0!</v>
      </c>
      <c r="BD239" s="400" t="str">
        <f t="shared" si="72"/>
        <v>Did not Meet</v>
      </c>
      <c r="BF239" s="366" t="e">
        <f t="shared" si="60"/>
        <v>#DIV/0!</v>
      </c>
    </row>
    <row r="240" spans="1:58">
      <c r="A240" t="s">
        <v>208</v>
      </c>
      <c r="B240" t="s">
        <v>844</v>
      </c>
      <c r="C240" s="360"/>
      <c r="D240" s="363">
        <v>1610450.13</v>
      </c>
      <c r="E240" t="s">
        <v>855</v>
      </c>
      <c r="F240" s="360"/>
      <c r="G240" s="363">
        <v>22354950.209999997</v>
      </c>
      <c r="H240" t="s">
        <v>834</v>
      </c>
      <c r="I240" s="360"/>
      <c r="J240" s="363">
        <v>850.29045934530086</v>
      </c>
      <c r="K240" t="s">
        <v>855</v>
      </c>
      <c r="L240" s="360"/>
      <c r="M240" s="363">
        <v>11803.036013727558</v>
      </c>
      <c r="N240" t="s">
        <v>834</v>
      </c>
      <c r="O240" s="360"/>
      <c r="P240" s="366" t="str">
        <f t="shared" si="57"/>
        <v>Met</v>
      </c>
      <c r="Q240" s="360"/>
      <c r="R240" s="399">
        <v>3221053.31</v>
      </c>
      <c r="S240" s="400" t="str">
        <f t="shared" si="61"/>
        <v>Did not Meet</v>
      </c>
      <c r="U240" s="399">
        <v>21766008.099999998</v>
      </c>
      <c r="V240" s="400" t="str">
        <f t="shared" si="62"/>
        <v>Met</v>
      </c>
      <c r="X240" s="399">
        <v>1854.3772654001152</v>
      </c>
      <c r="Y240" s="400" t="str">
        <f t="shared" si="63"/>
        <v>Did not Meet</v>
      </c>
      <c r="AA240" s="399">
        <v>12530.804893494529</v>
      </c>
      <c r="AB240" s="400" t="str">
        <f t="shared" si="64"/>
        <v>Met</v>
      </c>
      <c r="AD240" s="366" t="str">
        <f t="shared" si="58"/>
        <v>Met</v>
      </c>
      <c r="AF240" s="399">
        <v>3692114.25</v>
      </c>
      <c r="AG240" s="400" t="str">
        <f t="shared" si="65"/>
        <v>Did not Meet</v>
      </c>
      <c r="AI240" s="399">
        <v>26132891.649999999</v>
      </c>
      <c r="AJ240" s="400" t="str">
        <f t="shared" si="66"/>
        <v>Met</v>
      </c>
      <c r="AL240" s="399">
        <f>VLOOKUP(A240,$A$5:$AF$315,32,0)/IFERROR(VLOOKUP(A240,'21-22 child count'!$A$3:$S$317,19,0),0)</f>
        <v>2245.8115875912408</v>
      </c>
      <c r="AM240" s="400" t="str">
        <f t="shared" si="67"/>
        <v>Did not Meet</v>
      </c>
      <c r="AO240" s="399">
        <f>VLOOKUP(A240,'42. SEA or LEA Worksheet'!$A$4:$AB$318,28,0)/IFERROR(VLOOKUP('42. SEA or LEA Worksheet'!A12,'21-22 child count'!$A$3:$S$317,3,0),0)</f>
        <v>198999.32517857145</v>
      </c>
      <c r="AP240" s="400" t="str">
        <f t="shared" si="68"/>
        <v>Met</v>
      </c>
      <c r="AR240" s="366" t="str">
        <f t="shared" si="59"/>
        <v>Met</v>
      </c>
      <c r="AU240" s="400" t="str">
        <f t="shared" si="69"/>
        <v>Did not Meet</v>
      </c>
      <c r="AX240" s="400" t="str">
        <f t="shared" si="70"/>
        <v>Did not Meet</v>
      </c>
      <c r="BA240" s="400" t="str">
        <f t="shared" si="71"/>
        <v>Did not Meet</v>
      </c>
      <c r="BD240" s="400" t="str">
        <f t="shared" si="72"/>
        <v>Did not Meet</v>
      </c>
      <c r="BF240" s="366" t="str">
        <f t="shared" si="60"/>
        <v>Met</v>
      </c>
    </row>
    <row r="241" spans="1:58">
      <c r="A241" t="s">
        <v>793</v>
      </c>
      <c r="B241" t="s">
        <v>1115</v>
      </c>
      <c r="C241" s="360"/>
      <c r="D241" s="363">
        <v>81435.41</v>
      </c>
      <c r="E241" t="s">
        <v>834</v>
      </c>
      <c r="F241" s="360"/>
      <c r="G241" s="363">
        <v>6840385.9699999997</v>
      </c>
      <c r="H241" t="s">
        <v>834</v>
      </c>
      <c r="I241" s="360"/>
      <c r="J241" s="363">
        <v>141.6268</v>
      </c>
      <c r="K241" t="s">
        <v>855</v>
      </c>
      <c r="L241" s="360"/>
      <c r="M241" s="363">
        <v>11896.323426086956</v>
      </c>
      <c r="N241" t="s">
        <v>855</v>
      </c>
      <c r="O241" s="360"/>
      <c r="P241" s="366" t="str">
        <f t="shared" si="57"/>
        <v>Met</v>
      </c>
      <c r="Q241" s="360"/>
      <c r="R241" s="399">
        <v>1041076.67</v>
      </c>
      <c r="S241" s="400" t="str">
        <f t="shared" si="61"/>
        <v>Met</v>
      </c>
      <c r="U241" s="399">
        <v>7237572.0099999998</v>
      </c>
      <c r="V241" s="400" t="str">
        <f t="shared" si="62"/>
        <v>Met</v>
      </c>
      <c r="X241" s="399">
        <v>1882.5979566003618</v>
      </c>
      <c r="Y241" s="400" t="str">
        <f t="shared" si="63"/>
        <v>Did not Meet</v>
      </c>
      <c r="AA241" s="399">
        <v>13087.833652802892</v>
      </c>
      <c r="AB241" s="400" t="str">
        <f t="shared" si="64"/>
        <v>Did not Meet</v>
      </c>
      <c r="AD241" s="366" t="str">
        <f t="shared" si="58"/>
        <v>Met</v>
      </c>
      <c r="AF241" s="399">
        <v>1017509.53</v>
      </c>
      <c r="AG241" s="400" t="str">
        <f t="shared" si="65"/>
        <v>Did not Meet</v>
      </c>
      <c r="AI241" s="399">
        <v>8811531.5099999998</v>
      </c>
      <c r="AJ241" s="400" t="str">
        <f t="shared" si="66"/>
        <v>Met</v>
      </c>
      <c r="AL241" s="399">
        <f>VLOOKUP(A241,$A$5:$AF$315,32,0)/IFERROR(VLOOKUP(A241,'21-22 child count'!$A$3:$S$317,19,0),0)</f>
        <v>1690.2151661129569</v>
      </c>
      <c r="AM241" s="400" t="str">
        <f t="shared" si="67"/>
        <v>Did not Meet</v>
      </c>
      <c r="AO241" s="399">
        <f>VLOOKUP(A241,'42. SEA or LEA Worksheet'!$A$4:$AB$318,28,0)/IFERROR(VLOOKUP('42. SEA or LEA Worksheet'!A298,'21-22 child count'!$A$3:$S$317,3,0),0)</f>
        <v>77074.477623762374</v>
      </c>
      <c r="AP241" s="400" t="str">
        <f t="shared" si="68"/>
        <v>Did not Meet</v>
      </c>
      <c r="AR241" s="366" t="str">
        <f t="shared" si="59"/>
        <v>Met</v>
      </c>
      <c r="AU241" s="400" t="str">
        <f t="shared" si="69"/>
        <v>Did not Meet</v>
      </c>
      <c r="AX241" s="400" t="str">
        <f t="shared" si="70"/>
        <v>Did not Meet</v>
      </c>
      <c r="BA241" s="400" t="str">
        <f t="shared" si="71"/>
        <v>Did not Meet</v>
      </c>
      <c r="BD241" s="400" t="str">
        <f t="shared" si="72"/>
        <v>Did not Meet</v>
      </c>
      <c r="BF241" s="366" t="str">
        <f t="shared" si="60"/>
        <v>Met</v>
      </c>
    </row>
    <row r="242" spans="1:58">
      <c r="A242" t="s">
        <v>670</v>
      </c>
      <c r="B242" t="s">
        <v>1057</v>
      </c>
      <c r="C242" s="360"/>
      <c r="D242" s="363">
        <v>0</v>
      </c>
      <c r="E242" t="s">
        <v>834</v>
      </c>
      <c r="F242" s="360"/>
      <c r="G242" s="363">
        <v>117778.32</v>
      </c>
      <c r="H242" t="s">
        <v>879</v>
      </c>
      <c r="I242" s="360"/>
      <c r="J242" s="363">
        <v>0</v>
      </c>
      <c r="K242" t="s">
        <v>834</v>
      </c>
      <c r="L242" s="360"/>
      <c r="M242" s="363">
        <v>9059.8707692307689</v>
      </c>
      <c r="N242" t="s">
        <v>855</v>
      </c>
      <c r="O242" s="360"/>
      <c r="P242" s="366" t="str">
        <f t="shared" si="57"/>
        <v>Met</v>
      </c>
      <c r="Q242" s="360"/>
      <c r="R242" s="399">
        <v>0</v>
      </c>
      <c r="S242" s="400" t="str">
        <f t="shared" si="61"/>
        <v>Met</v>
      </c>
      <c r="U242" s="399">
        <v>78454.92</v>
      </c>
      <c r="V242" s="400" t="str">
        <f t="shared" si="62"/>
        <v>Did not Meet</v>
      </c>
      <c r="X242" s="399">
        <v>0</v>
      </c>
      <c r="Y242" s="400" t="str">
        <f t="shared" si="63"/>
        <v>Met</v>
      </c>
      <c r="AA242" s="399">
        <v>8717.2133333333331</v>
      </c>
      <c r="AB242" s="400" t="str">
        <f t="shared" si="64"/>
        <v>Did not Meet</v>
      </c>
      <c r="AD242" s="366" t="str">
        <f t="shared" si="58"/>
        <v>Met</v>
      </c>
      <c r="AF242" s="399">
        <v>0</v>
      </c>
      <c r="AG242" s="400" t="str">
        <f t="shared" si="65"/>
        <v>Met</v>
      </c>
      <c r="AI242" s="399">
        <v>90508.21</v>
      </c>
      <c r="AJ242" s="400" t="str">
        <f t="shared" si="66"/>
        <v>Did not Meet</v>
      </c>
      <c r="AL242" s="399">
        <f>VLOOKUP(A242,$A$5:$AF$315,32,0)/IFERROR(VLOOKUP(A242,'21-22 child count'!$A$3:$S$317,19,0),0)</f>
        <v>0</v>
      </c>
      <c r="AM242" s="400" t="str">
        <f t="shared" si="67"/>
        <v>Met</v>
      </c>
      <c r="AO242" s="399">
        <f>VLOOKUP(A242,'42. SEA or LEA Worksheet'!$A$4:$AB$318,28,0)/IFERROR(VLOOKUP('42. SEA or LEA Worksheet'!A237,'21-22 child count'!$A$3:$S$317,3,0),0)</f>
        <v>478.87941798941802</v>
      </c>
      <c r="AP242" s="400" t="str">
        <f t="shared" si="68"/>
        <v>Did not Meet</v>
      </c>
      <c r="AR242" s="366" t="str">
        <f t="shared" si="59"/>
        <v>Met</v>
      </c>
      <c r="AU242" s="400" t="str">
        <f t="shared" si="69"/>
        <v>Met</v>
      </c>
      <c r="AX242" s="400" t="str">
        <f t="shared" si="70"/>
        <v>Did not Meet</v>
      </c>
      <c r="BA242" s="400" t="str">
        <f t="shared" si="71"/>
        <v>Met</v>
      </c>
      <c r="BD242" s="400" t="str">
        <f t="shared" si="72"/>
        <v>Did not Meet</v>
      </c>
      <c r="BF242" s="366" t="str">
        <f t="shared" si="60"/>
        <v>Met</v>
      </c>
    </row>
    <row r="243" spans="1:58">
      <c r="A243" t="s">
        <v>672</v>
      </c>
      <c r="B243" t="s">
        <v>1058</v>
      </c>
      <c r="C243" s="360"/>
      <c r="D243" s="363">
        <v>0</v>
      </c>
      <c r="E243" t="s">
        <v>834</v>
      </c>
      <c r="F243" s="360"/>
      <c r="G243" s="363">
        <v>239720.58</v>
      </c>
      <c r="H243" t="s">
        <v>834</v>
      </c>
      <c r="I243" s="360"/>
      <c r="J243" s="363">
        <v>0</v>
      </c>
      <c r="K243" t="s">
        <v>834</v>
      </c>
      <c r="L243" s="360"/>
      <c r="M243" s="363">
        <v>10896.39</v>
      </c>
      <c r="N243" t="s">
        <v>855</v>
      </c>
      <c r="O243" s="360"/>
      <c r="P243" s="366" t="str">
        <f t="shared" si="57"/>
        <v>Met</v>
      </c>
      <c r="Q243" s="360"/>
      <c r="R243" s="399">
        <v>0</v>
      </c>
      <c r="S243" s="400" t="str">
        <f t="shared" si="61"/>
        <v>Met</v>
      </c>
      <c r="U243" s="399">
        <v>228084.95</v>
      </c>
      <c r="V243" s="400" t="str">
        <f t="shared" si="62"/>
        <v>Met</v>
      </c>
      <c r="X243" s="399">
        <v>0</v>
      </c>
      <c r="Y243" s="400" t="str">
        <f t="shared" si="63"/>
        <v>Met</v>
      </c>
      <c r="AA243" s="399">
        <v>14255.309375000001</v>
      </c>
      <c r="AB243" s="400" t="str">
        <f t="shared" si="64"/>
        <v>Did not Meet</v>
      </c>
      <c r="AD243" s="366" t="str">
        <f t="shared" si="58"/>
        <v>Met</v>
      </c>
      <c r="AF243" s="399">
        <v>0</v>
      </c>
      <c r="AG243" s="400" t="str">
        <f t="shared" si="65"/>
        <v>Met</v>
      </c>
      <c r="AI243" s="399">
        <v>204724.08</v>
      </c>
      <c r="AJ243" s="400" t="str">
        <f t="shared" si="66"/>
        <v>Did not Meet</v>
      </c>
      <c r="AL243" s="399">
        <f>VLOOKUP(A243,$A$5:$AF$315,32,0)/IFERROR(VLOOKUP(A243,'21-22 child count'!$A$3:$S$317,19,0),0)</f>
        <v>0</v>
      </c>
      <c r="AM243" s="400" t="str">
        <f t="shared" si="67"/>
        <v>Met</v>
      </c>
      <c r="AO243" s="399">
        <f>VLOOKUP(A243,'42. SEA or LEA Worksheet'!$A$4:$AB$318,28,0)/IFERROR(VLOOKUP('42. SEA or LEA Worksheet'!A238,'21-22 child count'!$A$3:$S$317,3,0),0)</f>
        <v>1949.7531428571428</v>
      </c>
      <c r="AP243" s="400" t="str">
        <f t="shared" si="68"/>
        <v>Did not Meet</v>
      </c>
      <c r="AR243" s="366" t="str">
        <f t="shared" si="59"/>
        <v>Met</v>
      </c>
      <c r="AU243" s="400" t="str">
        <f t="shared" si="69"/>
        <v>Met</v>
      </c>
      <c r="AX243" s="400" t="str">
        <f t="shared" si="70"/>
        <v>Did not Meet</v>
      </c>
      <c r="BA243" s="400" t="str">
        <f t="shared" si="71"/>
        <v>Met</v>
      </c>
      <c r="BD243" s="400" t="str">
        <f t="shared" si="72"/>
        <v>Did not Meet</v>
      </c>
      <c r="BF243" s="366" t="str">
        <f t="shared" si="60"/>
        <v>Met</v>
      </c>
    </row>
    <row r="244" spans="1:58">
      <c r="A244" t="s">
        <v>591</v>
      </c>
      <c r="B244" t="s">
        <v>1023</v>
      </c>
      <c r="C244" s="360"/>
      <c r="D244" s="363">
        <v>1297782.92</v>
      </c>
      <c r="E244" t="s">
        <v>834</v>
      </c>
      <c r="F244" s="360"/>
      <c r="G244" s="363">
        <v>7431868.4299999997</v>
      </c>
      <c r="H244" t="s">
        <v>834</v>
      </c>
      <c r="I244" s="360"/>
      <c r="J244" s="363">
        <v>2241.4212780656303</v>
      </c>
      <c r="K244" t="s">
        <v>834</v>
      </c>
      <c r="L244" s="360"/>
      <c r="M244" s="363">
        <v>12835.696770293609</v>
      </c>
      <c r="N244" t="s">
        <v>834</v>
      </c>
      <c r="O244" s="360"/>
      <c r="P244" s="366" t="str">
        <f t="shared" si="57"/>
        <v>Met</v>
      </c>
      <c r="Q244" s="360"/>
      <c r="R244" s="399">
        <v>1072178.27</v>
      </c>
      <c r="S244" s="400" t="str">
        <f t="shared" si="61"/>
        <v>Did not Meet</v>
      </c>
      <c r="U244" s="399">
        <v>6918030.0999999996</v>
      </c>
      <c r="V244" s="400" t="str">
        <f t="shared" si="62"/>
        <v>Met</v>
      </c>
      <c r="X244" s="399">
        <v>1907.790516014235</v>
      </c>
      <c r="Y244" s="400" t="str">
        <f t="shared" si="63"/>
        <v>Did not Meet</v>
      </c>
      <c r="AA244" s="399">
        <v>12309.662099644127</v>
      </c>
      <c r="AB244" s="400" t="str">
        <f t="shared" si="64"/>
        <v>Did not Meet</v>
      </c>
      <c r="AD244" s="366" t="str">
        <f t="shared" si="58"/>
        <v>Met</v>
      </c>
      <c r="AF244" s="399">
        <v>1622809.4</v>
      </c>
      <c r="AG244" s="400" t="str">
        <f t="shared" si="65"/>
        <v>Did not Meet</v>
      </c>
      <c r="AI244" s="399">
        <v>9179991.4299999997</v>
      </c>
      <c r="AJ244" s="400" t="str">
        <f t="shared" si="66"/>
        <v>Met</v>
      </c>
      <c r="AL244" s="399">
        <f>VLOOKUP(A244,$A$5:$AF$315,32,0)/IFERROR(VLOOKUP(A244,'21-22 child count'!$A$3:$S$317,19,0),0)</f>
        <v>2872.2290265486722</v>
      </c>
      <c r="AM244" s="400" t="str">
        <f t="shared" si="67"/>
        <v>Did not Meet</v>
      </c>
      <c r="AO244" s="399">
        <f>VLOOKUP(A244,'42. SEA or LEA Worksheet'!$A$4:$AB$318,28,0)/IFERROR(VLOOKUP('42. SEA or LEA Worksheet'!A202,'21-22 child count'!$A$3:$S$317,3,0),0)</f>
        <v>65806.634690265491</v>
      </c>
      <c r="AP244" s="400" t="str">
        <f t="shared" si="68"/>
        <v>Did not Meet</v>
      </c>
      <c r="AR244" s="366" t="str">
        <f t="shared" si="59"/>
        <v>Met</v>
      </c>
      <c r="AU244" s="400" t="str">
        <f t="shared" si="69"/>
        <v>Did not Meet</v>
      </c>
      <c r="AX244" s="400" t="str">
        <f t="shared" si="70"/>
        <v>Did not Meet</v>
      </c>
      <c r="BA244" s="400" t="str">
        <f t="shared" si="71"/>
        <v>Did not Meet</v>
      </c>
      <c r="BD244" s="400" t="str">
        <f t="shared" si="72"/>
        <v>Did not Meet</v>
      </c>
      <c r="BF244" s="366" t="str">
        <f t="shared" si="60"/>
        <v>Met</v>
      </c>
    </row>
    <row r="245" spans="1:58">
      <c r="A245" t="s">
        <v>689</v>
      </c>
      <c r="B245" t="s">
        <v>1066</v>
      </c>
      <c r="C245" s="360"/>
      <c r="D245" s="363">
        <v>2116191.62</v>
      </c>
      <c r="E245" t="s">
        <v>855</v>
      </c>
      <c r="F245" s="360"/>
      <c r="G245" s="363">
        <v>52815693.409999996</v>
      </c>
      <c r="H245" t="s">
        <v>834</v>
      </c>
      <c r="I245" s="360"/>
      <c r="J245" s="363">
        <v>440.13968801996674</v>
      </c>
      <c r="K245" t="s">
        <v>855</v>
      </c>
      <c r="L245" s="360"/>
      <c r="M245" s="363">
        <v>10984.961191763727</v>
      </c>
      <c r="N245" t="s">
        <v>855</v>
      </c>
      <c r="O245" s="360"/>
      <c r="P245" s="366" t="str">
        <f t="shared" si="57"/>
        <v>Met</v>
      </c>
      <c r="Q245" s="360"/>
      <c r="R245" s="399">
        <v>8951194.8499999996</v>
      </c>
      <c r="S245" s="400" t="str">
        <f t="shared" si="61"/>
        <v>Did not Meet</v>
      </c>
      <c r="U245" s="399">
        <v>57073292.440000005</v>
      </c>
      <c r="V245" s="400" t="str">
        <f t="shared" si="62"/>
        <v>Met</v>
      </c>
      <c r="X245" s="399">
        <v>1922.5074849656357</v>
      </c>
      <c r="Y245" s="400" t="str">
        <f t="shared" si="63"/>
        <v>Did not Meet</v>
      </c>
      <c r="AA245" s="399">
        <v>12258.009544673541</v>
      </c>
      <c r="AB245" s="400" t="str">
        <f t="shared" si="64"/>
        <v>Did not Meet</v>
      </c>
      <c r="AD245" s="366" t="str">
        <f t="shared" si="58"/>
        <v>Met</v>
      </c>
      <c r="AF245" s="399">
        <v>8969202.1899999995</v>
      </c>
      <c r="AG245" s="400" t="str">
        <f t="shared" si="65"/>
        <v>Did not Meet</v>
      </c>
      <c r="AI245" s="399">
        <v>67002844.210000001</v>
      </c>
      <c r="AJ245" s="400" t="str">
        <f t="shared" si="66"/>
        <v>Met</v>
      </c>
      <c r="AL245" s="399">
        <f>VLOOKUP(A245,$A$5:$AF$315,32,0)/IFERROR(VLOOKUP(A245,'21-22 child count'!$A$3:$S$317,19,0),0)</f>
        <v>1899.0476794410331</v>
      </c>
      <c r="AM245" s="400" t="str">
        <f t="shared" si="67"/>
        <v>Did not Meet</v>
      </c>
      <c r="AO245" s="399">
        <f>VLOOKUP(A245,'42. SEA or LEA Worksheet'!$A$4:$AB$318,28,0)/IFERROR(VLOOKUP('42. SEA or LEA Worksheet'!A247,'21-22 child count'!$A$3:$S$317,3,0),0)</f>
        <v>473411.40785123961</v>
      </c>
      <c r="AP245" s="400" t="str">
        <f t="shared" si="68"/>
        <v>Did not Meet</v>
      </c>
      <c r="AR245" s="366" t="str">
        <f t="shared" si="59"/>
        <v>Met</v>
      </c>
      <c r="AU245" s="400" t="str">
        <f t="shared" si="69"/>
        <v>Did not Meet</v>
      </c>
      <c r="AX245" s="400" t="str">
        <f t="shared" si="70"/>
        <v>Did not Meet</v>
      </c>
      <c r="BA245" s="400" t="str">
        <f t="shared" si="71"/>
        <v>Did not Meet</v>
      </c>
      <c r="BD245" s="400" t="str">
        <f t="shared" si="72"/>
        <v>Did not Meet</v>
      </c>
      <c r="BF245" s="366" t="str">
        <f t="shared" si="60"/>
        <v>Met</v>
      </c>
    </row>
    <row r="246" spans="1:58">
      <c r="A246" t="s">
        <v>229</v>
      </c>
      <c r="B246" t="s">
        <v>853</v>
      </c>
      <c r="C246" s="360"/>
      <c r="D246" s="363">
        <v>287551.35999999999</v>
      </c>
      <c r="E246" t="s">
        <v>834</v>
      </c>
      <c r="F246" s="360"/>
      <c r="G246" s="363">
        <v>1384123.2399999998</v>
      </c>
      <c r="H246" t="s">
        <v>834</v>
      </c>
      <c r="I246" s="360"/>
      <c r="J246" s="363">
        <v>2544.7023008849555</v>
      </c>
      <c r="K246" t="s">
        <v>834</v>
      </c>
      <c r="L246" s="360"/>
      <c r="M246" s="363">
        <v>12248.878230088494</v>
      </c>
      <c r="N246" t="s">
        <v>855</v>
      </c>
      <c r="O246" s="360"/>
      <c r="P246" s="366" t="str">
        <f t="shared" si="57"/>
        <v>Met</v>
      </c>
      <c r="Q246" s="360"/>
      <c r="R246" s="399">
        <v>205549.8</v>
      </c>
      <c r="S246" s="400" t="str">
        <f t="shared" si="61"/>
        <v>Did not Meet</v>
      </c>
      <c r="U246" s="399">
        <v>1272232.6600000001</v>
      </c>
      <c r="V246" s="400" t="str">
        <f t="shared" si="62"/>
        <v>Met</v>
      </c>
      <c r="X246" s="399">
        <v>1995.6291262135921</v>
      </c>
      <c r="Y246" s="400" t="str">
        <f t="shared" si="63"/>
        <v>Did not Meet</v>
      </c>
      <c r="AA246" s="399">
        <v>12351.773398058254</v>
      </c>
      <c r="AB246" s="400" t="str">
        <f t="shared" si="64"/>
        <v>Did not Meet</v>
      </c>
      <c r="AD246" s="366" t="str">
        <f t="shared" si="58"/>
        <v>Met</v>
      </c>
      <c r="AF246" s="399">
        <v>178040.32000000001</v>
      </c>
      <c r="AG246" s="400" t="str">
        <f t="shared" si="65"/>
        <v>Did not Meet</v>
      </c>
      <c r="AI246" s="399">
        <v>1460952.72</v>
      </c>
      <c r="AJ246" s="400" t="str">
        <f t="shared" si="66"/>
        <v>Met</v>
      </c>
      <c r="AL246" s="399">
        <f>VLOOKUP(A246,$A$5:$AF$315,32,0)/IFERROR(VLOOKUP(A246,'21-22 child count'!$A$3:$S$317,19,0),0)</f>
        <v>1618.5483636363638</v>
      </c>
      <c r="AM246" s="400" t="str">
        <f t="shared" si="67"/>
        <v>Did not Meet</v>
      </c>
      <c r="AO246" s="399">
        <f>VLOOKUP(A246,'42. SEA or LEA Worksheet'!$A$4:$AB$318,28,0)/IFERROR(VLOOKUP('42. SEA or LEA Worksheet'!A21,'21-22 child count'!$A$3:$S$317,3,0),0)</f>
        <v>7502.4116959064331</v>
      </c>
      <c r="AP246" s="400" t="str">
        <f t="shared" si="68"/>
        <v>Did not Meet</v>
      </c>
      <c r="AR246" s="366" t="str">
        <f t="shared" si="59"/>
        <v>Met</v>
      </c>
      <c r="AU246" s="400" t="str">
        <f t="shared" si="69"/>
        <v>Did not Meet</v>
      </c>
      <c r="AX246" s="400" t="str">
        <f t="shared" si="70"/>
        <v>Did not Meet</v>
      </c>
      <c r="BA246" s="400" t="str">
        <f t="shared" si="71"/>
        <v>Did not Meet</v>
      </c>
      <c r="BD246" s="400" t="str">
        <f t="shared" si="72"/>
        <v>Did not Meet</v>
      </c>
      <c r="BF246" s="366" t="str">
        <f t="shared" si="60"/>
        <v>Met</v>
      </c>
    </row>
    <row r="247" spans="1:58">
      <c r="A247" t="s">
        <v>393</v>
      </c>
      <c r="B247" t="s">
        <v>931</v>
      </c>
      <c r="C247" s="360"/>
      <c r="D247" s="363">
        <v>329156.21999999997</v>
      </c>
      <c r="E247" t="s">
        <v>855</v>
      </c>
      <c r="F247" s="360"/>
      <c r="G247" s="363">
        <v>2589410.2999999998</v>
      </c>
      <c r="H247" t="s">
        <v>834</v>
      </c>
      <c r="I247" s="360"/>
      <c r="J247" s="363">
        <v>1849.1922471910111</v>
      </c>
      <c r="K247" t="s">
        <v>855</v>
      </c>
      <c r="L247" s="360"/>
      <c r="M247" s="363">
        <v>14547.248876404494</v>
      </c>
      <c r="N247" t="s">
        <v>855</v>
      </c>
      <c r="O247" s="360"/>
      <c r="P247" s="366" t="str">
        <f t="shared" si="57"/>
        <v>Met</v>
      </c>
      <c r="Q247" s="360"/>
      <c r="R247" s="399">
        <v>328751.65999999997</v>
      </c>
      <c r="S247" s="400" t="str">
        <f t="shared" si="61"/>
        <v>Did not Meet</v>
      </c>
      <c r="U247" s="399">
        <v>2466422.89</v>
      </c>
      <c r="V247" s="400" t="str">
        <f t="shared" si="62"/>
        <v>Met</v>
      </c>
      <c r="X247" s="399">
        <v>2041.9357763975154</v>
      </c>
      <c r="Y247" s="400" t="str">
        <f t="shared" si="63"/>
        <v>Did not Meet</v>
      </c>
      <c r="AA247" s="399">
        <v>15319.396832298138</v>
      </c>
      <c r="AB247" s="400" t="str">
        <f t="shared" si="64"/>
        <v>Did not Meet</v>
      </c>
      <c r="AD247" s="366" t="str">
        <f t="shared" si="58"/>
        <v>Met</v>
      </c>
      <c r="AF247" s="399">
        <v>558569.05000000005</v>
      </c>
      <c r="AG247" s="400" t="str">
        <f t="shared" si="65"/>
        <v>Did not Meet</v>
      </c>
      <c r="AI247" s="399">
        <v>3354878.4400000004</v>
      </c>
      <c r="AJ247" s="400" t="str">
        <f t="shared" si="66"/>
        <v>Met</v>
      </c>
      <c r="AL247" s="399">
        <f>VLOOKUP(A247,$A$5:$AF$315,32,0)/IFERROR(VLOOKUP(A247,'21-22 child count'!$A$3:$S$317,19,0),0)</f>
        <v>2971.1119680851066</v>
      </c>
      <c r="AM247" s="400" t="str">
        <f t="shared" si="67"/>
        <v>Did not Meet</v>
      </c>
      <c r="AO247" s="399">
        <f>VLOOKUP(A247,'42. SEA or LEA Worksheet'!$A$4:$AB$318,28,0)/IFERROR(VLOOKUP('42. SEA or LEA Worksheet'!A102,'21-22 child count'!$A$3:$S$317,3,0),0)</f>
        <v>24808.153571428575</v>
      </c>
      <c r="AP247" s="400" t="str">
        <f t="shared" si="68"/>
        <v>Did not Meet</v>
      </c>
      <c r="AR247" s="366" t="str">
        <f t="shared" si="59"/>
        <v>Met</v>
      </c>
      <c r="AU247" s="400" t="str">
        <f t="shared" si="69"/>
        <v>Did not Meet</v>
      </c>
      <c r="AX247" s="400" t="str">
        <f t="shared" si="70"/>
        <v>Did not Meet</v>
      </c>
      <c r="BA247" s="400" t="str">
        <f t="shared" si="71"/>
        <v>Did not Meet</v>
      </c>
      <c r="BD247" s="400" t="str">
        <f t="shared" si="72"/>
        <v>Did not Meet</v>
      </c>
      <c r="BF247" s="366" t="str">
        <f t="shared" si="60"/>
        <v>Met</v>
      </c>
    </row>
    <row r="248" spans="1:58">
      <c r="A248" t="s">
        <v>263</v>
      </c>
      <c r="B248" t="s">
        <v>868</v>
      </c>
      <c r="C248" s="360"/>
      <c r="D248" s="363">
        <v>2193290.44</v>
      </c>
      <c r="E248" t="s">
        <v>855</v>
      </c>
      <c r="F248" s="360"/>
      <c r="G248" s="363">
        <v>10723425.979999999</v>
      </c>
      <c r="H248" t="s">
        <v>834</v>
      </c>
      <c r="I248" s="360"/>
      <c r="J248" s="363">
        <v>2423.5253480662982</v>
      </c>
      <c r="K248" t="s">
        <v>855</v>
      </c>
      <c r="L248" s="360"/>
      <c r="M248" s="363">
        <v>11849.089480662982</v>
      </c>
      <c r="N248" t="s">
        <v>855</v>
      </c>
      <c r="O248" s="360"/>
      <c r="P248" s="366" t="str">
        <f t="shared" ref="P248:P303" si="73">IF(AND(E248="Did not Meet",H248="Did not Meet",K248="Did not Meet", N248="Did not Meet"),"Did not Meet","Met")</f>
        <v>Met</v>
      </c>
      <c r="Q248" s="360"/>
      <c r="R248" s="399">
        <v>1719268.2</v>
      </c>
      <c r="S248" s="400" t="str">
        <f t="shared" si="61"/>
        <v>Did not Meet</v>
      </c>
      <c r="U248" s="399">
        <v>10022528.949999999</v>
      </c>
      <c r="V248" s="400" t="str">
        <f t="shared" si="62"/>
        <v>Met</v>
      </c>
      <c r="X248" s="399">
        <v>2051.6326968973744</v>
      </c>
      <c r="Y248" s="400" t="str">
        <f t="shared" si="63"/>
        <v>Did not Meet</v>
      </c>
      <c r="AA248" s="399">
        <v>11960.058412887827</v>
      </c>
      <c r="AB248" s="400" t="str">
        <f t="shared" si="64"/>
        <v>Did not Meet</v>
      </c>
      <c r="AD248" s="366" t="str">
        <f t="shared" si="58"/>
        <v>Met</v>
      </c>
      <c r="AF248" s="399">
        <v>2129292.94</v>
      </c>
      <c r="AG248" s="400" t="str">
        <f t="shared" si="65"/>
        <v>Did not Meet</v>
      </c>
      <c r="AI248" s="399">
        <v>12749508.209999999</v>
      </c>
      <c r="AJ248" s="400" t="str">
        <f t="shared" si="66"/>
        <v>Met</v>
      </c>
      <c r="AL248" s="399">
        <f>VLOOKUP(A248,$A$5:$AF$315,32,0)/IFERROR(VLOOKUP(A248,'21-22 child count'!$A$3:$S$317,19,0),0)</f>
        <v>2444.6532032146956</v>
      </c>
      <c r="AM248" s="400" t="str">
        <f t="shared" si="67"/>
        <v>Did not Meet</v>
      </c>
      <c r="AO248" s="399">
        <f>VLOOKUP(A248,'42. SEA or LEA Worksheet'!$A$4:$AB$318,28,0)/IFERROR(VLOOKUP('42. SEA or LEA Worksheet'!A37,'21-22 child count'!$A$3:$S$317,3,0),0)</f>
        <v>104592.04910891088</v>
      </c>
      <c r="AP248" s="400" t="str">
        <f t="shared" si="68"/>
        <v>Did not Meet</v>
      </c>
      <c r="AR248" s="366" t="str">
        <f t="shared" si="59"/>
        <v>Met</v>
      </c>
      <c r="AU248" s="400" t="str">
        <f t="shared" si="69"/>
        <v>Did not Meet</v>
      </c>
      <c r="AX248" s="400" t="str">
        <f t="shared" si="70"/>
        <v>Did not Meet</v>
      </c>
      <c r="BA248" s="400" t="str">
        <f t="shared" si="71"/>
        <v>Did not Meet</v>
      </c>
      <c r="BD248" s="400" t="str">
        <f t="shared" si="72"/>
        <v>Did not Meet</v>
      </c>
      <c r="BF248" s="366" t="str">
        <f t="shared" si="60"/>
        <v>Met</v>
      </c>
    </row>
    <row r="249" spans="1:58">
      <c r="A249" t="s">
        <v>683</v>
      </c>
      <c r="B249" t="s">
        <v>1063</v>
      </c>
      <c r="C249" s="360"/>
      <c r="D249" s="363">
        <v>2548471.71</v>
      </c>
      <c r="E249" t="s">
        <v>834</v>
      </c>
      <c r="F249" s="360"/>
      <c r="G249" s="363">
        <v>20756008.240000002</v>
      </c>
      <c r="H249" t="s">
        <v>834</v>
      </c>
      <c r="I249" s="360"/>
      <c r="J249" s="363">
        <v>1664.5798236446767</v>
      </c>
      <c r="K249" t="s">
        <v>834</v>
      </c>
      <c r="L249" s="360"/>
      <c r="M249" s="363">
        <v>13557.157570215546</v>
      </c>
      <c r="N249" t="s">
        <v>834</v>
      </c>
      <c r="O249" s="360"/>
      <c r="P249" s="366" t="str">
        <f t="shared" si="73"/>
        <v>Met</v>
      </c>
      <c r="Q249" s="360"/>
      <c r="R249" s="399">
        <v>4250817.3499999996</v>
      </c>
      <c r="S249" s="400" t="str">
        <f t="shared" si="61"/>
        <v>Met</v>
      </c>
      <c r="U249" s="399">
        <v>22286001.979999997</v>
      </c>
      <c r="V249" s="400" t="str">
        <f t="shared" si="62"/>
        <v>Met</v>
      </c>
      <c r="X249" s="399">
        <v>2740.694616376531</v>
      </c>
      <c r="Y249" s="400" t="str">
        <f t="shared" si="63"/>
        <v>Met</v>
      </c>
      <c r="AA249" s="399">
        <v>14368.795602836877</v>
      </c>
      <c r="AB249" s="400" t="str">
        <f t="shared" si="64"/>
        <v>Met</v>
      </c>
      <c r="AD249" s="366" t="str">
        <f t="shared" si="58"/>
        <v>Met</v>
      </c>
      <c r="AF249" s="399">
        <v>5431314</v>
      </c>
      <c r="AG249" s="400" t="str">
        <f t="shared" si="65"/>
        <v>Met</v>
      </c>
      <c r="AI249" s="399">
        <v>28770335.350000001</v>
      </c>
      <c r="AJ249" s="400" t="str">
        <f t="shared" si="66"/>
        <v>Met</v>
      </c>
      <c r="AL249" s="399">
        <f>VLOOKUP(A249,$A$5:$AF$315,32,0)/IFERROR(VLOOKUP(A249,'21-22 child count'!$A$3:$S$317,19,0),0)</f>
        <v>3582.6609498680737</v>
      </c>
      <c r="AM249" s="400" t="str">
        <f t="shared" si="67"/>
        <v>Met</v>
      </c>
      <c r="AO249" s="399">
        <f>VLOOKUP(A249,'42. SEA or LEA Worksheet'!$A$4:$AB$318,28,0)/IFERROR(VLOOKUP('42. SEA or LEA Worksheet'!A244,'21-22 child count'!$A$3:$S$317,3,0),0)</f>
        <v>208384.1191964286</v>
      </c>
      <c r="AP249" s="400" t="str">
        <f t="shared" si="68"/>
        <v>Met</v>
      </c>
      <c r="AR249" s="366" t="str">
        <f t="shared" si="59"/>
        <v>Met</v>
      </c>
      <c r="AU249" s="400" t="str">
        <f t="shared" si="69"/>
        <v>Did not Meet</v>
      </c>
      <c r="AX249" s="400" t="str">
        <f t="shared" si="70"/>
        <v>Did not Meet</v>
      </c>
      <c r="BA249" s="400" t="str">
        <f t="shared" si="71"/>
        <v>Did not Meet</v>
      </c>
      <c r="BD249" s="400" t="str">
        <f t="shared" si="72"/>
        <v>Did not Meet</v>
      </c>
      <c r="BF249" s="366" t="str">
        <f t="shared" si="60"/>
        <v>Met</v>
      </c>
    </row>
    <row r="250" spans="1:58">
      <c r="A250" t="s">
        <v>685</v>
      </c>
      <c r="B250" t="s">
        <v>1064</v>
      </c>
      <c r="C250" s="360"/>
      <c r="D250" s="363">
        <v>0</v>
      </c>
      <c r="E250" t="s">
        <v>834</v>
      </c>
      <c r="F250" s="360"/>
      <c r="G250" s="363">
        <v>2516838.62</v>
      </c>
      <c r="H250" t="s">
        <v>834</v>
      </c>
      <c r="I250" s="360"/>
      <c r="J250" s="363">
        <v>0</v>
      </c>
      <c r="K250" t="s">
        <v>834</v>
      </c>
      <c r="L250" s="360"/>
      <c r="M250" s="363">
        <v>12337.444215686275</v>
      </c>
      <c r="N250" t="s">
        <v>834</v>
      </c>
      <c r="O250" s="360"/>
      <c r="P250" s="366" t="str">
        <f t="shared" si="73"/>
        <v>Met</v>
      </c>
      <c r="Q250" s="360"/>
      <c r="R250" s="399">
        <v>0</v>
      </c>
      <c r="S250" s="400" t="str">
        <f t="shared" si="61"/>
        <v>Met</v>
      </c>
      <c r="U250" s="399">
        <v>2403087.79</v>
      </c>
      <c r="V250" s="400" t="str">
        <f t="shared" si="62"/>
        <v>Met</v>
      </c>
      <c r="X250" s="399">
        <v>0</v>
      </c>
      <c r="Y250" s="400" t="str">
        <f t="shared" si="63"/>
        <v>Met</v>
      </c>
      <c r="AA250" s="399">
        <v>12714.750211640212</v>
      </c>
      <c r="AB250" s="400" t="str">
        <f t="shared" si="64"/>
        <v>Met</v>
      </c>
      <c r="AD250" s="366" t="str">
        <f t="shared" si="58"/>
        <v>Met</v>
      </c>
      <c r="AF250" s="399">
        <v>0</v>
      </c>
      <c r="AG250" s="400" t="str">
        <f t="shared" si="65"/>
        <v>Met</v>
      </c>
      <c r="AI250" s="399">
        <v>2683531.85</v>
      </c>
      <c r="AJ250" s="400" t="str">
        <f t="shared" si="66"/>
        <v>Met</v>
      </c>
      <c r="AL250" s="399">
        <f>VLOOKUP(A250,$A$5:$AF$315,32,0)/IFERROR(VLOOKUP(A250,'21-22 child count'!$A$3:$S$317,19,0),0)</f>
        <v>0</v>
      </c>
      <c r="AM250" s="400" t="str">
        <f t="shared" si="67"/>
        <v>Met</v>
      </c>
      <c r="AO250" s="399">
        <f>VLOOKUP(A250,'42. SEA or LEA Worksheet'!$A$4:$AB$318,28,0)/IFERROR(VLOOKUP('42. SEA or LEA Worksheet'!A245,'21-22 child count'!$A$3:$S$317,3,0),0)</f>
        <v>22177.949173553719</v>
      </c>
      <c r="AP250" s="400" t="str">
        <f t="shared" si="68"/>
        <v>Met</v>
      </c>
      <c r="AR250" s="366" t="str">
        <f t="shared" si="59"/>
        <v>Met</v>
      </c>
      <c r="AU250" s="400" t="str">
        <f t="shared" si="69"/>
        <v>Met</v>
      </c>
      <c r="AX250" s="400" t="str">
        <f t="shared" si="70"/>
        <v>Did not Meet</v>
      </c>
      <c r="BA250" s="400" t="str">
        <f t="shared" si="71"/>
        <v>Met</v>
      </c>
      <c r="BD250" s="400" t="str">
        <f t="shared" si="72"/>
        <v>Did not Meet</v>
      </c>
      <c r="BF250" s="366" t="str">
        <f t="shared" si="60"/>
        <v>Met</v>
      </c>
    </row>
    <row r="251" spans="1:58">
      <c r="A251" t="s">
        <v>687</v>
      </c>
      <c r="B251" t="s">
        <v>1065</v>
      </c>
      <c r="C251" s="360"/>
      <c r="D251" s="363">
        <v>0</v>
      </c>
      <c r="E251" t="s">
        <v>834</v>
      </c>
      <c r="F251" s="360"/>
      <c r="G251" s="363">
        <v>262579.42</v>
      </c>
      <c r="H251" t="s">
        <v>834</v>
      </c>
      <c r="I251" s="360"/>
      <c r="J251" s="363">
        <v>0</v>
      </c>
      <c r="K251" t="s">
        <v>834</v>
      </c>
      <c r="L251" s="360"/>
      <c r="M251" s="363">
        <v>8752.6473333333324</v>
      </c>
      <c r="N251" t="s">
        <v>855</v>
      </c>
      <c r="O251" s="360"/>
      <c r="P251" s="366" t="str">
        <f t="shared" si="73"/>
        <v>Met</v>
      </c>
      <c r="Q251" s="360"/>
      <c r="R251" s="399">
        <v>0</v>
      </c>
      <c r="S251" s="400" t="str">
        <f t="shared" si="61"/>
        <v>Met</v>
      </c>
      <c r="U251" s="399">
        <v>247390</v>
      </c>
      <c r="V251" s="400" t="str">
        <f t="shared" si="62"/>
        <v>Met</v>
      </c>
      <c r="X251" s="399">
        <v>0</v>
      </c>
      <c r="Y251" s="400" t="str">
        <f t="shared" si="63"/>
        <v>Met</v>
      </c>
      <c r="AA251" s="399">
        <v>7980.322580645161</v>
      </c>
      <c r="AB251" s="400" t="str">
        <f t="shared" si="64"/>
        <v>Did not Meet</v>
      </c>
      <c r="AD251" s="366" t="str">
        <f t="shared" si="58"/>
        <v>Met</v>
      </c>
      <c r="AF251" s="399">
        <v>0</v>
      </c>
      <c r="AG251" s="400" t="str">
        <f t="shared" si="65"/>
        <v>Met</v>
      </c>
      <c r="AI251" s="399">
        <v>291322.62</v>
      </c>
      <c r="AJ251" s="400" t="str">
        <f t="shared" si="66"/>
        <v>Met</v>
      </c>
      <c r="AL251" s="399">
        <f>VLOOKUP(A251,$A$5:$AF$315,32,0)/IFERROR(VLOOKUP(A251,'21-22 child count'!$A$3:$S$317,19,0),0)</f>
        <v>0</v>
      </c>
      <c r="AM251" s="400" t="str">
        <f t="shared" si="67"/>
        <v>Met</v>
      </c>
      <c r="AO251" s="399">
        <f>VLOOKUP(A251,'42. SEA or LEA Worksheet'!$A$4:$AB$318,28,0)/IFERROR(VLOOKUP('42. SEA or LEA Worksheet'!A246,'21-22 child count'!$A$3:$S$317,3,0),0)</f>
        <v>1541.3895238095238</v>
      </c>
      <c r="AP251" s="400" t="str">
        <f t="shared" si="68"/>
        <v>Did not Meet</v>
      </c>
      <c r="AR251" s="366" t="str">
        <f t="shared" si="59"/>
        <v>Met</v>
      </c>
      <c r="AU251" s="400" t="str">
        <f t="shared" si="69"/>
        <v>Met</v>
      </c>
      <c r="AX251" s="400" t="str">
        <f t="shared" si="70"/>
        <v>Did not Meet</v>
      </c>
      <c r="BA251" s="400" t="str">
        <f t="shared" si="71"/>
        <v>Met</v>
      </c>
      <c r="BD251" s="400" t="str">
        <f t="shared" si="72"/>
        <v>Did not Meet</v>
      </c>
      <c r="BF251" s="366" t="str">
        <f t="shared" si="60"/>
        <v>Met</v>
      </c>
    </row>
    <row r="252" spans="1:58">
      <c r="A252" t="s">
        <v>299</v>
      </c>
      <c r="B252" t="s">
        <v>886</v>
      </c>
      <c r="C252" s="360"/>
      <c r="D252" s="363">
        <v>36000</v>
      </c>
      <c r="E252" t="s">
        <v>855</v>
      </c>
      <c r="F252" s="360"/>
      <c r="G252" s="363">
        <v>199332.27</v>
      </c>
      <c r="H252" t="s">
        <v>834</v>
      </c>
      <c r="I252" s="360"/>
      <c r="J252" s="363">
        <v>2769.2307692307691</v>
      </c>
      <c r="K252" t="s">
        <v>834</v>
      </c>
      <c r="L252" s="360"/>
      <c r="M252" s="363">
        <v>15333.251538461538</v>
      </c>
      <c r="N252" t="s">
        <v>834</v>
      </c>
      <c r="O252" s="360"/>
      <c r="P252" s="366" t="str">
        <f t="shared" si="73"/>
        <v>Met</v>
      </c>
      <c r="Q252" s="360"/>
      <c r="R252" s="399">
        <v>36000</v>
      </c>
      <c r="S252" s="400" t="str">
        <f t="shared" si="61"/>
        <v>Did not Meet</v>
      </c>
      <c r="U252" s="399">
        <v>181471.87</v>
      </c>
      <c r="V252" s="400" t="str">
        <f t="shared" si="62"/>
        <v>Met</v>
      </c>
      <c r="X252" s="399">
        <v>2117.6470588235293</v>
      </c>
      <c r="Y252" s="400" t="str">
        <f t="shared" si="63"/>
        <v>Did not Meet</v>
      </c>
      <c r="AA252" s="399">
        <v>10674.815882352941</v>
      </c>
      <c r="AB252" s="400" t="str">
        <f t="shared" si="64"/>
        <v>Did not Meet</v>
      </c>
      <c r="AD252" s="366" t="str">
        <f t="shared" si="58"/>
        <v>Met</v>
      </c>
      <c r="AF252" s="399">
        <v>36000</v>
      </c>
      <c r="AG252" s="400" t="str">
        <f t="shared" si="65"/>
        <v>Did not Meet</v>
      </c>
      <c r="AI252" s="399">
        <v>220166.95</v>
      </c>
      <c r="AJ252" s="400" t="str">
        <f t="shared" si="66"/>
        <v>Met</v>
      </c>
      <c r="AL252" s="399">
        <f>VLOOKUP(A252,$A$5:$AF$315,32,0)/IFERROR(VLOOKUP(A252,'21-22 child count'!$A$3:$S$317,19,0),0)</f>
        <v>1636.3636363636363</v>
      </c>
      <c r="AM252" s="400" t="str">
        <f t="shared" si="67"/>
        <v>Did not Meet</v>
      </c>
      <c r="AO252" s="399">
        <f>VLOOKUP(A252,'42. SEA or LEA Worksheet'!$A$4:$AB$318,28,0)/IFERROR(VLOOKUP('42. SEA or LEA Worksheet'!A55,'21-22 child count'!$A$3:$S$317,3,0),0)</f>
        <v>1823.4351485148516</v>
      </c>
      <c r="AP252" s="400" t="str">
        <f t="shared" si="68"/>
        <v>Did not Meet</v>
      </c>
      <c r="AR252" s="366" t="str">
        <f t="shared" si="59"/>
        <v>Met</v>
      </c>
      <c r="AU252" s="400" t="str">
        <f t="shared" si="69"/>
        <v>Did not Meet</v>
      </c>
      <c r="AX252" s="400" t="str">
        <f t="shared" si="70"/>
        <v>Did not Meet</v>
      </c>
      <c r="BA252" s="400" t="str">
        <f t="shared" si="71"/>
        <v>Did not Meet</v>
      </c>
      <c r="BD252" s="400" t="str">
        <f t="shared" si="72"/>
        <v>Did not Meet</v>
      </c>
      <c r="BF252" s="366" t="str">
        <f t="shared" si="60"/>
        <v>Met</v>
      </c>
    </row>
    <row r="253" spans="1:58">
      <c r="A253" t="s">
        <v>691</v>
      </c>
      <c r="B253" t="s">
        <v>1067</v>
      </c>
      <c r="C253" s="360"/>
      <c r="D253" s="363">
        <v>0</v>
      </c>
      <c r="E253" t="s">
        <v>834</v>
      </c>
      <c r="F253" s="360"/>
      <c r="G253" s="363">
        <v>460168.03</v>
      </c>
      <c r="H253" t="s">
        <v>834</v>
      </c>
      <c r="I253" s="360"/>
      <c r="J253" s="363">
        <v>0</v>
      </c>
      <c r="K253" t="s">
        <v>834</v>
      </c>
      <c r="L253" s="360"/>
      <c r="M253" s="363">
        <v>8217.286250000001</v>
      </c>
      <c r="N253" t="s">
        <v>834</v>
      </c>
      <c r="O253" s="360"/>
      <c r="P253" s="366" t="str">
        <f t="shared" si="73"/>
        <v>Met</v>
      </c>
      <c r="Q253" s="360"/>
      <c r="R253" s="399">
        <v>0</v>
      </c>
      <c r="S253" s="400" t="str">
        <f t="shared" si="61"/>
        <v>Met</v>
      </c>
      <c r="U253" s="399">
        <v>551642.74</v>
      </c>
      <c r="V253" s="400" t="str">
        <f t="shared" si="62"/>
        <v>Met</v>
      </c>
      <c r="X253" s="399">
        <v>0</v>
      </c>
      <c r="Y253" s="400" t="str">
        <f t="shared" si="63"/>
        <v>Met</v>
      </c>
      <c r="AA253" s="399">
        <v>8486.8113846153847</v>
      </c>
      <c r="AB253" s="400" t="str">
        <f t="shared" si="64"/>
        <v>Met</v>
      </c>
      <c r="AD253" s="366" t="str">
        <f t="shared" si="58"/>
        <v>Met</v>
      </c>
      <c r="AF253" s="399">
        <v>0</v>
      </c>
      <c r="AG253" s="400" t="str">
        <f t="shared" si="65"/>
        <v>Met</v>
      </c>
      <c r="AI253" s="399">
        <v>678447.87</v>
      </c>
      <c r="AJ253" s="400" t="str">
        <f t="shared" si="66"/>
        <v>Met</v>
      </c>
      <c r="AL253" s="399">
        <f>VLOOKUP(A253,$A$5:$AF$315,32,0)/IFERROR(VLOOKUP(A253,'21-22 child count'!$A$3:$S$317,19,0),0)</f>
        <v>0</v>
      </c>
      <c r="AM253" s="400" t="str">
        <f t="shared" si="67"/>
        <v>Met</v>
      </c>
      <c r="AO253" s="399">
        <f>VLOOKUP(A253,'42. SEA or LEA Worksheet'!$A$4:$AB$318,28,0)/IFERROR(VLOOKUP('42. SEA or LEA Worksheet'!A248,'21-22 child count'!$A$3:$S$317,3,0),0)</f>
        <v>3967.5314035087717</v>
      </c>
      <c r="AP253" s="400" t="str">
        <f t="shared" si="68"/>
        <v>Did not Meet</v>
      </c>
      <c r="AR253" s="366" t="str">
        <f t="shared" si="59"/>
        <v>Met</v>
      </c>
      <c r="AU253" s="400" t="str">
        <f t="shared" si="69"/>
        <v>Met</v>
      </c>
      <c r="AX253" s="400" t="str">
        <f t="shared" si="70"/>
        <v>Did not Meet</v>
      </c>
      <c r="BA253" s="400" t="str">
        <f t="shared" si="71"/>
        <v>Met</v>
      </c>
      <c r="BD253" s="400" t="str">
        <f t="shared" si="72"/>
        <v>Did not Meet</v>
      </c>
      <c r="BF253" s="366" t="str">
        <f t="shared" si="60"/>
        <v>Met</v>
      </c>
    </row>
    <row r="254" spans="1:58">
      <c r="A254" t="s">
        <v>693</v>
      </c>
      <c r="B254" t="s">
        <v>1068</v>
      </c>
      <c r="C254" s="360"/>
      <c r="D254" s="363">
        <v>0</v>
      </c>
      <c r="E254" t="s">
        <v>834</v>
      </c>
      <c r="F254" s="360"/>
      <c r="G254" s="363">
        <v>125378.32</v>
      </c>
      <c r="H254" t="s">
        <v>879</v>
      </c>
      <c r="I254" s="360"/>
      <c r="J254" s="363">
        <v>0</v>
      </c>
      <c r="K254" t="s">
        <v>855</v>
      </c>
      <c r="L254" s="360"/>
      <c r="M254" s="363">
        <v>11398.029090909091</v>
      </c>
      <c r="N254" t="s">
        <v>855</v>
      </c>
      <c r="O254" s="360"/>
      <c r="P254" s="366" t="str">
        <f t="shared" si="73"/>
        <v>Met</v>
      </c>
      <c r="Q254" s="360"/>
      <c r="R254" s="399">
        <v>0</v>
      </c>
      <c r="S254" s="400" t="str">
        <f t="shared" si="61"/>
        <v>Met</v>
      </c>
      <c r="U254" s="399">
        <v>135764.09</v>
      </c>
      <c r="V254" s="400" t="str">
        <f t="shared" si="62"/>
        <v>Did not Meet</v>
      </c>
      <c r="X254" s="399">
        <v>0</v>
      </c>
      <c r="Y254" s="400" t="str">
        <f t="shared" si="63"/>
        <v>Did not Meet</v>
      </c>
      <c r="AA254" s="399">
        <v>12342.19</v>
      </c>
      <c r="AB254" s="400" t="str">
        <f t="shared" si="64"/>
        <v>Did not Meet</v>
      </c>
      <c r="AD254" s="366" t="str">
        <f t="shared" si="58"/>
        <v>Met</v>
      </c>
      <c r="AF254" s="399">
        <v>0</v>
      </c>
      <c r="AG254" s="400" t="str">
        <f t="shared" si="65"/>
        <v>Met</v>
      </c>
      <c r="AI254" s="399">
        <v>166823.67000000001</v>
      </c>
      <c r="AJ254" s="400" t="str">
        <f t="shared" si="66"/>
        <v>Did not Meet</v>
      </c>
      <c r="AL254" s="399">
        <f>VLOOKUP(A254,$A$5:$AF$315,32,0)/IFERROR(VLOOKUP(A254,'21-22 child count'!$A$3:$S$317,19,0),0)</f>
        <v>0</v>
      </c>
      <c r="AM254" s="400" t="str">
        <f t="shared" si="67"/>
        <v>Did not Meet</v>
      </c>
      <c r="AO254" s="399">
        <f>AI254/'21-22 child count'!S254</f>
        <v>11915.97642857143</v>
      </c>
      <c r="AP254" s="400" t="str">
        <f t="shared" si="68"/>
        <v>Did not Meet</v>
      </c>
      <c r="AR254" s="366" t="str">
        <f t="shared" si="59"/>
        <v>Met</v>
      </c>
      <c r="AU254" s="400" t="str">
        <f t="shared" si="69"/>
        <v>Met</v>
      </c>
      <c r="AX254" s="400" t="str">
        <f t="shared" si="70"/>
        <v>Did not Meet</v>
      </c>
      <c r="BA254" s="400" t="str">
        <f t="shared" si="71"/>
        <v>Did not Meet</v>
      </c>
      <c r="BD254" s="400" t="str">
        <f t="shared" si="72"/>
        <v>Did not Meet</v>
      </c>
      <c r="BF254" s="366" t="str">
        <f t="shared" si="60"/>
        <v>Met</v>
      </c>
    </row>
    <row r="255" spans="1:58">
      <c r="A255" t="s">
        <v>695</v>
      </c>
      <c r="B255" t="s">
        <v>1069</v>
      </c>
      <c r="C255" s="360"/>
      <c r="D255" s="363">
        <v>0</v>
      </c>
      <c r="E255" t="s">
        <v>834</v>
      </c>
      <c r="F255" s="360"/>
      <c r="G255" s="363">
        <v>143892.69</v>
      </c>
      <c r="H255" t="s">
        <v>855</v>
      </c>
      <c r="I255" s="360"/>
      <c r="J255" s="363">
        <v>0</v>
      </c>
      <c r="K255" t="s">
        <v>834</v>
      </c>
      <c r="L255" s="360"/>
      <c r="M255" s="363">
        <v>10278.049285714285</v>
      </c>
      <c r="N255" t="s">
        <v>855</v>
      </c>
      <c r="O255" s="360"/>
      <c r="P255" s="366" t="str">
        <f t="shared" si="73"/>
        <v>Met</v>
      </c>
      <c r="Q255" s="360"/>
      <c r="R255" s="399">
        <v>0</v>
      </c>
      <c r="S255" s="400" t="str">
        <f t="shared" si="61"/>
        <v>Met</v>
      </c>
      <c r="U255" s="399">
        <v>163928.12</v>
      </c>
      <c r="V255" s="400" t="str">
        <f t="shared" si="62"/>
        <v>Did not Meet</v>
      </c>
      <c r="X255" s="399">
        <v>0</v>
      </c>
      <c r="Y255" s="400" t="str">
        <f t="shared" si="63"/>
        <v>Met</v>
      </c>
      <c r="AA255" s="399">
        <v>10245.5075</v>
      </c>
      <c r="AB255" s="400" t="str">
        <f t="shared" si="64"/>
        <v>Did not Meet</v>
      </c>
      <c r="AD255" s="366" t="str">
        <f t="shared" si="58"/>
        <v>Met</v>
      </c>
      <c r="AF255" s="399">
        <v>0</v>
      </c>
      <c r="AG255" s="400" t="str">
        <f t="shared" si="65"/>
        <v>Met</v>
      </c>
      <c r="AI255" s="399">
        <v>170870.33</v>
      </c>
      <c r="AJ255" s="400" t="str">
        <f t="shared" si="66"/>
        <v>Did not Meet</v>
      </c>
      <c r="AL255" s="399">
        <f>VLOOKUP(A255,$A$5:$AF$315,32,0)/IFERROR(VLOOKUP(A255,'21-22 child count'!$A$3:$S$317,19,0),0)</f>
        <v>0</v>
      </c>
      <c r="AM255" s="400" t="str">
        <f t="shared" si="67"/>
        <v>Met</v>
      </c>
      <c r="AO255" s="399">
        <f>VLOOKUP(A255,'42. SEA or LEA Worksheet'!$A$4:$AB$318,28,0)/IFERROR(VLOOKUP('42. SEA or LEA Worksheet'!A249,'21-22 child count'!$A$3:$S$317,3,0),0)</f>
        <v>1512.1268141592918</v>
      </c>
      <c r="AP255" s="400" t="str">
        <f t="shared" si="68"/>
        <v>Did not Meet</v>
      </c>
      <c r="AR255" s="366" t="str">
        <f t="shared" si="59"/>
        <v>Met</v>
      </c>
      <c r="AU255" s="400" t="str">
        <f t="shared" si="69"/>
        <v>Met</v>
      </c>
      <c r="AX255" s="400" t="str">
        <f t="shared" si="70"/>
        <v>Did not Meet</v>
      </c>
      <c r="BA255" s="400" t="str">
        <f t="shared" si="71"/>
        <v>Met</v>
      </c>
      <c r="BD255" s="400" t="str">
        <f t="shared" si="72"/>
        <v>Did not Meet</v>
      </c>
      <c r="BF255" s="366" t="str">
        <f t="shared" si="60"/>
        <v>Met</v>
      </c>
    </row>
    <row r="256" spans="1:58">
      <c r="A256" t="s">
        <v>697</v>
      </c>
      <c r="B256" t="s">
        <v>1070</v>
      </c>
      <c r="C256" s="360"/>
      <c r="D256" s="363">
        <v>0</v>
      </c>
      <c r="E256" t="s">
        <v>834</v>
      </c>
      <c r="F256" s="360"/>
      <c r="G256" s="363">
        <v>10480035.369999999</v>
      </c>
      <c r="H256" t="s">
        <v>834</v>
      </c>
      <c r="I256" s="360"/>
      <c r="J256" s="363">
        <v>0</v>
      </c>
      <c r="K256" t="s">
        <v>834</v>
      </c>
      <c r="L256" s="360"/>
      <c r="M256" s="363">
        <v>14823.246633663366</v>
      </c>
      <c r="N256" t="s">
        <v>834</v>
      </c>
      <c r="O256" s="360"/>
      <c r="P256" s="366" t="str">
        <f t="shared" si="73"/>
        <v>Met</v>
      </c>
      <c r="Q256" s="360"/>
      <c r="R256" s="399">
        <v>0</v>
      </c>
      <c r="S256" s="400" t="str">
        <f t="shared" si="61"/>
        <v>Met</v>
      </c>
      <c r="U256" s="399">
        <v>11227348.35</v>
      </c>
      <c r="V256" s="400" t="str">
        <f t="shared" si="62"/>
        <v>Met</v>
      </c>
      <c r="X256" s="399">
        <v>0</v>
      </c>
      <c r="Y256" s="400" t="str">
        <f t="shared" si="63"/>
        <v>Met</v>
      </c>
      <c r="AA256" s="399">
        <v>16062.014806866951</v>
      </c>
      <c r="AB256" s="400" t="str">
        <f t="shared" si="64"/>
        <v>Met</v>
      </c>
      <c r="AD256" s="366" t="str">
        <f t="shared" si="58"/>
        <v>Met</v>
      </c>
      <c r="AF256" s="399">
        <v>0</v>
      </c>
      <c r="AG256" s="400" t="str">
        <f t="shared" si="65"/>
        <v>Met</v>
      </c>
      <c r="AI256" s="399">
        <v>12429947.23</v>
      </c>
      <c r="AJ256" s="400" t="str">
        <f t="shared" si="66"/>
        <v>Met</v>
      </c>
      <c r="AL256" s="399">
        <f>VLOOKUP(A256,$A$5:$AF$315,32,0)/IFERROR(VLOOKUP(A256,'21-22 child count'!$A$3:$S$317,19,0),0)</f>
        <v>0</v>
      </c>
      <c r="AM256" s="400" t="str">
        <f t="shared" si="67"/>
        <v>Met</v>
      </c>
      <c r="AO256" s="399">
        <f>VLOOKUP(A256,'42. SEA or LEA Worksheet'!$A$4:$AB$318,28,0)/IFERROR(VLOOKUP('42. SEA or LEA Worksheet'!A250,'21-22 child count'!$A$3:$S$317,3,0),0)</f>
        <v>109034.62482456141</v>
      </c>
      <c r="AP256" s="400" t="str">
        <f t="shared" si="68"/>
        <v>Met</v>
      </c>
      <c r="AR256" s="366" t="str">
        <f t="shared" si="59"/>
        <v>Met</v>
      </c>
      <c r="AU256" s="400" t="str">
        <f t="shared" si="69"/>
        <v>Met</v>
      </c>
      <c r="AX256" s="400" t="str">
        <f t="shared" si="70"/>
        <v>Did not Meet</v>
      </c>
      <c r="BA256" s="400" t="str">
        <f t="shared" si="71"/>
        <v>Met</v>
      </c>
      <c r="BD256" s="400" t="str">
        <f t="shared" si="72"/>
        <v>Did not Meet</v>
      </c>
      <c r="BF256" s="366" t="str">
        <f t="shared" si="60"/>
        <v>Met</v>
      </c>
    </row>
    <row r="257" spans="1:58">
      <c r="A257" t="s">
        <v>257</v>
      </c>
      <c r="B257" t="s">
        <v>865</v>
      </c>
      <c r="C257" s="360"/>
      <c r="D257" s="363">
        <v>2454249.9700000002</v>
      </c>
      <c r="E257" t="s">
        <v>855</v>
      </c>
      <c r="F257" s="360"/>
      <c r="G257" s="363">
        <v>26529911.599999998</v>
      </c>
      <c r="H257" t="s">
        <v>834</v>
      </c>
      <c r="I257" s="360"/>
      <c r="J257" s="363">
        <v>1163.1516445497632</v>
      </c>
      <c r="K257" t="s">
        <v>855</v>
      </c>
      <c r="L257" s="360"/>
      <c r="M257" s="363">
        <v>12573.417819905213</v>
      </c>
      <c r="N257" t="s">
        <v>855</v>
      </c>
      <c r="O257" s="360"/>
      <c r="P257" s="366" t="str">
        <f t="shared" si="73"/>
        <v>Met</v>
      </c>
      <c r="Q257" s="360"/>
      <c r="R257" s="399">
        <v>4574099.55</v>
      </c>
      <c r="S257" s="400" t="str">
        <f t="shared" si="61"/>
        <v>Did not Meet</v>
      </c>
      <c r="U257" s="399">
        <v>28499668</v>
      </c>
      <c r="V257" s="400" t="str">
        <f t="shared" si="62"/>
        <v>Met</v>
      </c>
      <c r="X257" s="399">
        <v>2211.8469777562864</v>
      </c>
      <c r="Y257" s="400" t="str">
        <f t="shared" si="63"/>
        <v>Did not Meet</v>
      </c>
      <c r="AA257" s="399">
        <v>13781.270793036751</v>
      </c>
      <c r="AB257" s="400" t="str">
        <f t="shared" si="64"/>
        <v>Did not Meet</v>
      </c>
      <c r="AD257" s="366" t="str">
        <f t="shared" si="58"/>
        <v>Met</v>
      </c>
      <c r="AF257" s="399">
        <v>3963561.35</v>
      </c>
      <c r="AG257" s="400" t="str">
        <f t="shared" si="65"/>
        <v>Did not Meet</v>
      </c>
      <c r="AI257" s="399">
        <v>33113230.260000002</v>
      </c>
      <c r="AJ257" s="400" t="str">
        <f t="shared" si="66"/>
        <v>Met</v>
      </c>
      <c r="AL257" s="399">
        <f>VLOOKUP(A257,$A$5:$AF$315,32,0)/IFERROR(VLOOKUP(A257,'21-22 child count'!$A$3:$S$317,19,0),0)</f>
        <v>1846.9530987884436</v>
      </c>
      <c r="AM257" s="400" t="str">
        <f t="shared" si="67"/>
        <v>Did not Meet</v>
      </c>
      <c r="AO257" s="399">
        <f>VLOOKUP(A257,'42. SEA or LEA Worksheet'!$A$4:$AB$318,28,0)/IFERROR(VLOOKUP('42. SEA or LEA Worksheet'!A34,'21-22 child count'!$A$3:$S$317,3,0),0)</f>
        <v>286865.34316831682</v>
      </c>
      <c r="AP257" s="400" t="str">
        <f t="shared" si="68"/>
        <v>Did not Meet</v>
      </c>
      <c r="AR257" s="366" t="str">
        <f t="shared" si="59"/>
        <v>Met</v>
      </c>
      <c r="AU257" s="400" t="str">
        <f t="shared" si="69"/>
        <v>Did not Meet</v>
      </c>
      <c r="AX257" s="400" t="str">
        <f t="shared" si="70"/>
        <v>Did not Meet</v>
      </c>
      <c r="BA257" s="400" t="str">
        <f t="shared" si="71"/>
        <v>Did not Meet</v>
      </c>
      <c r="BD257" s="400" t="str">
        <f t="shared" si="72"/>
        <v>Did not Meet</v>
      </c>
      <c r="BF257" s="366" t="str">
        <f t="shared" si="60"/>
        <v>Met</v>
      </c>
    </row>
    <row r="258" spans="1:58">
      <c r="A258" t="s">
        <v>238</v>
      </c>
      <c r="B258" t="s">
        <v>857</v>
      </c>
      <c r="C258" s="360"/>
      <c r="D258" s="363">
        <v>1770263.67</v>
      </c>
      <c r="E258" t="s">
        <v>855</v>
      </c>
      <c r="F258" s="360"/>
      <c r="G258" s="363">
        <v>11805676.67</v>
      </c>
      <c r="H258" t="s">
        <v>834</v>
      </c>
      <c r="I258" s="360"/>
      <c r="J258" s="363">
        <v>2232.3627616645649</v>
      </c>
      <c r="K258" t="s">
        <v>855</v>
      </c>
      <c r="L258" s="360"/>
      <c r="M258" s="363">
        <v>14887.36023959647</v>
      </c>
      <c r="N258" t="s">
        <v>834</v>
      </c>
      <c r="O258" s="360"/>
      <c r="P258" s="366" t="str">
        <f t="shared" si="73"/>
        <v>Met</v>
      </c>
      <c r="Q258" s="360"/>
      <c r="R258" s="399">
        <v>1776362.76</v>
      </c>
      <c r="S258" s="400" t="str">
        <f t="shared" si="61"/>
        <v>Did not Meet</v>
      </c>
      <c r="U258" s="399">
        <v>11500200.09</v>
      </c>
      <c r="V258" s="400" t="str">
        <f t="shared" si="62"/>
        <v>Met</v>
      </c>
      <c r="X258" s="399">
        <v>2268.6625287356323</v>
      </c>
      <c r="Y258" s="400" t="str">
        <f t="shared" si="63"/>
        <v>Did not Meet</v>
      </c>
      <c r="AA258" s="399">
        <v>14687.356436781609</v>
      </c>
      <c r="AB258" s="400" t="str">
        <f t="shared" si="64"/>
        <v>Did not Meet</v>
      </c>
      <c r="AD258" s="366" t="str">
        <f t="shared" si="58"/>
        <v>Met</v>
      </c>
      <c r="AF258" s="399">
        <v>2169512.08</v>
      </c>
      <c r="AG258" s="400" t="str">
        <f t="shared" si="65"/>
        <v>Did not Meet</v>
      </c>
      <c r="AI258" s="399">
        <v>14237338.310000001</v>
      </c>
      <c r="AJ258" s="400" t="str">
        <f t="shared" si="66"/>
        <v>Met</v>
      </c>
      <c r="AL258" s="399">
        <f>VLOOKUP(A258,$A$5:$AF$315,32,0)/IFERROR(VLOOKUP(A258,'21-22 child count'!$A$3:$S$317,19,0),0)</f>
        <v>2817.5481558441561</v>
      </c>
      <c r="AM258" s="400" t="str">
        <f t="shared" si="67"/>
        <v>Did not Meet</v>
      </c>
      <c r="AO258" s="399">
        <f>VLOOKUP(A258,'42. SEA or LEA Worksheet'!$A$4:$AB$318,28,0)/IFERROR(VLOOKUP('42. SEA or LEA Worksheet'!A25,'21-22 child count'!$A$3:$S$317,3,0),0)</f>
        <v>107748.44848214286</v>
      </c>
      <c r="AP258" s="400" t="str">
        <f t="shared" si="68"/>
        <v>Did not Meet</v>
      </c>
      <c r="AR258" s="366" t="str">
        <f t="shared" si="59"/>
        <v>Met</v>
      </c>
      <c r="AU258" s="400" t="str">
        <f t="shared" si="69"/>
        <v>Did not Meet</v>
      </c>
      <c r="AX258" s="400" t="str">
        <f t="shared" si="70"/>
        <v>Did not Meet</v>
      </c>
      <c r="BA258" s="400" t="str">
        <f t="shared" si="71"/>
        <v>Did not Meet</v>
      </c>
      <c r="BD258" s="400" t="str">
        <f t="shared" si="72"/>
        <v>Did not Meet</v>
      </c>
      <c r="BF258" s="366" t="str">
        <f t="shared" si="60"/>
        <v>Met</v>
      </c>
    </row>
    <row r="259" spans="1:58">
      <c r="A259" t="s">
        <v>703</v>
      </c>
      <c r="B259" t="s">
        <v>1146</v>
      </c>
      <c r="C259" s="360"/>
      <c r="D259" s="363">
        <v>0</v>
      </c>
      <c r="E259" t="s">
        <v>834</v>
      </c>
      <c r="F259" s="360"/>
      <c r="G259" s="363">
        <v>0</v>
      </c>
      <c r="H259" t="s">
        <v>834</v>
      </c>
      <c r="I259" s="360"/>
      <c r="J259" s="363">
        <v>0</v>
      </c>
      <c r="K259" t="s">
        <v>834</v>
      </c>
      <c r="L259" s="360"/>
      <c r="M259" s="363">
        <v>0</v>
      </c>
      <c r="N259" t="s">
        <v>834</v>
      </c>
      <c r="O259" s="360"/>
      <c r="P259" s="366" t="str">
        <f t="shared" si="73"/>
        <v>Met</v>
      </c>
      <c r="Q259" s="360"/>
      <c r="R259" s="399">
        <v>0</v>
      </c>
      <c r="S259" s="400" t="str">
        <f t="shared" si="61"/>
        <v>Met</v>
      </c>
      <c r="U259" s="399">
        <v>0</v>
      </c>
      <c r="V259" s="400" t="str">
        <f t="shared" si="62"/>
        <v>Met</v>
      </c>
      <c r="X259" s="399" t="s">
        <v>1150</v>
      </c>
      <c r="Y259" s="400" t="str">
        <f t="shared" si="63"/>
        <v>Met</v>
      </c>
      <c r="AA259" s="399" t="s">
        <v>1150</v>
      </c>
      <c r="AB259" s="400" t="str">
        <f t="shared" si="64"/>
        <v>Met</v>
      </c>
      <c r="AD259" s="366" t="str">
        <f t="shared" si="58"/>
        <v>Met</v>
      </c>
      <c r="AF259" s="399">
        <v>0</v>
      </c>
      <c r="AG259" s="400" t="str">
        <f t="shared" si="65"/>
        <v>Met</v>
      </c>
      <c r="AI259" s="399">
        <v>0</v>
      </c>
      <c r="AJ259" s="400" t="str">
        <f t="shared" si="66"/>
        <v>Met</v>
      </c>
      <c r="AL259" s="399">
        <v>0</v>
      </c>
      <c r="AM259" s="400" t="str">
        <f t="shared" si="67"/>
        <v>Did not Meet</v>
      </c>
      <c r="AO259" s="399">
        <f>VLOOKUP(A259,'42. SEA or LEA Worksheet'!$A$4:$AB$318,28,0)/IFERROR(VLOOKUP('42. SEA or LEA Worksheet'!A253,'21-22 child count'!$A$3:$S$317,3,0),0)</f>
        <v>0</v>
      </c>
      <c r="AP259" s="400" t="str">
        <f t="shared" si="68"/>
        <v>Did not Meet</v>
      </c>
      <c r="AR259" s="366" t="str">
        <f t="shared" si="59"/>
        <v>Met</v>
      </c>
      <c r="AU259" s="400" t="str">
        <f t="shared" si="69"/>
        <v>Met</v>
      </c>
      <c r="AX259" s="400" t="str">
        <f t="shared" si="70"/>
        <v>Met</v>
      </c>
      <c r="BA259" s="400" t="str">
        <f t="shared" si="71"/>
        <v>Did not Meet</v>
      </c>
      <c r="BD259" s="400" t="str">
        <f t="shared" si="72"/>
        <v>Did not Meet</v>
      </c>
      <c r="BF259" s="366" t="str">
        <f t="shared" si="60"/>
        <v>Met</v>
      </c>
    </row>
    <row r="260" spans="1:58">
      <c r="A260" t="s">
        <v>705</v>
      </c>
      <c r="B260" t="s">
        <v>1072</v>
      </c>
      <c r="C260" s="360"/>
      <c r="D260" s="363">
        <v>0</v>
      </c>
      <c r="E260" t="s">
        <v>834</v>
      </c>
      <c r="F260" s="360"/>
      <c r="G260" s="363">
        <v>5008961.54</v>
      </c>
      <c r="H260" t="s">
        <v>834</v>
      </c>
      <c r="I260" s="360"/>
      <c r="J260" s="363">
        <v>0</v>
      </c>
      <c r="K260" t="s">
        <v>834</v>
      </c>
      <c r="L260" s="360"/>
      <c r="M260" s="363">
        <v>11306.9109255079</v>
      </c>
      <c r="N260" t="s">
        <v>855</v>
      </c>
      <c r="O260" s="360"/>
      <c r="P260" s="366" t="str">
        <f t="shared" si="73"/>
        <v>Met</v>
      </c>
      <c r="Q260" s="360"/>
      <c r="R260" s="399">
        <v>475972.43</v>
      </c>
      <c r="S260" s="400" t="str">
        <f t="shared" si="61"/>
        <v>Met</v>
      </c>
      <c r="U260" s="399">
        <v>5170219.8999999994</v>
      </c>
      <c r="V260" s="400" t="str">
        <f t="shared" si="62"/>
        <v>Met</v>
      </c>
      <c r="X260" s="399">
        <v>1149.6918599033816</v>
      </c>
      <c r="Y260" s="400" t="str">
        <f t="shared" si="63"/>
        <v>Met</v>
      </c>
      <c r="AA260" s="399">
        <v>12488.453864734298</v>
      </c>
      <c r="AB260" s="400" t="str">
        <f t="shared" si="64"/>
        <v>Did not Meet</v>
      </c>
      <c r="AD260" s="366" t="str">
        <f t="shared" si="58"/>
        <v>Met</v>
      </c>
      <c r="AF260" s="399">
        <v>964842.95</v>
      </c>
      <c r="AG260" s="400" t="str">
        <f t="shared" si="65"/>
        <v>Met</v>
      </c>
      <c r="AI260" s="399">
        <v>6781321.2599999998</v>
      </c>
      <c r="AJ260" s="400" t="str">
        <f t="shared" si="66"/>
        <v>Met</v>
      </c>
      <c r="AL260" s="399">
        <f>VLOOKUP(A260,$A$5:$AF$315,32,0)/IFERROR(VLOOKUP(A260,'21-22 child count'!$A$3:$S$317,19,0),0)</f>
        <v>2254.305957943925</v>
      </c>
      <c r="AM260" s="400" t="str">
        <f t="shared" si="67"/>
        <v>Met</v>
      </c>
      <c r="AO260" s="399">
        <f>VLOOKUP(A260,'42. SEA or LEA Worksheet'!$A$4:$AB$318,28,0)/IFERROR(VLOOKUP('42. SEA or LEA Worksheet'!A254,'21-22 child count'!$A$3:$S$317,3,0),0)</f>
        <v>57382.534158415845</v>
      </c>
      <c r="AP260" s="400" t="str">
        <f t="shared" si="68"/>
        <v>Did not Meet</v>
      </c>
      <c r="AR260" s="366" t="str">
        <f t="shared" si="59"/>
        <v>Met</v>
      </c>
      <c r="AU260" s="400" t="str">
        <f t="shared" si="69"/>
        <v>Did not Meet</v>
      </c>
      <c r="AX260" s="400" t="str">
        <f t="shared" si="70"/>
        <v>Did not Meet</v>
      </c>
      <c r="BA260" s="400" t="str">
        <f t="shared" si="71"/>
        <v>Did not Meet</v>
      </c>
      <c r="BD260" s="400" t="str">
        <f t="shared" si="72"/>
        <v>Did not Meet</v>
      </c>
      <c r="BF260" s="366" t="str">
        <f t="shared" si="60"/>
        <v>Met</v>
      </c>
    </row>
    <row r="261" spans="1:58">
      <c r="A261" t="s">
        <v>707</v>
      </c>
      <c r="B261" t="s">
        <v>1073</v>
      </c>
      <c r="C261" s="360"/>
      <c r="D261" s="363">
        <v>0</v>
      </c>
      <c r="E261" t="s">
        <v>834</v>
      </c>
      <c r="F261" s="360"/>
      <c r="G261" s="363">
        <v>47212.04</v>
      </c>
      <c r="H261" t="s">
        <v>834</v>
      </c>
      <c r="I261" s="360"/>
      <c r="J261" s="363">
        <v>0</v>
      </c>
      <c r="K261" t="s">
        <v>834</v>
      </c>
      <c r="L261" s="360"/>
      <c r="M261" s="363">
        <v>5901.5050000000001</v>
      </c>
      <c r="N261" t="s">
        <v>855</v>
      </c>
      <c r="O261" s="360"/>
      <c r="P261" s="366" t="str">
        <f t="shared" si="73"/>
        <v>Met</v>
      </c>
      <c r="Q261" s="360"/>
      <c r="R261" s="399">
        <v>0</v>
      </c>
      <c r="S261" s="400" t="str">
        <f t="shared" si="61"/>
        <v>Met</v>
      </c>
      <c r="U261" s="399">
        <v>52175.06</v>
      </c>
      <c r="V261" s="400" t="str">
        <f t="shared" si="62"/>
        <v>Met</v>
      </c>
      <c r="X261" s="399">
        <v>0</v>
      </c>
      <c r="Y261" s="400" t="str">
        <f t="shared" si="63"/>
        <v>Met</v>
      </c>
      <c r="AA261" s="399">
        <v>8695.8433333333323</v>
      </c>
      <c r="AB261" s="400" t="str">
        <f t="shared" si="64"/>
        <v>Did not Meet</v>
      </c>
      <c r="AD261" s="366" t="str">
        <f t="shared" ref="AD261:AD314" si="74">IF(AND(P261="Did not Meet",S261="Did not Meet",V261="Did not Meet", Y261="Did not Meet",AB261="Did not Meet",),"Did not Meet","Met")</f>
        <v>Met</v>
      </c>
      <c r="AF261" s="399">
        <v>0</v>
      </c>
      <c r="AG261" s="400" t="str">
        <f t="shared" si="65"/>
        <v>Met</v>
      </c>
      <c r="AI261" s="399">
        <v>48793.69</v>
      </c>
      <c r="AJ261" s="400" t="str">
        <f t="shared" si="66"/>
        <v>Did not Meet</v>
      </c>
      <c r="AL261" s="399">
        <f>VLOOKUP(A261,$A$5:$AF$315,32,0)/IFERROR(VLOOKUP(A261,'21-22 child count'!$A$3:$S$317,19,0),0)</f>
        <v>0</v>
      </c>
      <c r="AM261" s="400" t="str">
        <f t="shared" si="67"/>
        <v>Met</v>
      </c>
      <c r="AO261" s="399">
        <f>VLOOKUP(A261,'42. SEA or LEA Worksheet'!$A$4:$AB$318,28,0)/IFERROR(VLOOKUP('42. SEA or LEA Worksheet'!A255,'21-22 child count'!$A$3:$S$317,3,0),0)</f>
        <v>483.10584158415844</v>
      </c>
      <c r="AP261" s="400" t="str">
        <f t="shared" si="68"/>
        <v>Did not Meet</v>
      </c>
      <c r="AR261" s="366" t="str">
        <f t="shared" si="59"/>
        <v>Met</v>
      </c>
      <c r="AU261" s="400" t="str">
        <f t="shared" si="69"/>
        <v>Met</v>
      </c>
      <c r="AX261" s="400" t="str">
        <f t="shared" si="70"/>
        <v>Did not Meet</v>
      </c>
      <c r="BA261" s="400" t="str">
        <f t="shared" si="71"/>
        <v>Met</v>
      </c>
      <c r="BD261" s="400" t="str">
        <f t="shared" si="72"/>
        <v>Did not Meet</v>
      </c>
      <c r="BF261" s="366" t="str">
        <f t="shared" si="60"/>
        <v>Met</v>
      </c>
    </row>
    <row r="262" spans="1:58">
      <c r="A262" t="s">
        <v>709</v>
      </c>
      <c r="B262" t="s">
        <v>1074</v>
      </c>
      <c r="C262" s="360"/>
      <c r="D262" s="363">
        <v>0</v>
      </c>
      <c r="E262" t="s">
        <v>834</v>
      </c>
      <c r="F262" s="360"/>
      <c r="G262" s="363">
        <v>1423619.37</v>
      </c>
      <c r="H262" t="s">
        <v>834</v>
      </c>
      <c r="I262" s="360"/>
      <c r="J262" s="363">
        <v>0</v>
      </c>
      <c r="K262" t="s">
        <v>834</v>
      </c>
      <c r="L262" s="360"/>
      <c r="M262" s="363">
        <v>8953.5809433962277</v>
      </c>
      <c r="N262" t="s">
        <v>834</v>
      </c>
      <c r="O262" s="360"/>
      <c r="P262" s="366" t="str">
        <f t="shared" si="73"/>
        <v>Met</v>
      </c>
      <c r="Q262" s="360"/>
      <c r="R262" s="399">
        <v>0</v>
      </c>
      <c r="S262" s="400" t="str">
        <f t="shared" si="61"/>
        <v>Met</v>
      </c>
      <c r="U262" s="399">
        <v>1401999.4</v>
      </c>
      <c r="V262" s="400" t="str">
        <f t="shared" si="62"/>
        <v>Met</v>
      </c>
      <c r="X262" s="399">
        <v>0</v>
      </c>
      <c r="Y262" s="400" t="str">
        <f t="shared" si="63"/>
        <v>Met</v>
      </c>
      <c r="AA262" s="399">
        <v>9804.1916083916076</v>
      </c>
      <c r="AB262" s="400" t="str">
        <f t="shared" si="64"/>
        <v>Met</v>
      </c>
      <c r="AD262" s="366" t="str">
        <f t="shared" si="74"/>
        <v>Met</v>
      </c>
      <c r="AF262" s="399">
        <v>0</v>
      </c>
      <c r="AG262" s="400" t="str">
        <f t="shared" si="65"/>
        <v>Met</v>
      </c>
      <c r="AI262" s="399">
        <v>1350476.42</v>
      </c>
      <c r="AJ262" s="400" t="str">
        <f t="shared" si="66"/>
        <v>Did not Meet</v>
      </c>
      <c r="AL262" s="399">
        <f>VLOOKUP(A262,$A$5:$AF$315,32,0)/IFERROR(VLOOKUP(A262,'21-22 child count'!$A$3:$S$317,19,0),0)</f>
        <v>0</v>
      </c>
      <c r="AM262" s="400" t="str">
        <f t="shared" si="67"/>
        <v>Met</v>
      </c>
      <c r="AO262" s="399">
        <f>VLOOKUP(A262,'42. SEA or LEA Worksheet'!$A$4:$AB$318,28,0)/IFERROR(VLOOKUP('42. SEA or LEA Worksheet'!A256,'21-22 child count'!$A$3:$S$317,3,0),0)</f>
        <v>13371.053663366336</v>
      </c>
      <c r="AP262" s="400" t="str">
        <f t="shared" si="68"/>
        <v>Met</v>
      </c>
      <c r="AR262" s="366" t="str">
        <f t="shared" ref="AR262:AR315" si="75">IF(AND(AD262="Did not Meet",AG262="Did not Meet",AJ262="Did not Meet", AM262="Did not Meet",AP262="Did not Meet",),"Did not Meet","Met")</f>
        <v>Met</v>
      </c>
      <c r="AU262" s="400" t="str">
        <f t="shared" si="69"/>
        <v>Met</v>
      </c>
      <c r="AX262" s="400" t="str">
        <f t="shared" si="70"/>
        <v>Did not Meet</v>
      </c>
      <c r="BA262" s="400" t="str">
        <f t="shared" si="71"/>
        <v>Met</v>
      </c>
      <c r="BD262" s="400" t="str">
        <f t="shared" si="72"/>
        <v>Did not Meet</v>
      </c>
      <c r="BF262" s="366" t="str">
        <f t="shared" ref="BF262:BF315" si="76">IF(AND(AR262="Did not Meet",AU262="Did not Meet",AX262="Did not Meet", BA262="Did not Meet",BD262="Did not Meet",),"Did not Meet","Met")</f>
        <v>Met</v>
      </c>
    </row>
    <row r="263" spans="1:58">
      <c r="A263" t="s">
        <v>259</v>
      </c>
      <c r="B263" t="s">
        <v>866</v>
      </c>
      <c r="C263" s="360"/>
      <c r="D263" s="363">
        <v>1767834</v>
      </c>
      <c r="E263" t="s">
        <v>834</v>
      </c>
      <c r="F263" s="360"/>
      <c r="G263" s="363">
        <v>7462734.5300000003</v>
      </c>
      <c r="H263" t="s">
        <v>834</v>
      </c>
      <c r="I263" s="360"/>
      <c r="J263" s="363">
        <v>3249.6948529411766</v>
      </c>
      <c r="K263" t="s">
        <v>834</v>
      </c>
      <c r="L263" s="360"/>
      <c r="M263" s="363">
        <v>13718.262003676471</v>
      </c>
      <c r="N263" t="s">
        <v>834</v>
      </c>
      <c r="O263" s="360"/>
      <c r="P263" s="366" t="str">
        <f t="shared" si="73"/>
        <v>Met</v>
      </c>
      <c r="Q263" s="360"/>
      <c r="R263" s="399">
        <v>1101110.04</v>
      </c>
      <c r="S263" s="400" t="str">
        <f t="shared" si="61"/>
        <v>Did not Meet</v>
      </c>
      <c r="U263" s="399">
        <v>6237991.0200000005</v>
      </c>
      <c r="V263" s="400" t="str">
        <f t="shared" si="62"/>
        <v>Met</v>
      </c>
      <c r="X263" s="399">
        <v>2289.2100623700626</v>
      </c>
      <c r="Y263" s="400" t="str">
        <f t="shared" si="63"/>
        <v>Did not Meet</v>
      </c>
      <c r="AA263" s="399">
        <v>12968.796299376301</v>
      </c>
      <c r="AB263" s="400" t="str">
        <f t="shared" si="64"/>
        <v>Did not Meet</v>
      </c>
      <c r="AD263" s="366" t="str">
        <f t="shared" si="74"/>
        <v>Met</v>
      </c>
      <c r="AF263" s="399">
        <v>1101111.04</v>
      </c>
      <c r="AG263" s="400" t="str">
        <f t="shared" si="65"/>
        <v>Did not Meet</v>
      </c>
      <c r="AI263" s="399">
        <v>7657303.0200000005</v>
      </c>
      <c r="AJ263" s="400" t="str">
        <f t="shared" si="66"/>
        <v>Met</v>
      </c>
      <c r="AL263" s="399">
        <f>VLOOKUP(A263,$A$5:$AF$315,32,0)/IFERROR(VLOOKUP(A263,'21-22 child count'!$A$3:$S$317,19,0),0)</f>
        <v>2308.4088888888891</v>
      </c>
      <c r="AM263" s="400" t="str">
        <f t="shared" si="67"/>
        <v>Did not Meet</v>
      </c>
      <c r="AO263" s="399">
        <f>VLOOKUP(A263,'42. SEA or LEA Worksheet'!$A$4:$AB$318,28,0)/IFERROR(VLOOKUP('42. SEA or LEA Worksheet'!A35,'21-22 child count'!$A$3:$S$317,3,0),0)</f>
        <v>57619.639203539824</v>
      </c>
      <c r="AP263" s="400" t="str">
        <f t="shared" si="68"/>
        <v>Did not Meet</v>
      </c>
      <c r="AR263" s="366" t="str">
        <f t="shared" si="75"/>
        <v>Met</v>
      </c>
      <c r="AU263" s="400" t="str">
        <f t="shared" si="69"/>
        <v>Did not Meet</v>
      </c>
      <c r="AX263" s="400" t="str">
        <f t="shared" si="70"/>
        <v>Did not Meet</v>
      </c>
      <c r="BA263" s="400" t="str">
        <f t="shared" si="71"/>
        <v>Did not Meet</v>
      </c>
      <c r="BD263" s="400" t="str">
        <f t="shared" si="72"/>
        <v>Did not Meet</v>
      </c>
      <c r="BF263" s="366" t="str">
        <f t="shared" si="76"/>
        <v>Met</v>
      </c>
    </row>
    <row r="264" spans="1:58">
      <c r="A264" t="s">
        <v>713</v>
      </c>
      <c r="B264" t="s">
        <v>1076</v>
      </c>
      <c r="C264" s="360"/>
      <c r="D264" s="363">
        <v>0</v>
      </c>
      <c r="E264" t="s">
        <v>834</v>
      </c>
      <c r="F264" s="360"/>
      <c r="G264" s="363">
        <v>579055.32999999996</v>
      </c>
      <c r="H264" t="s">
        <v>879</v>
      </c>
      <c r="I264" s="360"/>
      <c r="J264" s="363">
        <v>0</v>
      </c>
      <c r="K264" t="s">
        <v>834</v>
      </c>
      <c r="L264" s="360"/>
      <c r="M264" s="363">
        <v>7520.19909090909</v>
      </c>
      <c r="N264" t="s">
        <v>855</v>
      </c>
      <c r="O264" s="360"/>
      <c r="P264" s="366" t="str">
        <f t="shared" si="73"/>
        <v>Met</v>
      </c>
      <c r="Q264" s="360"/>
      <c r="R264" s="399">
        <v>0</v>
      </c>
      <c r="S264" s="400" t="str">
        <f t="shared" ref="S264:S306" si="77">IF(AND(E264="Met",R264&gt;=D264),"Met","Did not Meet")</f>
        <v>Met</v>
      </c>
      <c r="U264" s="399">
        <v>837294.65</v>
      </c>
      <c r="V264" s="400" t="str">
        <f t="shared" ref="V264:V306" si="78">IF(AND(H264="Met",U264&gt;=M264),"Met","Did not Meet")</f>
        <v>Did not Meet</v>
      </c>
      <c r="X264" s="399">
        <v>0</v>
      </c>
      <c r="Y264" s="400" t="str">
        <f t="shared" ref="Y264:Y306" si="79">IF(AND(K264="Met",X264&gt;=J264),"Met","Did not Meet")</f>
        <v>Met</v>
      </c>
      <c r="AA264" s="399">
        <v>11163.928666666667</v>
      </c>
      <c r="AB264" s="400" t="str">
        <f t="shared" ref="AB264:AB306" si="80">IF(AND(N264="Met",AA264&gt;=M264),"Met","Did not Meet")</f>
        <v>Did not Meet</v>
      </c>
      <c r="AD264" s="366" t="str">
        <f t="shared" si="74"/>
        <v>Met</v>
      </c>
      <c r="AF264" s="399">
        <v>10991.68</v>
      </c>
      <c r="AG264" s="400" t="str">
        <f t="shared" ref="AG264:AG314" si="81">IF(AND(S264="Met",AF264&gt;=R264),"Met","Did not Meet")</f>
        <v>Met</v>
      </c>
      <c r="AI264" s="399">
        <v>773183.5</v>
      </c>
      <c r="AJ264" s="400" t="str">
        <f t="shared" ref="AJ264:AJ314" si="82">IF(AND(V264="Met",AI264&gt;=U264),"Met","Did not Meet")</f>
        <v>Did not Meet</v>
      </c>
      <c r="AL264" s="399">
        <f>VLOOKUP(A264,$A$5:$AF$315,32,0)/IFERROR(VLOOKUP(A264,'21-22 child count'!$A$3:$S$317,19,0),0)</f>
        <v>127.81023255813953</v>
      </c>
      <c r="AM264" s="400" t="str">
        <f t="shared" ref="AM264:AM314" si="83">IF(AND(Y264="Met",AL264&gt;=X264),"Met","Did not Meet")</f>
        <v>Met</v>
      </c>
      <c r="AO264" s="399">
        <f>AI264/'21-22 child count'!S263</f>
        <v>8990.5058139534885</v>
      </c>
      <c r="AP264" s="400" t="str">
        <f t="shared" ref="AP264:AP314" si="84">IF(AND(AB264="Met",AO264&gt;=AA264),"Met","Did not Meet")</f>
        <v>Did not Meet</v>
      </c>
      <c r="AR264" s="366" t="str">
        <f t="shared" si="75"/>
        <v>Met</v>
      </c>
      <c r="AU264" s="400" t="str">
        <f t="shared" si="69"/>
        <v>Did not Meet</v>
      </c>
      <c r="AX264" s="400" t="str">
        <f t="shared" si="70"/>
        <v>Did not Meet</v>
      </c>
      <c r="BA264" s="400" t="str">
        <f t="shared" si="71"/>
        <v>Did not Meet</v>
      </c>
      <c r="BD264" s="400" t="str">
        <f t="shared" si="72"/>
        <v>Did not Meet</v>
      </c>
      <c r="BF264" s="366" t="str">
        <f t="shared" si="76"/>
        <v>Met</v>
      </c>
    </row>
    <row r="265" spans="1:58">
      <c r="A265" t="s">
        <v>715</v>
      </c>
      <c r="B265" t="s">
        <v>1077</v>
      </c>
      <c r="C265" s="360"/>
      <c r="D265" s="363">
        <v>0</v>
      </c>
      <c r="E265" t="s">
        <v>834</v>
      </c>
      <c r="F265" s="360"/>
      <c r="G265" s="363">
        <v>250004.72</v>
      </c>
      <c r="H265" t="s">
        <v>879</v>
      </c>
      <c r="I265" s="360"/>
      <c r="J265" s="363">
        <v>0</v>
      </c>
      <c r="K265" t="s">
        <v>834</v>
      </c>
      <c r="L265" s="360"/>
      <c r="M265" s="363">
        <v>5681.9254545454542</v>
      </c>
      <c r="N265" t="s">
        <v>855</v>
      </c>
      <c r="O265" s="360"/>
      <c r="P265" s="366" t="str">
        <f t="shared" si="73"/>
        <v>Met</v>
      </c>
      <c r="Q265" s="360"/>
      <c r="R265" s="399">
        <v>0</v>
      </c>
      <c r="S265" s="400" t="str">
        <f t="shared" si="77"/>
        <v>Met</v>
      </c>
      <c r="U265" s="399">
        <v>364178.59</v>
      </c>
      <c r="V265" s="400" t="str">
        <f t="shared" si="78"/>
        <v>Did not Meet</v>
      </c>
      <c r="X265" s="399">
        <v>0</v>
      </c>
      <c r="Y265" s="400" t="str">
        <f t="shared" si="79"/>
        <v>Met</v>
      </c>
      <c r="AA265" s="399">
        <v>11747.696451612905</v>
      </c>
      <c r="AB265" s="400" t="str">
        <f t="shared" si="80"/>
        <v>Did not Meet</v>
      </c>
      <c r="AD265" s="366" t="str">
        <f t="shared" si="74"/>
        <v>Met</v>
      </c>
      <c r="AF265" s="399">
        <v>0</v>
      </c>
      <c r="AG265" s="400" t="str">
        <f t="shared" si="81"/>
        <v>Met</v>
      </c>
      <c r="AI265" s="399">
        <v>315147.05</v>
      </c>
      <c r="AJ265" s="400" t="str">
        <f t="shared" si="82"/>
        <v>Did not Meet</v>
      </c>
      <c r="AL265" s="399">
        <f>VLOOKUP(A265,$A$5:$AF$315,32,0)/IFERROR(VLOOKUP(A265,'21-22 child count'!$A$3:$S$317,19,0),0)</f>
        <v>0</v>
      </c>
      <c r="AM265" s="400" t="str">
        <f t="shared" si="83"/>
        <v>Met</v>
      </c>
      <c r="AO265" s="399">
        <f>VLOOKUP(A265,'42. SEA or LEA Worksheet'!$A$4:$AB$318,28,0)/IFERROR(VLOOKUP('42. SEA or LEA Worksheet'!A259,'21-22 child count'!$A$3:$S$317,3,0),0)</f>
        <v>2562.1711382113822</v>
      </c>
      <c r="AP265" s="400" t="str">
        <f t="shared" si="84"/>
        <v>Did not Meet</v>
      </c>
      <c r="AR265" s="366" t="str">
        <f t="shared" si="75"/>
        <v>Met</v>
      </c>
      <c r="AU265" s="400" t="str">
        <f t="shared" si="69"/>
        <v>Met</v>
      </c>
      <c r="AX265" s="400" t="str">
        <f t="shared" si="70"/>
        <v>Did not Meet</v>
      </c>
      <c r="BA265" s="400" t="str">
        <f t="shared" si="71"/>
        <v>Met</v>
      </c>
      <c r="BD265" s="400" t="str">
        <f t="shared" si="72"/>
        <v>Did not Meet</v>
      </c>
      <c r="BF265" s="366" t="str">
        <f t="shared" si="76"/>
        <v>Met</v>
      </c>
    </row>
    <row r="266" spans="1:58">
      <c r="A266" t="s">
        <v>717</v>
      </c>
      <c r="B266" t="s">
        <v>1078</v>
      </c>
      <c r="C266" s="360"/>
      <c r="D266" s="363">
        <v>0</v>
      </c>
      <c r="E266" t="s">
        <v>834</v>
      </c>
      <c r="F266" s="360"/>
      <c r="G266" s="363">
        <v>423804.83</v>
      </c>
      <c r="H266" t="s">
        <v>834</v>
      </c>
      <c r="I266" s="360"/>
      <c r="J266" s="363">
        <v>0</v>
      </c>
      <c r="K266" t="s">
        <v>834</v>
      </c>
      <c r="L266" s="360"/>
      <c r="M266" s="363">
        <v>6835.5617741935484</v>
      </c>
      <c r="N266" t="s">
        <v>834</v>
      </c>
      <c r="O266" s="360"/>
      <c r="P266" s="366" t="str">
        <f t="shared" si="73"/>
        <v>Met</v>
      </c>
      <c r="Q266" s="360"/>
      <c r="R266" s="399">
        <v>0</v>
      </c>
      <c r="S266" s="400" t="str">
        <f t="shared" si="77"/>
        <v>Met</v>
      </c>
      <c r="U266" s="399">
        <v>565374.4</v>
      </c>
      <c r="V266" s="400" t="str">
        <f t="shared" si="78"/>
        <v>Met</v>
      </c>
      <c r="X266" s="399">
        <v>0</v>
      </c>
      <c r="Y266" s="400" t="str">
        <f t="shared" si="79"/>
        <v>Met</v>
      </c>
      <c r="AA266" s="399">
        <v>8698.0676923076935</v>
      </c>
      <c r="AB266" s="400" t="str">
        <f t="shared" si="80"/>
        <v>Met</v>
      </c>
      <c r="AD266" s="366" t="str">
        <f t="shared" si="74"/>
        <v>Met</v>
      </c>
      <c r="AF266" s="399">
        <v>0</v>
      </c>
      <c r="AG266" s="400" t="str">
        <f t="shared" si="81"/>
        <v>Met</v>
      </c>
      <c r="AI266" s="399">
        <v>409826.18</v>
      </c>
      <c r="AJ266" s="400" t="str">
        <f t="shared" si="82"/>
        <v>Did not Meet</v>
      </c>
      <c r="AL266" s="399">
        <f>VLOOKUP(A266,$A$5:$AF$315,32,0)/IFERROR(VLOOKUP(A266,'21-22 child count'!$A$3:$S$317,19,0),0)</f>
        <v>0</v>
      </c>
      <c r="AM266" s="400" t="str">
        <f t="shared" si="83"/>
        <v>Met</v>
      </c>
      <c r="AO266" s="399">
        <f>AI266/'21-22 child count'!S264</f>
        <v>6830.4363333333331</v>
      </c>
      <c r="AP266" s="400" t="str">
        <f t="shared" si="84"/>
        <v>Did not Meet</v>
      </c>
      <c r="AR266" s="366" t="str">
        <f t="shared" si="75"/>
        <v>Met</v>
      </c>
      <c r="AU266" s="400" t="str">
        <f t="shared" ref="AU266:AU315" si="85">IF(AND(AG266="Met",AT266&gt;=AF266),"Met","Did not Meet")</f>
        <v>Met</v>
      </c>
      <c r="AX266" s="400" t="str">
        <f t="shared" ref="AX266:AX315" si="86">IF(AND(AJ266="Met",AW266&gt;=AI266),"Met","Did not Meet")</f>
        <v>Did not Meet</v>
      </c>
      <c r="BA266" s="400" t="str">
        <f t="shared" ref="BA266:BA315" si="87">IF(AND(AM266="Met",AZ266&gt;=AL266),"Met","Did not Meet")</f>
        <v>Met</v>
      </c>
      <c r="BD266" s="400" t="str">
        <f t="shared" ref="BD266:BD315" si="88">IF(AND(AP266="Met",BC266&gt;=AO266),"Met","Did not Meet")</f>
        <v>Did not Meet</v>
      </c>
      <c r="BF266" s="366" t="str">
        <f t="shared" si="76"/>
        <v>Met</v>
      </c>
    </row>
    <row r="267" spans="1:58">
      <c r="A267" t="s">
        <v>347</v>
      </c>
      <c r="B267" t="s">
        <v>910</v>
      </c>
      <c r="C267" s="360"/>
      <c r="D267" s="363">
        <v>7474633.1699999999</v>
      </c>
      <c r="E267" t="s">
        <v>855</v>
      </c>
      <c r="F267" s="360"/>
      <c r="G267" s="363">
        <v>46284091.789999999</v>
      </c>
      <c r="H267" t="s">
        <v>834</v>
      </c>
      <c r="I267" s="360"/>
      <c r="J267" s="363">
        <v>2139.2768088151115</v>
      </c>
      <c r="K267" t="s">
        <v>855</v>
      </c>
      <c r="L267" s="360"/>
      <c r="M267" s="363">
        <v>13246.734914138522</v>
      </c>
      <c r="N267" t="s">
        <v>834</v>
      </c>
      <c r="O267" s="360"/>
      <c r="P267" s="366" t="str">
        <f t="shared" si="73"/>
        <v>Met</v>
      </c>
      <c r="Q267" s="360"/>
      <c r="R267" s="399">
        <v>7781327.3899999997</v>
      </c>
      <c r="S267" s="400" t="str">
        <f t="shared" si="77"/>
        <v>Did not Meet</v>
      </c>
      <c r="U267" s="399">
        <v>48051605.200000003</v>
      </c>
      <c r="V267" s="400" t="str">
        <f t="shared" si="78"/>
        <v>Met</v>
      </c>
      <c r="X267" s="399">
        <v>2317.2505628350209</v>
      </c>
      <c r="Y267" s="400" t="str">
        <f t="shared" si="79"/>
        <v>Did not Meet</v>
      </c>
      <c r="AA267" s="399">
        <v>14309.590589636689</v>
      </c>
      <c r="AB267" s="400" t="str">
        <f t="shared" si="80"/>
        <v>Met</v>
      </c>
      <c r="AD267" s="366" t="str">
        <f t="shared" si="74"/>
        <v>Met</v>
      </c>
      <c r="AF267" s="399">
        <v>8070900.0999999996</v>
      </c>
      <c r="AG267" s="400" t="str">
        <f t="shared" si="81"/>
        <v>Did not Meet</v>
      </c>
      <c r="AI267" s="399">
        <v>58496726.710000001</v>
      </c>
      <c r="AJ267" s="400" t="str">
        <f t="shared" si="82"/>
        <v>Met</v>
      </c>
      <c r="AL267" s="399">
        <f>VLOOKUP(A267,$A$5:$AF$315,32,0)/IFERROR(VLOOKUP(A267,'21-22 child count'!$A$3:$S$317,19,0),0)</f>
        <v>2479.5392012288785</v>
      </c>
      <c r="AM267" s="400" t="str">
        <f t="shared" si="83"/>
        <v>Did not Meet</v>
      </c>
      <c r="AO267" s="399">
        <f>VLOOKUP(A267,'42. SEA or LEA Worksheet'!$A$4:$AB$318,28,0)/IFERROR(VLOOKUP('42. SEA or LEA Worksheet'!A79,'21-22 child count'!$A$3:$S$317,3,0),0)</f>
        <v>265300.02873015875</v>
      </c>
      <c r="AP267" s="400" t="str">
        <f t="shared" si="84"/>
        <v>Met</v>
      </c>
      <c r="AR267" s="366" t="str">
        <f t="shared" si="75"/>
        <v>Met</v>
      </c>
      <c r="AU267" s="400" t="str">
        <f t="shared" si="85"/>
        <v>Did not Meet</v>
      </c>
      <c r="AX267" s="400" t="str">
        <f t="shared" si="86"/>
        <v>Did not Meet</v>
      </c>
      <c r="BA267" s="400" t="str">
        <f t="shared" si="87"/>
        <v>Did not Meet</v>
      </c>
      <c r="BD267" s="400" t="str">
        <f t="shared" si="88"/>
        <v>Did not Meet</v>
      </c>
      <c r="BF267" s="366" t="str">
        <f t="shared" si="76"/>
        <v>Met</v>
      </c>
    </row>
    <row r="268" spans="1:58">
      <c r="A268" t="s">
        <v>721</v>
      </c>
      <c r="B268" t="s">
        <v>1080</v>
      </c>
      <c r="C268" s="360"/>
      <c r="D268" s="363">
        <v>1399153.13</v>
      </c>
      <c r="E268" t="s">
        <v>855</v>
      </c>
      <c r="F268" s="360"/>
      <c r="G268" s="363">
        <v>15957749.800000001</v>
      </c>
      <c r="H268" t="s">
        <v>834</v>
      </c>
      <c r="I268" s="360"/>
      <c r="J268" s="363">
        <v>1161.1229294605807</v>
      </c>
      <c r="K268" t="s">
        <v>855</v>
      </c>
      <c r="L268" s="360"/>
      <c r="M268" s="363">
        <v>13242.945892116184</v>
      </c>
      <c r="N268" t="s">
        <v>855</v>
      </c>
      <c r="O268" s="360"/>
      <c r="P268" s="366" t="str">
        <f t="shared" si="73"/>
        <v>Met</v>
      </c>
      <c r="Q268" s="360"/>
      <c r="R268" s="399">
        <v>2838249.66</v>
      </c>
      <c r="S268" s="400" t="str">
        <f t="shared" si="77"/>
        <v>Did not Meet</v>
      </c>
      <c r="U268" s="399">
        <v>17432566.699999999</v>
      </c>
      <c r="V268" s="400" t="str">
        <f t="shared" si="78"/>
        <v>Met</v>
      </c>
      <c r="X268" s="399">
        <v>2483.1580577427821</v>
      </c>
      <c r="Y268" s="400" t="str">
        <f t="shared" si="79"/>
        <v>Did not Meet</v>
      </c>
      <c r="AA268" s="399">
        <v>15251.589413823271</v>
      </c>
      <c r="AB268" s="400" t="str">
        <f t="shared" si="80"/>
        <v>Did not Meet</v>
      </c>
      <c r="AD268" s="366" t="str">
        <f t="shared" si="74"/>
        <v>Met</v>
      </c>
      <c r="AF268" s="399">
        <v>2206793.87</v>
      </c>
      <c r="AG268" s="400" t="str">
        <f t="shared" si="81"/>
        <v>Did not Meet</v>
      </c>
      <c r="AI268" s="399">
        <v>20342314.400000002</v>
      </c>
      <c r="AJ268" s="400" t="str">
        <f t="shared" si="82"/>
        <v>Met</v>
      </c>
      <c r="AL268" s="399">
        <f>VLOOKUP(A268,$A$5:$AF$315,32,0)/IFERROR(VLOOKUP(A268,'21-22 child count'!$A$3:$S$317,19,0),0)</f>
        <v>1769.6823336006416</v>
      </c>
      <c r="AM268" s="400" t="str">
        <f t="shared" si="83"/>
        <v>Did not Meet</v>
      </c>
      <c r="AO268" s="399">
        <f>VLOOKUP(A268,'42. SEA or LEA Worksheet'!$A$4:$AB$318,28,0)/IFERROR(VLOOKUP('42. SEA or LEA Worksheet'!A262,'21-22 child count'!$A$3:$S$317,3,0),0)</f>
        <v>179010.4175247525</v>
      </c>
      <c r="AP268" s="400" t="str">
        <f t="shared" si="84"/>
        <v>Did not Meet</v>
      </c>
      <c r="AR268" s="366" t="str">
        <f t="shared" si="75"/>
        <v>Met</v>
      </c>
      <c r="AU268" s="400" t="str">
        <f t="shared" si="85"/>
        <v>Did not Meet</v>
      </c>
      <c r="AX268" s="400" t="str">
        <f t="shared" si="86"/>
        <v>Did not Meet</v>
      </c>
      <c r="BA268" s="400" t="str">
        <f t="shared" si="87"/>
        <v>Did not Meet</v>
      </c>
      <c r="BD268" s="400" t="str">
        <f t="shared" si="88"/>
        <v>Did not Meet</v>
      </c>
      <c r="BF268" s="366" t="str">
        <f t="shared" si="76"/>
        <v>Met</v>
      </c>
    </row>
    <row r="269" spans="1:58">
      <c r="A269" t="s">
        <v>315</v>
      </c>
      <c r="B269" t="s">
        <v>895</v>
      </c>
      <c r="C269" s="360"/>
      <c r="D269" s="363">
        <v>850005.97</v>
      </c>
      <c r="E269" t="s">
        <v>855</v>
      </c>
      <c r="F269" s="360"/>
      <c r="G269" s="363">
        <v>3497160.5300000003</v>
      </c>
      <c r="H269" t="s">
        <v>834</v>
      </c>
      <c r="I269" s="360"/>
      <c r="J269" s="363">
        <v>4250.0298499999999</v>
      </c>
      <c r="K269" t="s">
        <v>855</v>
      </c>
      <c r="L269" s="360"/>
      <c r="M269" s="363">
        <v>17485.802650000001</v>
      </c>
      <c r="N269" t="s">
        <v>855</v>
      </c>
      <c r="O269" s="360"/>
      <c r="P269" s="366" t="str">
        <f t="shared" si="73"/>
        <v>Met</v>
      </c>
      <c r="Q269" s="360"/>
      <c r="R269" s="399">
        <v>452209.37</v>
      </c>
      <c r="S269" s="400" t="str">
        <f t="shared" si="77"/>
        <v>Did not Meet</v>
      </c>
      <c r="U269" s="399">
        <v>3486441.2800000003</v>
      </c>
      <c r="V269" s="400" t="str">
        <f t="shared" si="78"/>
        <v>Met</v>
      </c>
      <c r="X269" s="399">
        <v>2512.2742777777776</v>
      </c>
      <c r="Y269" s="400" t="str">
        <f t="shared" si="79"/>
        <v>Did not Meet</v>
      </c>
      <c r="AA269" s="399">
        <v>19369.118222222223</v>
      </c>
      <c r="AB269" s="400" t="str">
        <f t="shared" si="80"/>
        <v>Did not Meet</v>
      </c>
      <c r="AD269" s="366" t="str">
        <f t="shared" si="74"/>
        <v>Met</v>
      </c>
      <c r="AF269" s="399">
        <v>402889.18</v>
      </c>
      <c r="AG269" s="400" t="str">
        <f t="shared" si="81"/>
        <v>Did not Meet</v>
      </c>
      <c r="AI269" s="399">
        <v>3870566.75</v>
      </c>
      <c r="AJ269" s="400" t="str">
        <f t="shared" si="82"/>
        <v>Met</v>
      </c>
      <c r="AL269" s="399">
        <f>VLOOKUP(A269,$A$5:$AF$315,32,0)/IFERROR(VLOOKUP(A269,'21-22 child count'!$A$3:$S$317,19,0),0)</f>
        <v>2315.4550574712644</v>
      </c>
      <c r="AM269" s="400" t="str">
        <f t="shared" si="83"/>
        <v>Did not Meet</v>
      </c>
      <c r="AO269" s="399">
        <f>VLOOKUP(A269,'42. SEA or LEA Worksheet'!$A$4:$AB$318,28,0)/IFERROR(VLOOKUP('42. SEA or LEA Worksheet'!A63,'21-22 child count'!$A$3:$S$317,3,0),0)</f>
        <v>34239.366633663369</v>
      </c>
      <c r="AP269" s="400" t="str">
        <f t="shared" si="84"/>
        <v>Did not Meet</v>
      </c>
      <c r="AR269" s="366" t="str">
        <f t="shared" si="75"/>
        <v>Met</v>
      </c>
      <c r="AU269" s="400" t="str">
        <f t="shared" si="85"/>
        <v>Did not Meet</v>
      </c>
      <c r="AX269" s="400" t="str">
        <f t="shared" si="86"/>
        <v>Did not Meet</v>
      </c>
      <c r="BA269" s="400" t="str">
        <f t="shared" si="87"/>
        <v>Did not Meet</v>
      </c>
      <c r="BD269" s="400" t="str">
        <f t="shared" si="88"/>
        <v>Did not Meet</v>
      </c>
      <c r="BF269" s="366" t="str">
        <f t="shared" si="76"/>
        <v>Met</v>
      </c>
    </row>
    <row r="270" spans="1:58">
      <c r="A270" t="s">
        <v>725</v>
      </c>
      <c r="B270" t="s">
        <v>1082</v>
      </c>
      <c r="C270" s="360"/>
      <c r="D270" s="363">
        <v>0</v>
      </c>
      <c r="E270" t="s">
        <v>834</v>
      </c>
      <c r="F270" s="360"/>
      <c r="G270" s="363">
        <v>115789.27</v>
      </c>
      <c r="H270" t="s">
        <v>834</v>
      </c>
      <c r="I270" s="360"/>
      <c r="J270" s="363">
        <v>0</v>
      </c>
      <c r="K270" t="s">
        <v>834</v>
      </c>
      <c r="L270" s="360"/>
      <c r="M270" s="363">
        <v>6811.1335294117653</v>
      </c>
      <c r="N270" t="s">
        <v>834</v>
      </c>
      <c r="O270" s="360"/>
      <c r="P270" s="366" t="str">
        <f t="shared" si="73"/>
        <v>Met</v>
      </c>
      <c r="Q270" s="360"/>
      <c r="R270" s="399">
        <v>0</v>
      </c>
      <c r="S270" s="400" t="str">
        <f t="shared" si="77"/>
        <v>Met</v>
      </c>
      <c r="U270" s="399">
        <v>131233.5</v>
      </c>
      <c r="V270" s="400" t="str">
        <f t="shared" si="78"/>
        <v>Met</v>
      </c>
      <c r="X270" s="399">
        <v>0</v>
      </c>
      <c r="Y270" s="400" t="str">
        <f t="shared" si="79"/>
        <v>Met</v>
      </c>
      <c r="AA270" s="399">
        <v>7290.75</v>
      </c>
      <c r="AB270" s="400" t="str">
        <f t="shared" si="80"/>
        <v>Met</v>
      </c>
      <c r="AD270" s="366" t="str">
        <f t="shared" si="74"/>
        <v>Met</v>
      </c>
      <c r="AF270" s="399">
        <v>0</v>
      </c>
      <c r="AG270" s="400" t="str">
        <f t="shared" si="81"/>
        <v>Met</v>
      </c>
      <c r="AI270" s="399">
        <v>165231.38</v>
      </c>
      <c r="AJ270" s="400" t="str">
        <f t="shared" si="82"/>
        <v>Met</v>
      </c>
      <c r="AL270" s="399">
        <f>VLOOKUP(A270,$A$5:$AF$315,32,0)/IFERROR(VLOOKUP(A270,'21-22 child count'!$A$3:$S$317,19,0),0)</f>
        <v>0</v>
      </c>
      <c r="AM270" s="400" t="str">
        <f t="shared" si="83"/>
        <v>Met</v>
      </c>
      <c r="AO270" s="399">
        <f>VLOOKUP(A270,'42. SEA or LEA Worksheet'!$A$4:$AB$318,28,0)/IFERROR(VLOOKUP('42. SEA or LEA Worksheet'!A264,'21-22 child count'!$A$3:$S$317,3,0),0)</f>
        <v>874.2401058201059</v>
      </c>
      <c r="AP270" s="400" t="str">
        <f t="shared" si="84"/>
        <v>Did not Meet</v>
      </c>
      <c r="AR270" s="366" t="str">
        <f t="shared" si="75"/>
        <v>Met</v>
      </c>
      <c r="AU270" s="400" t="str">
        <f t="shared" si="85"/>
        <v>Met</v>
      </c>
      <c r="AX270" s="400" t="str">
        <f t="shared" si="86"/>
        <v>Did not Meet</v>
      </c>
      <c r="BA270" s="400" t="str">
        <f t="shared" si="87"/>
        <v>Met</v>
      </c>
      <c r="BD270" s="400" t="str">
        <f t="shared" si="88"/>
        <v>Did not Meet</v>
      </c>
      <c r="BF270" s="366" t="str">
        <f t="shared" si="76"/>
        <v>Met</v>
      </c>
    </row>
    <row r="271" spans="1:58">
      <c r="A271" t="s">
        <v>525</v>
      </c>
      <c r="B271" t="s">
        <v>991</v>
      </c>
      <c r="C271" s="360"/>
      <c r="D271" s="363">
        <v>280701.33</v>
      </c>
      <c r="E271" t="s">
        <v>855</v>
      </c>
      <c r="F271" s="360"/>
      <c r="G271" s="363">
        <v>10814514.98</v>
      </c>
      <c r="H271" t="s">
        <v>834</v>
      </c>
      <c r="I271" s="360"/>
      <c r="J271" s="363">
        <v>339.01126811594207</v>
      </c>
      <c r="K271" t="s">
        <v>855</v>
      </c>
      <c r="L271" s="360"/>
      <c r="M271" s="363">
        <v>13061.008429951691</v>
      </c>
      <c r="N271" t="s">
        <v>855</v>
      </c>
      <c r="O271" s="360"/>
      <c r="P271" s="366" t="str">
        <f t="shared" si="73"/>
        <v>Met</v>
      </c>
      <c r="Q271" s="360"/>
      <c r="R271" s="399">
        <v>2015940.97</v>
      </c>
      <c r="S271" s="400" t="str">
        <f t="shared" si="77"/>
        <v>Did not Meet</v>
      </c>
      <c r="U271" s="399">
        <v>11620482.4</v>
      </c>
      <c r="V271" s="400" t="str">
        <f t="shared" si="78"/>
        <v>Met</v>
      </c>
      <c r="X271" s="399">
        <v>2516.7802372034957</v>
      </c>
      <c r="Y271" s="400" t="str">
        <f t="shared" si="79"/>
        <v>Did not Meet</v>
      </c>
      <c r="AA271" s="399">
        <v>14507.468664169788</v>
      </c>
      <c r="AB271" s="400" t="str">
        <f t="shared" si="80"/>
        <v>Did not Meet</v>
      </c>
      <c r="AD271" s="366" t="str">
        <f t="shared" si="74"/>
        <v>Met</v>
      </c>
      <c r="AF271" s="399">
        <v>2766051.09</v>
      </c>
      <c r="AG271" s="400" t="str">
        <f t="shared" si="81"/>
        <v>Did not Meet</v>
      </c>
      <c r="AI271" s="399">
        <v>15450864.32</v>
      </c>
      <c r="AJ271" s="400" t="str">
        <f t="shared" si="82"/>
        <v>Met</v>
      </c>
      <c r="AL271" s="399">
        <f>VLOOKUP(A271,$A$5:$AF$315,32,0)/IFERROR(VLOOKUP(A271,'21-22 child count'!$A$3:$S$317,19,0),0)</f>
        <v>3606.3247588005215</v>
      </c>
      <c r="AM271" s="400" t="str">
        <f t="shared" si="83"/>
        <v>Did not Meet</v>
      </c>
      <c r="AO271" s="399">
        <f>VLOOKUP(A271,'42. SEA or LEA Worksheet'!$A$4:$AB$318,28,0)/IFERROR(VLOOKUP('42. SEA or LEA Worksheet'!A169,'21-22 child count'!$A$3:$S$317,3,0),0)</f>
        <v>103128.56284552846</v>
      </c>
      <c r="AP271" s="400" t="str">
        <f t="shared" si="84"/>
        <v>Did not Meet</v>
      </c>
      <c r="AR271" s="366" t="str">
        <f t="shared" si="75"/>
        <v>Met</v>
      </c>
      <c r="AU271" s="400" t="str">
        <f t="shared" si="85"/>
        <v>Did not Meet</v>
      </c>
      <c r="AX271" s="400" t="str">
        <f t="shared" si="86"/>
        <v>Did not Meet</v>
      </c>
      <c r="BA271" s="400" t="str">
        <f t="shared" si="87"/>
        <v>Did not Meet</v>
      </c>
      <c r="BD271" s="400" t="str">
        <f t="shared" si="88"/>
        <v>Did not Meet</v>
      </c>
      <c r="BF271" s="366" t="str">
        <f t="shared" si="76"/>
        <v>Met</v>
      </c>
    </row>
    <row r="272" spans="1:58">
      <c r="A272" t="s">
        <v>813</v>
      </c>
      <c r="B272" t="s">
        <v>1124</v>
      </c>
      <c r="C272" s="360"/>
      <c r="D272" s="363">
        <v>1412356.11</v>
      </c>
      <c r="E272" t="s">
        <v>834</v>
      </c>
      <c r="F272" s="360"/>
      <c r="G272" s="363">
        <v>10562386.119999999</v>
      </c>
      <c r="H272" t="s">
        <v>834</v>
      </c>
      <c r="I272" s="360"/>
      <c r="J272" s="363">
        <v>1681.3763214285716</v>
      </c>
      <c r="K272" t="s">
        <v>834</v>
      </c>
      <c r="L272" s="360"/>
      <c r="M272" s="363">
        <v>12574.269190476189</v>
      </c>
      <c r="N272" t="s">
        <v>834</v>
      </c>
      <c r="O272" s="360"/>
      <c r="P272" s="366" t="str">
        <f t="shared" si="73"/>
        <v>Met</v>
      </c>
      <c r="Q272" s="360"/>
      <c r="R272" s="399">
        <v>2326820.2799999998</v>
      </c>
      <c r="S272" s="400" t="str">
        <f t="shared" si="77"/>
        <v>Met</v>
      </c>
      <c r="U272" s="399">
        <v>11719580.319999998</v>
      </c>
      <c r="V272" s="400" t="str">
        <f t="shared" si="78"/>
        <v>Met</v>
      </c>
      <c r="X272" s="399">
        <v>2851.4954411764702</v>
      </c>
      <c r="Y272" s="400" t="str">
        <f t="shared" si="79"/>
        <v>Met</v>
      </c>
      <c r="AA272" s="399">
        <v>14362.230784313724</v>
      </c>
      <c r="AB272" s="400" t="str">
        <f t="shared" si="80"/>
        <v>Met</v>
      </c>
      <c r="AD272" s="366" t="str">
        <f t="shared" si="74"/>
        <v>Met</v>
      </c>
      <c r="AF272" s="399">
        <v>2318718.5099999998</v>
      </c>
      <c r="AG272" s="400" t="str">
        <f t="shared" si="81"/>
        <v>Did not Meet</v>
      </c>
      <c r="AI272" s="399">
        <v>14303509.209999999</v>
      </c>
      <c r="AJ272" s="400" t="str">
        <f t="shared" si="82"/>
        <v>Met</v>
      </c>
      <c r="AL272" s="399">
        <f>VLOOKUP(A272,$A$5:$AF$315,32,0)/IFERROR(VLOOKUP(A272,'21-22 child count'!$A$3:$S$317,19,0),0)</f>
        <v>2942.5361802030452</v>
      </c>
      <c r="AM272" s="400" t="str">
        <f t="shared" si="83"/>
        <v>Met</v>
      </c>
      <c r="AO272" s="399">
        <f>VLOOKUP(A272,'42. SEA or LEA Worksheet'!$A$4:$AB$318,28,0)/IFERROR(VLOOKUP('42. SEA or LEA Worksheet'!A308,'21-22 child count'!$A$3:$S$317,3,0),0)</f>
        <v>98632.153305785119</v>
      </c>
      <c r="AP272" s="400" t="str">
        <f t="shared" si="84"/>
        <v>Met</v>
      </c>
      <c r="AR272" s="366" t="str">
        <f t="shared" si="75"/>
        <v>Met</v>
      </c>
      <c r="AU272" s="400" t="str">
        <f t="shared" si="85"/>
        <v>Did not Meet</v>
      </c>
      <c r="AX272" s="400" t="str">
        <f t="shared" si="86"/>
        <v>Did not Meet</v>
      </c>
      <c r="BA272" s="400" t="str">
        <f t="shared" si="87"/>
        <v>Did not Meet</v>
      </c>
      <c r="BD272" s="400" t="str">
        <f t="shared" si="88"/>
        <v>Did not Meet</v>
      </c>
      <c r="BF272" s="366" t="str">
        <f t="shared" si="76"/>
        <v>Met</v>
      </c>
    </row>
    <row r="273" spans="1:58">
      <c r="A273" t="s">
        <v>731</v>
      </c>
      <c r="B273" t="s">
        <v>1084</v>
      </c>
      <c r="C273" s="360"/>
      <c r="D273" s="363">
        <v>3148846.86</v>
      </c>
      <c r="E273" t="s">
        <v>834</v>
      </c>
      <c r="F273" s="360"/>
      <c r="G273" s="363">
        <v>15196002.83</v>
      </c>
      <c r="H273" t="s">
        <v>834</v>
      </c>
      <c r="I273" s="360"/>
      <c r="J273" s="363">
        <v>2880.9211893870083</v>
      </c>
      <c r="K273" t="s">
        <v>834</v>
      </c>
      <c r="L273" s="360"/>
      <c r="M273" s="363">
        <v>13903.021802378775</v>
      </c>
      <c r="N273" t="s">
        <v>834</v>
      </c>
      <c r="O273" s="360"/>
      <c r="P273" s="366" t="str">
        <f t="shared" si="73"/>
        <v>Met</v>
      </c>
      <c r="Q273" s="360"/>
      <c r="R273" s="399">
        <v>3523319.59</v>
      </c>
      <c r="S273" s="400" t="str">
        <f t="shared" si="77"/>
        <v>Met</v>
      </c>
      <c r="U273" s="399">
        <v>18309831.009999998</v>
      </c>
      <c r="V273" s="400" t="str">
        <f t="shared" si="78"/>
        <v>Met</v>
      </c>
      <c r="X273" s="399">
        <v>3256.3027634011091</v>
      </c>
      <c r="Y273" s="400" t="str">
        <f t="shared" si="79"/>
        <v>Met</v>
      </c>
      <c r="AA273" s="399">
        <v>16922.209805914972</v>
      </c>
      <c r="AB273" s="400" t="str">
        <f t="shared" si="80"/>
        <v>Met</v>
      </c>
      <c r="AD273" s="366" t="str">
        <f t="shared" si="74"/>
        <v>Met</v>
      </c>
      <c r="AF273" s="399">
        <v>4064428.8</v>
      </c>
      <c r="AG273" s="400" t="str">
        <f t="shared" si="81"/>
        <v>Met</v>
      </c>
      <c r="AI273" s="399">
        <v>24449457.23</v>
      </c>
      <c r="AJ273" s="400" t="str">
        <f t="shared" si="82"/>
        <v>Met</v>
      </c>
      <c r="AL273" s="399">
        <f>VLOOKUP(A273,$A$5:$AF$315,32,0)/IFERROR(VLOOKUP(A273,'21-22 child count'!$A$3:$S$317,19,0),0)</f>
        <v>3718.5990850869166</v>
      </c>
      <c r="AM273" s="400" t="str">
        <f t="shared" si="83"/>
        <v>Met</v>
      </c>
      <c r="AO273" s="399">
        <f>VLOOKUP(A273,'42. SEA or LEA Worksheet'!$A$4:$AB$318,28,0)/IFERROR(VLOOKUP('42. SEA or LEA Worksheet'!A267,'21-22 child count'!$A$3:$S$317,3,0),0)</f>
        <v>168341.87322314049</v>
      </c>
      <c r="AP273" s="400" t="str">
        <f t="shared" si="84"/>
        <v>Met</v>
      </c>
      <c r="AR273" s="366" t="str">
        <f t="shared" si="75"/>
        <v>Met</v>
      </c>
      <c r="AU273" s="400" t="str">
        <f t="shared" si="85"/>
        <v>Did not Meet</v>
      </c>
      <c r="AX273" s="400" t="str">
        <f t="shared" si="86"/>
        <v>Did not Meet</v>
      </c>
      <c r="BA273" s="400" t="str">
        <f t="shared" si="87"/>
        <v>Did not Meet</v>
      </c>
      <c r="BD273" s="400" t="str">
        <f t="shared" si="88"/>
        <v>Did not Meet</v>
      </c>
      <c r="BF273" s="366" t="str">
        <f t="shared" si="76"/>
        <v>Met</v>
      </c>
    </row>
    <row r="274" spans="1:58">
      <c r="A274" t="s">
        <v>733</v>
      </c>
      <c r="B274" t="s">
        <v>1085</v>
      </c>
      <c r="C274" s="360"/>
      <c r="D274" s="363">
        <v>0</v>
      </c>
      <c r="E274" t="s">
        <v>834</v>
      </c>
      <c r="F274" s="360"/>
      <c r="G274" s="363">
        <v>422866.1</v>
      </c>
      <c r="H274" t="s">
        <v>834</v>
      </c>
      <c r="I274" s="360"/>
      <c r="J274" s="363">
        <v>0</v>
      </c>
      <c r="K274" t="s">
        <v>834</v>
      </c>
      <c r="L274" s="360"/>
      <c r="M274" s="363">
        <v>9610.5931818181816</v>
      </c>
      <c r="N274" t="s">
        <v>834</v>
      </c>
      <c r="O274" s="360"/>
      <c r="P274" s="366" t="str">
        <f t="shared" si="73"/>
        <v>Met</v>
      </c>
      <c r="Q274" s="360"/>
      <c r="R274" s="399">
        <v>0</v>
      </c>
      <c r="S274" s="400" t="str">
        <f t="shared" si="77"/>
        <v>Met</v>
      </c>
      <c r="U274" s="399">
        <v>453041.53</v>
      </c>
      <c r="V274" s="400" t="str">
        <f t="shared" si="78"/>
        <v>Met</v>
      </c>
      <c r="X274" s="399">
        <v>0</v>
      </c>
      <c r="Y274" s="400" t="str">
        <f t="shared" si="79"/>
        <v>Met</v>
      </c>
      <c r="AA274" s="399">
        <v>12584.486944444445</v>
      </c>
      <c r="AB274" s="400" t="str">
        <f t="shared" si="80"/>
        <v>Met</v>
      </c>
      <c r="AD274" s="366" t="str">
        <f t="shared" si="74"/>
        <v>Met</v>
      </c>
      <c r="AF274" s="399">
        <v>1500</v>
      </c>
      <c r="AG274" s="400" t="str">
        <f t="shared" si="81"/>
        <v>Met</v>
      </c>
      <c r="AI274" s="399">
        <v>346477.74</v>
      </c>
      <c r="AJ274" s="400" t="str">
        <f t="shared" si="82"/>
        <v>Did not Meet</v>
      </c>
      <c r="AL274" s="399">
        <f>VLOOKUP(A274,$A$5:$AF$315,32,0)/IFERROR(VLOOKUP(A274,'21-22 child count'!$A$3:$S$317,19,0),0)</f>
        <v>36.585365853658537</v>
      </c>
      <c r="AM274" s="400" t="str">
        <f t="shared" si="83"/>
        <v>Met</v>
      </c>
      <c r="AO274" s="399">
        <f>VLOOKUP(A274,'42. SEA or LEA Worksheet'!$A$4:$AB$318,28,0)/IFERROR(VLOOKUP('42. SEA or LEA Worksheet'!A268,'21-22 child count'!$A$3:$S$317,3,0),0)</f>
        <v>3386.0730693069308</v>
      </c>
      <c r="AP274" s="400" t="str">
        <f t="shared" si="84"/>
        <v>Did not Meet</v>
      </c>
      <c r="AR274" s="366" t="str">
        <f t="shared" si="75"/>
        <v>Met</v>
      </c>
      <c r="AU274" s="400" t="str">
        <f t="shared" si="85"/>
        <v>Did not Meet</v>
      </c>
      <c r="AX274" s="400" t="str">
        <f t="shared" si="86"/>
        <v>Did not Meet</v>
      </c>
      <c r="BA274" s="400" t="str">
        <f t="shared" si="87"/>
        <v>Did not Meet</v>
      </c>
      <c r="BD274" s="400" t="str">
        <f t="shared" si="88"/>
        <v>Did not Meet</v>
      </c>
      <c r="BF274" s="366" t="str">
        <f t="shared" si="76"/>
        <v>Met</v>
      </c>
    </row>
    <row r="275" spans="1:58">
      <c r="A275" t="s">
        <v>521</v>
      </c>
      <c r="B275" t="s">
        <v>989</v>
      </c>
      <c r="C275" s="360"/>
      <c r="D275" s="363">
        <v>136430.5</v>
      </c>
      <c r="E275" t="s">
        <v>855</v>
      </c>
      <c r="F275" s="360"/>
      <c r="G275" s="363">
        <v>1372535.95</v>
      </c>
      <c r="H275" t="s">
        <v>834</v>
      </c>
      <c r="I275" s="360"/>
      <c r="J275" s="363">
        <v>1091.444</v>
      </c>
      <c r="K275" t="s">
        <v>855</v>
      </c>
      <c r="L275" s="360"/>
      <c r="M275" s="363">
        <v>10980.2876</v>
      </c>
      <c r="N275" t="s">
        <v>834</v>
      </c>
      <c r="O275" s="360"/>
      <c r="P275" s="366" t="str">
        <f t="shared" si="73"/>
        <v>Met</v>
      </c>
      <c r="Q275" s="360"/>
      <c r="R275" s="399">
        <v>379308.32</v>
      </c>
      <c r="S275" s="400" t="str">
        <f t="shared" si="77"/>
        <v>Did not Meet</v>
      </c>
      <c r="U275" s="399">
        <v>1564894.29</v>
      </c>
      <c r="V275" s="400" t="str">
        <f t="shared" si="78"/>
        <v>Met</v>
      </c>
      <c r="X275" s="399">
        <v>2986.6796850393703</v>
      </c>
      <c r="Y275" s="400" t="str">
        <f t="shared" si="79"/>
        <v>Did not Meet</v>
      </c>
      <c r="AA275" s="399">
        <v>12322.002283464568</v>
      </c>
      <c r="AB275" s="400" t="str">
        <f t="shared" si="80"/>
        <v>Met</v>
      </c>
      <c r="AD275" s="366" t="str">
        <f t="shared" si="74"/>
        <v>Met</v>
      </c>
      <c r="AF275" s="399">
        <v>225376.51</v>
      </c>
      <c r="AG275" s="400" t="str">
        <f t="shared" si="81"/>
        <v>Did not Meet</v>
      </c>
      <c r="AI275" s="399">
        <v>1963399.68</v>
      </c>
      <c r="AJ275" s="400" t="str">
        <f t="shared" si="82"/>
        <v>Met</v>
      </c>
      <c r="AL275" s="399">
        <f>VLOOKUP(A275,$A$5:$AF$315,32,0)/IFERROR(VLOOKUP(A275,'21-22 child count'!$A$3:$S$317,19,0),0)</f>
        <v>1760.7539843750001</v>
      </c>
      <c r="AM275" s="400" t="str">
        <f t="shared" si="83"/>
        <v>Did not Meet</v>
      </c>
      <c r="AO275" s="399">
        <f>VLOOKUP(A275,'42. SEA or LEA Worksheet'!$A$4:$AB$318,28,0)/IFERROR(VLOOKUP('42. SEA or LEA Worksheet'!A167,'21-22 child count'!$A$3:$S$317,3,0),0)</f>
        <v>9195.8897883597874</v>
      </c>
      <c r="AP275" s="400" t="str">
        <f t="shared" si="84"/>
        <v>Did not Meet</v>
      </c>
      <c r="AR275" s="366" t="str">
        <f t="shared" si="75"/>
        <v>Met</v>
      </c>
      <c r="AU275" s="400" t="str">
        <f t="shared" si="85"/>
        <v>Did not Meet</v>
      </c>
      <c r="AX275" s="400" t="str">
        <f t="shared" si="86"/>
        <v>Did not Meet</v>
      </c>
      <c r="BA275" s="400" t="str">
        <f t="shared" si="87"/>
        <v>Did not Meet</v>
      </c>
      <c r="BD275" s="400" t="str">
        <f t="shared" si="88"/>
        <v>Did not Meet</v>
      </c>
      <c r="BF275" s="366" t="str">
        <f t="shared" si="76"/>
        <v>Met</v>
      </c>
    </row>
    <row r="276" spans="1:58">
      <c r="A276" t="s">
        <v>801</v>
      </c>
      <c r="B276" t="s">
        <v>1148</v>
      </c>
      <c r="C276" s="360"/>
      <c r="D276" s="363">
        <v>0</v>
      </c>
      <c r="E276" t="s">
        <v>855</v>
      </c>
      <c r="F276" s="360"/>
      <c r="G276" s="363">
        <v>143905.16</v>
      </c>
      <c r="H276" t="s">
        <v>834</v>
      </c>
      <c r="I276" s="360"/>
      <c r="J276" s="363">
        <v>0</v>
      </c>
      <c r="K276" t="s">
        <v>855</v>
      </c>
      <c r="L276" s="360"/>
      <c r="M276" s="363">
        <v>9593.6773333333331</v>
      </c>
      <c r="N276" t="s">
        <v>855</v>
      </c>
      <c r="O276" s="360"/>
      <c r="P276" s="366" t="str">
        <f t="shared" si="73"/>
        <v>Met</v>
      </c>
      <c r="Q276" s="360"/>
      <c r="R276" s="399">
        <v>51120.51</v>
      </c>
      <c r="S276" s="400" t="str">
        <f t="shared" si="77"/>
        <v>Did not Meet</v>
      </c>
      <c r="U276" s="399">
        <v>223162.84</v>
      </c>
      <c r="V276" s="400" t="str">
        <f t="shared" si="78"/>
        <v>Met</v>
      </c>
      <c r="X276" s="399">
        <v>3007.0888235294119</v>
      </c>
      <c r="Y276" s="400" t="str">
        <f t="shared" si="79"/>
        <v>Did not Meet</v>
      </c>
      <c r="AA276" s="399">
        <v>13127.225882352941</v>
      </c>
      <c r="AB276" s="400" t="str">
        <f t="shared" si="80"/>
        <v>Did not Meet</v>
      </c>
      <c r="AD276" s="366" t="str">
        <f t="shared" si="74"/>
        <v>Met</v>
      </c>
      <c r="AF276" s="399">
        <v>39504.22</v>
      </c>
      <c r="AG276" s="400" t="str">
        <f t="shared" si="81"/>
        <v>Did not Meet</v>
      </c>
      <c r="AI276" s="399">
        <v>234433.55</v>
      </c>
      <c r="AJ276" s="400" t="str">
        <f t="shared" si="82"/>
        <v>Met</v>
      </c>
      <c r="AL276" s="399">
        <f>VLOOKUP(A276,$A$5:$AF$315,32,0)/IFERROR(VLOOKUP(A276,'21-22 child count'!$A$3:$S$317,19,0),0)</f>
        <v>2633.6146666666668</v>
      </c>
      <c r="AM276" s="400" t="str">
        <f t="shared" si="83"/>
        <v>Did not Meet</v>
      </c>
      <c r="AO276" s="399">
        <f>VLOOKUP(A276,'42. SEA or LEA Worksheet'!$A$4:$AB$318,28,0)/IFERROR(VLOOKUP('42. SEA or LEA Worksheet'!A302,'21-22 child count'!$A$3:$S$317,3,0),0)</f>
        <v>1856.4698095238093</v>
      </c>
      <c r="AP276" s="400" t="str">
        <f t="shared" si="84"/>
        <v>Did not Meet</v>
      </c>
      <c r="AR276" s="366" t="str">
        <f t="shared" si="75"/>
        <v>Met</v>
      </c>
      <c r="AU276" s="400" t="str">
        <f t="shared" si="85"/>
        <v>Did not Meet</v>
      </c>
      <c r="AX276" s="400" t="str">
        <f t="shared" si="86"/>
        <v>Did not Meet</v>
      </c>
      <c r="BA276" s="400" t="str">
        <f t="shared" si="87"/>
        <v>Did not Meet</v>
      </c>
      <c r="BD276" s="400" t="str">
        <f t="shared" si="88"/>
        <v>Did not Meet</v>
      </c>
      <c r="BF276" s="366" t="str">
        <f t="shared" si="76"/>
        <v>Met</v>
      </c>
    </row>
    <row r="277" spans="1:58">
      <c r="A277" t="s">
        <v>499</v>
      </c>
      <c r="B277" t="s">
        <v>978</v>
      </c>
      <c r="C277" s="360"/>
      <c r="D277" s="363">
        <v>768150.26</v>
      </c>
      <c r="E277" t="s">
        <v>834</v>
      </c>
      <c r="F277" s="360"/>
      <c r="G277" s="363">
        <v>4107386.46</v>
      </c>
      <c r="H277" t="s">
        <v>834</v>
      </c>
      <c r="I277" s="360"/>
      <c r="J277" s="363">
        <v>2188.4622792022792</v>
      </c>
      <c r="K277" t="s">
        <v>834</v>
      </c>
      <c r="L277" s="360"/>
      <c r="M277" s="363">
        <v>11701.955726495726</v>
      </c>
      <c r="N277" t="s">
        <v>834</v>
      </c>
      <c r="O277" s="360"/>
      <c r="P277" s="366" t="str">
        <f t="shared" si="73"/>
        <v>Met</v>
      </c>
      <c r="Q277" s="360"/>
      <c r="R277" s="399">
        <v>1018169.02</v>
      </c>
      <c r="S277" s="400" t="str">
        <f t="shared" si="77"/>
        <v>Met</v>
      </c>
      <c r="U277" s="399">
        <v>4152957.29</v>
      </c>
      <c r="V277" s="400" t="str">
        <f t="shared" si="78"/>
        <v>Met</v>
      </c>
      <c r="X277" s="399">
        <v>3132.8277538461539</v>
      </c>
      <c r="Y277" s="400" t="str">
        <f t="shared" si="79"/>
        <v>Met</v>
      </c>
      <c r="AA277" s="399">
        <v>12778.330123076923</v>
      </c>
      <c r="AB277" s="400" t="str">
        <f t="shared" si="80"/>
        <v>Met</v>
      </c>
      <c r="AD277" s="366" t="str">
        <f t="shared" si="74"/>
        <v>Met</v>
      </c>
      <c r="AF277" s="399">
        <v>0</v>
      </c>
      <c r="AG277" s="400" t="str">
        <f t="shared" si="81"/>
        <v>Did not Meet</v>
      </c>
      <c r="AI277" s="399">
        <v>4164715.87</v>
      </c>
      <c r="AJ277" s="400" t="str">
        <f t="shared" si="82"/>
        <v>Met</v>
      </c>
      <c r="AL277" s="399">
        <f>VLOOKUP(A277,$A$5:$AF$315,32,0)/IFERROR(VLOOKUP(A277,'21-22 child count'!$A$3:$S$317,19,0),0)</f>
        <v>0</v>
      </c>
      <c r="AM277" s="400" t="str">
        <f t="shared" si="83"/>
        <v>Did not Meet</v>
      </c>
      <c r="AO277" s="399">
        <f>VLOOKUP(A277,'42. SEA or LEA Worksheet'!$A$4:$AB$318,28,0)/IFERROR(VLOOKUP('42. SEA or LEA Worksheet'!A156,'21-22 child count'!$A$3:$S$317,3,0),0)</f>
        <v>38700.388285714289</v>
      </c>
      <c r="AP277" s="400" t="str">
        <f t="shared" si="84"/>
        <v>Met</v>
      </c>
      <c r="AR277" s="366" t="str">
        <f t="shared" si="75"/>
        <v>Met</v>
      </c>
      <c r="AU277" s="400" t="str">
        <f t="shared" si="85"/>
        <v>Did not Meet</v>
      </c>
      <c r="AX277" s="400" t="str">
        <f t="shared" si="86"/>
        <v>Did not Meet</v>
      </c>
      <c r="BA277" s="400" t="str">
        <f t="shared" si="87"/>
        <v>Did not Meet</v>
      </c>
      <c r="BD277" s="400" t="str">
        <f t="shared" si="88"/>
        <v>Did not Meet</v>
      </c>
      <c r="BF277" s="366" t="str">
        <f t="shared" si="76"/>
        <v>Met</v>
      </c>
    </row>
    <row r="278" spans="1:58">
      <c r="A278" t="s">
        <v>753</v>
      </c>
      <c r="B278" t="s">
        <v>1095</v>
      </c>
      <c r="C278" s="360"/>
      <c r="D278" s="363">
        <v>92502.12</v>
      </c>
      <c r="E278" t="s">
        <v>855</v>
      </c>
      <c r="F278" s="360"/>
      <c r="G278" s="363">
        <v>9493915.3300000001</v>
      </c>
      <c r="H278" t="s">
        <v>834</v>
      </c>
      <c r="I278" s="360"/>
      <c r="J278" s="363">
        <v>106.69217993079585</v>
      </c>
      <c r="K278" t="s">
        <v>855</v>
      </c>
      <c r="L278" s="360"/>
      <c r="M278" s="363">
        <v>10950.306032295272</v>
      </c>
      <c r="N278" t="s">
        <v>834</v>
      </c>
      <c r="O278" s="360"/>
      <c r="P278" s="366" t="str">
        <f t="shared" si="73"/>
        <v>Met</v>
      </c>
      <c r="Q278" s="360"/>
      <c r="R278" s="399">
        <v>2294140.14</v>
      </c>
      <c r="S278" s="400" t="str">
        <f t="shared" si="77"/>
        <v>Did not Meet</v>
      </c>
      <c r="U278" s="399">
        <v>10915515.600000001</v>
      </c>
      <c r="V278" s="400" t="str">
        <f t="shared" si="78"/>
        <v>Met</v>
      </c>
      <c r="X278" s="399">
        <v>3151.2914010989011</v>
      </c>
      <c r="Y278" s="400" t="str">
        <f t="shared" si="79"/>
        <v>Did not Meet</v>
      </c>
      <c r="AA278" s="399">
        <v>14993.840109890112</v>
      </c>
      <c r="AB278" s="400" t="str">
        <f t="shared" si="80"/>
        <v>Met</v>
      </c>
      <c r="AD278" s="366" t="str">
        <f t="shared" si="74"/>
        <v>Met</v>
      </c>
      <c r="AF278" s="399">
        <v>25285.29</v>
      </c>
      <c r="AG278" s="400" t="str">
        <f t="shared" si="81"/>
        <v>Did not Meet</v>
      </c>
      <c r="AI278" s="399">
        <v>11743687.529999999</v>
      </c>
      <c r="AJ278" s="400" t="str">
        <f t="shared" si="82"/>
        <v>Met</v>
      </c>
      <c r="AL278" s="399">
        <f>VLOOKUP(A278,$A$5:$AF$315,32,0)/IFERROR(VLOOKUP(A278,'21-22 child count'!$A$3:$S$317,19,0),0)</f>
        <v>28.570949152542372</v>
      </c>
      <c r="AM278" s="400" t="str">
        <f t="shared" si="83"/>
        <v>Did not Meet</v>
      </c>
      <c r="AO278" s="399">
        <f>VLOOKUP(A278,'42. SEA or LEA Worksheet'!$A$4:$AB$318,28,0)/IFERROR(VLOOKUP('42. SEA or LEA Worksheet'!A278,'21-22 child count'!$A$3:$S$317,3,0),0)</f>
        <v>103702.67469026547</v>
      </c>
      <c r="AP278" s="400" t="str">
        <f t="shared" si="84"/>
        <v>Met</v>
      </c>
      <c r="AR278" s="366" t="str">
        <f t="shared" si="75"/>
        <v>Met</v>
      </c>
      <c r="AU278" s="400" t="str">
        <f t="shared" si="85"/>
        <v>Did not Meet</v>
      </c>
      <c r="AX278" s="400" t="str">
        <f t="shared" si="86"/>
        <v>Did not Meet</v>
      </c>
      <c r="BA278" s="400" t="str">
        <f t="shared" si="87"/>
        <v>Did not Meet</v>
      </c>
      <c r="BD278" s="400" t="str">
        <f t="shared" si="88"/>
        <v>Did not Meet</v>
      </c>
      <c r="BF278" s="366" t="str">
        <f t="shared" si="76"/>
        <v>Met</v>
      </c>
    </row>
    <row r="279" spans="1:58">
      <c r="A279" t="s">
        <v>743</v>
      </c>
      <c r="B279" t="s">
        <v>1090</v>
      </c>
      <c r="C279" s="360"/>
      <c r="D279" s="363">
        <v>0</v>
      </c>
      <c r="E279" t="s">
        <v>834</v>
      </c>
      <c r="F279" s="360"/>
      <c r="G279" s="363">
        <v>5064931.99</v>
      </c>
      <c r="H279" t="s">
        <v>834</v>
      </c>
      <c r="I279" s="360"/>
      <c r="J279" s="363">
        <v>0</v>
      </c>
      <c r="K279" t="s">
        <v>834</v>
      </c>
      <c r="L279" s="360"/>
      <c r="M279" s="363">
        <v>8747.7236442141621</v>
      </c>
      <c r="N279" t="s">
        <v>834</v>
      </c>
      <c r="O279" s="360"/>
      <c r="P279" s="366" t="str">
        <f t="shared" si="73"/>
        <v>Met</v>
      </c>
      <c r="Q279" s="360"/>
      <c r="R279" s="399">
        <v>0</v>
      </c>
      <c r="S279" s="400" t="str">
        <f t="shared" si="77"/>
        <v>Met</v>
      </c>
      <c r="U279" s="399">
        <v>4868571.6900000004</v>
      </c>
      <c r="V279" s="400" t="str">
        <f t="shared" si="78"/>
        <v>Met</v>
      </c>
      <c r="X279" s="399">
        <v>0</v>
      </c>
      <c r="Y279" s="400" t="str">
        <f t="shared" si="79"/>
        <v>Met</v>
      </c>
      <c r="AA279" s="399">
        <v>8279.8838265306131</v>
      </c>
      <c r="AB279" s="400" t="str">
        <f t="shared" si="80"/>
        <v>Did not Meet</v>
      </c>
      <c r="AD279" s="366" t="str">
        <f t="shared" si="74"/>
        <v>Met</v>
      </c>
      <c r="AF279" s="399">
        <v>0</v>
      </c>
      <c r="AG279" s="400" t="str">
        <f t="shared" si="81"/>
        <v>Met</v>
      </c>
      <c r="AI279" s="399">
        <v>4440304.57</v>
      </c>
      <c r="AJ279" s="400" t="str">
        <f t="shared" si="82"/>
        <v>Did not Meet</v>
      </c>
      <c r="AL279" s="399">
        <f>VLOOKUP(A279,$A$5:$AF$315,32,0)/IFERROR(VLOOKUP(A279,'21-22 child count'!$A$3:$S$317,19,0),0)</f>
        <v>0</v>
      </c>
      <c r="AM279" s="400" t="str">
        <f t="shared" si="83"/>
        <v>Met</v>
      </c>
      <c r="AO279" s="399">
        <f>VLOOKUP(A279,'42. SEA or LEA Worksheet'!$A$4:$AB$318,28,0)/IFERROR(VLOOKUP('42. SEA or LEA Worksheet'!A273,'21-22 child count'!$A$3:$S$317,3,0),0)</f>
        <v>39294.730707964605</v>
      </c>
      <c r="AP279" s="400" t="str">
        <f t="shared" si="84"/>
        <v>Did not Meet</v>
      </c>
      <c r="AR279" s="366" t="str">
        <f t="shared" si="75"/>
        <v>Met</v>
      </c>
      <c r="AU279" s="400" t="str">
        <f t="shared" si="85"/>
        <v>Met</v>
      </c>
      <c r="AX279" s="400" t="str">
        <f t="shared" si="86"/>
        <v>Did not Meet</v>
      </c>
      <c r="BA279" s="400" t="str">
        <f t="shared" si="87"/>
        <v>Met</v>
      </c>
      <c r="BD279" s="400" t="str">
        <f t="shared" si="88"/>
        <v>Did not Meet</v>
      </c>
      <c r="BF279" s="366" t="str">
        <f t="shared" si="76"/>
        <v>Met</v>
      </c>
    </row>
    <row r="280" spans="1:58">
      <c r="A280" t="s">
        <v>297</v>
      </c>
      <c r="B280" t="s">
        <v>885</v>
      </c>
      <c r="C280" s="360"/>
      <c r="D280" s="363">
        <v>0</v>
      </c>
      <c r="E280" t="s">
        <v>855</v>
      </c>
      <c r="F280" s="360"/>
      <c r="G280" s="363">
        <v>488114.91</v>
      </c>
      <c r="H280" t="s">
        <v>834</v>
      </c>
      <c r="I280" s="360"/>
      <c r="J280" s="363">
        <v>0</v>
      </c>
      <c r="K280" t="s">
        <v>855</v>
      </c>
      <c r="L280" s="360"/>
      <c r="M280" s="363">
        <v>13558.747499999999</v>
      </c>
      <c r="N280" t="s">
        <v>834</v>
      </c>
      <c r="O280" s="360"/>
      <c r="P280" s="366" t="str">
        <f t="shared" si="73"/>
        <v>Met</v>
      </c>
      <c r="Q280" s="360"/>
      <c r="R280" s="399">
        <v>104005.79</v>
      </c>
      <c r="S280" s="400" t="str">
        <f t="shared" si="77"/>
        <v>Did not Meet</v>
      </c>
      <c r="U280" s="399">
        <v>399816.38</v>
      </c>
      <c r="V280" s="400" t="str">
        <f t="shared" si="78"/>
        <v>Met</v>
      </c>
      <c r="X280" s="399">
        <v>3250.1809374999998</v>
      </c>
      <c r="Y280" s="400" t="str">
        <f t="shared" si="79"/>
        <v>Did not Meet</v>
      </c>
      <c r="AA280" s="399">
        <v>12494.261875</v>
      </c>
      <c r="AB280" s="400" t="str">
        <f t="shared" si="80"/>
        <v>Did not Meet</v>
      </c>
      <c r="AD280" s="366" t="str">
        <f t="shared" si="74"/>
        <v>Met</v>
      </c>
      <c r="AF280" s="399">
        <v>4133.46</v>
      </c>
      <c r="AG280" s="400" t="str">
        <f t="shared" si="81"/>
        <v>Did not Meet</v>
      </c>
      <c r="AI280" s="399">
        <v>415862.13</v>
      </c>
      <c r="AJ280" s="400" t="str">
        <f t="shared" si="82"/>
        <v>Met</v>
      </c>
      <c r="AL280" s="399">
        <f>VLOOKUP(A280,$A$5:$AF$315,32,0)/IFERROR(VLOOKUP(A280,'21-22 child count'!$A$3:$S$317,19,0),0)</f>
        <v>129.170625</v>
      </c>
      <c r="AM280" s="400" t="str">
        <f t="shared" si="83"/>
        <v>Did not Meet</v>
      </c>
      <c r="AO280" s="399">
        <f>VLOOKUP(A280,'42. SEA or LEA Worksheet'!$A$4:$AB$318,28,0)/IFERROR(VLOOKUP('42. SEA or LEA Worksheet'!A54,'21-22 child count'!$A$3:$S$317,3,0),0)</f>
        <v>3611.6550000000002</v>
      </c>
      <c r="AP280" s="400" t="str">
        <f t="shared" si="84"/>
        <v>Did not Meet</v>
      </c>
      <c r="AR280" s="366" t="str">
        <f t="shared" si="75"/>
        <v>Met</v>
      </c>
      <c r="AU280" s="400" t="str">
        <f t="shared" si="85"/>
        <v>Did not Meet</v>
      </c>
      <c r="AX280" s="400" t="str">
        <f t="shared" si="86"/>
        <v>Did not Meet</v>
      </c>
      <c r="BA280" s="400" t="str">
        <f t="shared" si="87"/>
        <v>Did not Meet</v>
      </c>
      <c r="BD280" s="400" t="str">
        <f t="shared" si="88"/>
        <v>Did not Meet</v>
      </c>
      <c r="BF280" s="366" t="str">
        <f t="shared" si="76"/>
        <v>Met</v>
      </c>
    </row>
    <row r="281" spans="1:58">
      <c r="A281" t="s">
        <v>747</v>
      </c>
      <c r="B281" t="s">
        <v>1092</v>
      </c>
      <c r="C281" s="360"/>
      <c r="D281" s="363">
        <v>0</v>
      </c>
      <c r="E281" t="s">
        <v>834</v>
      </c>
      <c r="F281" s="360"/>
      <c r="G281" s="363">
        <v>952432.85</v>
      </c>
      <c r="H281" t="s">
        <v>834</v>
      </c>
      <c r="I281" s="360"/>
      <c r="J281" s="363">
        <v>0</v>
      </c>
      <c r="K281" t="s">
        <v>834</v>
      </c>
      <c r="L281" s="360"/>
      <c r="M281" s="363">
        <v>9430.0282178217822</v>
      </c>
      <c r="N281" t="s">
        <v>855</v>
      </c>
      <c r="O281" s="360"/>
      <c r="P281" s="366" t="str">
        <f t="shared" si="73"/>
        <v>Met</v>
      </c>
      <c r="Q281" s="360"/>
      <c r="R281" s="399">
        <v>0</v>
      </c>
      <c r="S281" s="400" t="str">
        <f t="shared" si="77"/>
        <v>Met</v>
      </c>
      <c r="U281" s="399">
        <v>1086222.47</v>
      </c>
      <c r="V281" s="400" t="str">
        <f t="shared" si="78"/>
        <v>Met</v>
      </c>
      <c r="X281" s="399">
        <v>0</v>
      </c>
      <c r="Y281" s="400" t="str">
        <f t="shared" si="79"/>
        <v>Met</v>
      </c>
      <c r="AA281" s="399">
        <v>9698.4149107142857</v>
      </c>
      <c r="AB281" s="400" t="str">
        <f t="shared" si="80"/>
        <v>Did not Meet</v>
      </c>
      <c r="AD281" s="366" t="str">
        <f t="shared" si="74"/>
        <v>Met</v>
      </c>
      <c r="AF281" s="399">
        <v>0</v>
      </c>
      <c r="AG281" s="400" t="str">
        <f t="shared" si="81"/>
        <v>Met</v>
      </c>
      <c r="AI281" s="399">
        <v>1011805.92</v>
      </c>
      <c r="AJ281" s="400" t="str">
        <f t="shared" si="82"/>
        <v>Did not Meet</v>
      </c>
      <c r="AL281" s="399">
        <f>VLOOKUP(A281,$A$5:$AF$315,32,0)/IFERROR(VLOOKUP(A281,'21-22 child count'!$A$3:$S$317,19,0),0)</f>
        <v>0</v>
      </c>
      <c r="AM281" s="400" t="str">
        <f t="shared" si="83"/>
        <v>Met</v>
      </c>
      <c r="AO281" s="399">
        <f>VLOOKUP(A281,'42. SEA or LEA Worksheet'!$A$4:$AB$318,28,0)/IFERROR(VLOOKUP('42. SEA or LEA Worksheet'!A275,'21-22 child count'!$A$3:$S$317,3,0),0)</f>
        <v>10017.880396039604</v>
      </c>
      <c r="AP281" s="400" t="str">
        <f t="shared" si="84"/>
        <v>Did not Meet</v>
      </c>
      <c r="AR281" s="366" t="str">
        <f t="shared" si="75"/>
        <v>Met</v>
      </c>
      <c r="AU281" s="400" t="str">
        <f t="shared" si="85"/>
        <v>Met</v>
      </c>
      <c r="AX281" s="400" t="str">
        <f t="shared" si="86"/>
        <v>Did not Meet</v>
      </c>
      <c r="BA281" s="400" t="str">
        <f t="shared" si="87"/>
        <v>Met</v>
      </c>
      <c r="BD281" s="400" t="str">
        <f t="shared" si="88"/>
        <v>Did not Meet</v>
      </c>
      <c r="BF281" s="366" t="str">
        <f t="shared" si="76"/>
        <v>Met</v>
      </c>
    </row>
    <row r="282" spans="1:58">
      <c r="A282" t="s">
        <v>749</v>
      </c>
      <c r="B282" t="s">
        <v>1093</v>
      </c>
      <c r="C282" s="360"/>
      <c r="D282" s="363">
        <v>0</v>
      </c>
      <c r="E282" t="s">
        <v>834</v>
      </c>
      <c r="F282" s="360"/>
      <c r="G282" s="363">
        <v>212833.99</v>
      </c>
      <c r="H282" t="s">
        <v>834</v>
      </c>
      <c r="I282" s="360"/>
      <c r="J282" s="363">
        <v>0</v>
      </c>
      <c r="K282" t="s">
        <v>834</v>
      </c>
      <c r="L282" s="360"/>
      <c r="M282" s="363">
        <v>8868.0829166666663</v>
      </c>
      <c r="N282" t="s">
        <v>855</v>
      </c>
      <c r="O282" s="360"/>
      <c r="P282" s="366" t="str">
        <f t="shared" si="73"/>
        <v>Met</v>
      </c>
      <c r="Q282" s="360"/>
      <c r="R282" s="399">
        <v>0</v>
      </c>
      <c r="S282" s="400" t="str">
        <f t="shared" si="77"/>
        <v>Met</v>
      </c>
      <c r="U282" s="399">
        <v>149228.26</v>
      </c>
      <c r="V282" s="400" t="str">
        <f t="shared" si="78"/>
        <v>Met</v>
      </c>
      <c r="X282" s="399">
        <v>0</v>
      </c>
      <c r="Y282" s="400" t="str">
        <f t="shared" si="79"/>
        <v>Met</v>
      </c>
      <c r="AA282" s="399">
        <v>9326.7662500000006</v>
      </c>
      <c r="AB282" s="400" t="str">
        <f t="shared" si="80"/>
        <v>Did not Meet</v>
      </c>
      <c r="AD282" s="366" t="str">
        <f t="shared" si="74"/>
        <v>Met</v>
      </c>
      <c r="AF282" s="399">
        <v>0</v>
      </c>
      <c r="AG282" s="400" t="str">
        <f t="shared" si="81"/>
        <v>Met</v>
      </c>
      <c r="AI282" s="399">
        <v>174835.77</v>
      </c>
      <c r="AJ282" s="400" t="str">
        <f t="shared" si="82"/>
        <v>Met</v>
      </c>
      <c r="AL282" s="399">
        <f>VLOOKUP(A282,$A$5:$AF$315,32,0)/IFERROR(VLOOKUP(A282,'21-22 child count'!$A$3:$S$317,19,0),0)</f>
        <v>0</v>
      </c>
      <c r="AM282" s="400" t="str">
        <f t="shared" si="83"/>
        <v>Met</v>
      </c>
      <c r="AO282" s="399">
        <f>VLOOKUP(A282,'42. SEA or LEA Worksheet'!$A$4:$AB$318,28,0)/IFERROR(VLOOKUP('42. SEA or LEA Worksheet'!A276,'21-22 child count'!$A$3:$S$317,3,0),0)</f>
        <v>1547.219203539823</v>
      </c>
      <c r="AP282" s="400" t="str">
        <f t="shared" si="84"/>
        <v>Did not Meet</v>
      </c>
      <c r="AR282" s="366" t="str">
        <f t="shared" si="75"/>
        <v>Met</v>
      </c>
      <c r="AU282" s="400" t="str">
        <f t="shared" si="85"/>
        <v>Met</v>
      </c>
      <c r="AX282" s="400" t="str">
        <f t="shared" si="86"/>
        <v>Did not Meet</v>
      </c>
      <c r="BA282" s="400" t="str">
        <f t="shared" si="87"/>
        <v>Met</v>
      </c>
      <c r="BD282" s="400" t="str">
        <f t="shared" si="88"/>
        <v>Did not Meet</v>
      </c>
      <c r="BF282" s="366" t="str">
        <f t="shared" si="76"/>
        <v>Met</v>
      </c>
    </row>
    <row r="283" spans="1:58">
      <c r="A283" t="s">
        <v>811</v>
      </c>
      <c r="B283" t="s">
        <v>1123</v>
      </c>
      <c r="C283" s="360"/>
      <c r="D283" s="363">
        <v>6102056.54</v>
      </c>
      <c r="E283" t="s">
        <v>834</v>
      </c>
      <c r="F283" s="360"/>
      <c r="G283" s="363">
        <v>29029038.48</v>
      </c>
      <c r="H283" t="s">
        <v>834</v>
      </c>
      <c r="I283" s="360"/>
      <c r="J283" s="363">
        <v>2722.9167960731816</v>
      </c>
      <c r="K283" t="s">
        <v>834</v>
      </c>
      <c r="L283" s="360"/>
      <c r="M283" s="363">
        <v>12953.609317269076</v>
      </c>
      <c r="N283" t="s">
        <v>855</v>
      </c>
      <c r="O283" s="360"/>
      <c r="P283" s="366" t="str">
        <f t="shared" si="73"/>
        <v>Met</v>
      </c>
      <c r="Q283" s="360"/>
      <c r="R283" s="399">
        <v>7061921.29</v>
      </c>
      <c r="S283" s="400" t="str">
        <f t="shared" si="77"/>
        <v>Met</v>
      </c>
      <c r="U283" s="399">
        <v>29611934.289999999</v>
      </c>
      <c r="V283" s="400" t="str">
        <f t="shared" si="78"/>
        <v>Met</v>
      </c>
      <c r="X283" s="399">
        <v>3270.9223205187586</v>
      </c>
      <c r="Y283" s="400" t="str">
        <f t="shared" si="79"/>
        <v>Met</v>
      </c>
      <c r="AA283" s="399">
        <v>13715.578642890227</v>
      </c>
      <c r="AB283" s="400" t="str">
        <f t="shared" si="80"/>
        <v>Did not Meet</v>
      </c>
      <c r="AD283" s="366" t="str">
        <f t="shared" si="74"/>
        <v>Met</v>
      </c>
      <c r="AF283" s="399">
        <v>5221918.3</v>
      </c>
      <c r="AG283" s="400" t="str">
        <f t="shared" si="81"/>
        <v>Did not Meet</v>
      </c>
      <c r="AI283" s="399">
        <v>37514308.240000002</v>
      </c>
      <c r="AJ283" s="400" t="str">
        <f t="shared" si="82"/>
        <v>Met</v>
      </c>
      <c r="AL283" s="399">
        <f>VLOOKUP(A283,$A$5:$AF$315,32,0)/IFERROR(VLOOKUP(A283,'21-22 child count'!$A$3:$S$317,19,0),0)</f>
        <v>2353.2754844524561</v>
      </c>
      <c r="AM283" s="400" t="str">
        <f t="shared" si="83"/>
        <v>Did not Meet</v>
      </c>
      <c r="AO283" s="399">
        <f>VLOOKUP(A283,'42. SEA or LEA Worksheet'!$A$4:$AB$318,28,0)/IFERROR(VLOOKUP('42. SEA or LEA Worksheet'!A307,'21-22 child count'!$A$3:$S$317,3,0),0)</f>
        <v>288324.91017857142</v>
      </c>
      <c r="AP283" s="400" t="str">
        <f t="shared" si="84"/>
        <v>Did not Meet</v>
      </c>
      <c r="AR283" s="366" t="str">
        <f t="shared" si="75"/>
        <v>Met</v>
      </c>
      <c r="AU283" s="400" t="str">
        <f t="shared" si="85"/>
        <v>Did not Meet</v>
      </c>
      <c r="AX283" s="400" t="str">
        <f t="shared" si="86"/>
        <v>Did not Meet</v>
      </c>
      <c r="BA283" s="400" t="str">
        <f t="shared" si="87"/>
        <v>Did not Meet</v>
      </c>
      <c r="BD283" s="400" t="str">
        <f t="shared" si="88"/>
        <v>Did not Meet</v>
      </c>
      <c r="BF283" s="366" t="str">
        <f t="shared" si="76"/>
        <v>Met</v>
      </c>
    </row>
    <row r="284" spans="1:58">
      <c r="A284" t="s">
        <v>505</v>
      </c>
      <c r="B284" t="s">
        <v>981</v>
      </c>
      <c r="C284" s="360"/>
      <c r="D284" s="363">
        <v>4539126.32</v>
      </c>
      <c r="E284" t="s">
        <v>855</v>
      </c>
      <c r="F284" s="360"/>
      <c r="G284" s="363">
        <v>34033156.590000004</v>
      </c>
      <c r="H284" t="s">
        <v>834</v>
      </c>
      <c r="I284" s="360"/>
      <c r="J284" s="363">
        <v>2051.1189877993675</v>
      </c>
      <c r="K284" t="s">
        <v>855</v>
      </c>
      <c r="L284" s="360"/>
      <c r="M284" s="363">
        <v>15378.742245820154</v>
      </c>
      <c r="N284" t="s">
        <v>834</v>
      </c>
      <c r="O284" s="360"/>
      <c r="P284" s="366" t="str">
        <f t="shared" si="73"/>
        <v>Met</v>
      </c>
      <c r="Q284" s="360"/>
      <c r="R284" s="399">
        <v>6887577.9199999999</v>
      </c>
      <c r="S284" s="400" t="str">
        <f t="shared" si="77"/>
        <v>Did not Meet</v>
      </c>
      <c r="U284" s="399">
        <v>33916883.68</v>
      </c>
      <c r="V284" s="400" t="str">
        <f t="shared" si="78"/>
        <v>Met</v>
      </c>
      <c r="X284" s="399">
        <v>3309.7443152330611</v>
      </c>
      <c r="Y284" s="400" t="str">
        <f t="shared" si="79"/>
        <v>Did not Meet</v>
      </c>
      <c r="AA284" s="399">
        <v>16298.358327727054</v>
      </c>
      <c r="AB284" s="400" t="str">
        <f t="shared" si="80"/>
        <v>Met</v>
      </c>
      <c r="AD284" s="366" t="str">
        <f t="shared" si="74"/>
        <v>Met</v>
      </c>
      <c r="AF284" s="399">
        <v>9472483.5199999996</v>
      </c>
      <c r="AG284" s="400" t="str">
        <f t="shared" si="81"/>
        <v>Did not Meet</v>
      </c>
      <c r="AI284" s="399">
        <v>47048224.929999992</v>
      </c>
      <c r="AJ284" s="400" t="str">
        <f t="shared" si="82"/>
        <v>Met</v>
      </c>
      <c r="AL284" s="399">
        <f>VLOOKUP(A284,$A$5:$AF$315,32,0)/IFERROR(VLOOKUP(A284,'21-22 child count'!$A$3:$S$317,19,0),0)</f>
        <v>4428.4635437120151</v>
      </c>
      <c r="AM284" s="400" t="str">
        <f t="shared" si="83"/>
        <v>Did not Meet</v>
      </c>
      <c r="AO284" s="399">
        <f>VLOOKUP(A284,'42. SEA or LEA Worksheet'!$A$4:$AB$318,28,0)/IFERROR(VLOOKUP('42. SEA or LEA Worksheet'!A159,'21-22 child count'!$A$3:$S$317,3,0),0)</f>
        <v>198813.44661375659</v>
      </c>
      <c r="AP284" s="400" t="str">
        <f t="shared" si="84"/>
        <v>Met</v>
      </c>
      <c r="AR284" s="366" t="str">
        <f t="shared" si="75"/>
        <v>Met</v>
      </c>
      <c r="AU284" s="400" t="str">
        <f t="shared" si="85"/>
        <v>Did not Meet</v>
      </c>
      <c r="AX284" s="400" t="str">
        <f t="shared" si="86"/>
        <v>Did not Meet</v>
      </c>
      <c r="BA284" s="400" t="str">
        <f t="shared" si="87"/>
        <v>Did not Meet</v>
      </c>
      <c r="BD284" s="400" t="str">
        <f t="shared" si="88"/>
        <v>Did not Meet</v>
      </c>
      <c r="BF284" s="366" t="str">
        <f t="shared" si="76"/>
        <v>Met</v>
      </c>
    </row>
    <row r="285" spans="1:58">
      <c r="A285" t="s">
        <v>503</v>
      </c>
      <c r="B285" t="s">
        <v>980</v>
      </c>
      <c r="C285" s="360"/>
      <c r="D285" s="363">
        <v>2413869.7599999998</v>
      </c>
      <c r="E285" t="s">
        <v>855</v>
      </c>
      <c r="F285" s="360"/>
      <c r="G285" s="363">
        <v>14601873.299999999</v>
      </c>
      <c r="H285" t="s">
        <v>834</v>
      </c>
      <c r="I285" s="360"/>
      <c r="J285" s="363">
        <v>2430.8859617321245</v>
      </c>
      <c r="K285" t="s">
        <v>855</v>
      </c>
      <c r="L285" s="360"/>
      <c r="M285" s="363">
        <v>14704.806948640482</v>
      </c>
      <c r="N285" t="s">
        <v>855</v>
      </c>
      <c r="O285" s="360"/>
      <c r="P285" s="366" t="str">
        <f t="shared" si="73"/>
        <v>Met</v>
      </c>
      <c r="Q285" s="360"/>
      <c r="R285" s="399">
        <v>3217002.26</v>
      </c>
      <c r="S285" s="400" t="str">
        <f t="shared" si="77"/>
        <v>Did not Meet</v>
      </c>
      <c r="U285" s="399">
        <v>14599431.970000001</v>
      </c>
      <c r="V285" s="400" t="str">
        <f t="shared" si="78"/>
        <v>Met</v>
      </c>
      <c r="X285" s="399">
        <v>3361.5488610240332</v>
      </c>
      <c r="Y285" s="400" t="str">
        <f t="shared" si="79"/>
        <v>Did not Meet</v>
      </c>
      <c r="AA285" s="399">
        <v>15255.414806687566</v>
      </c>
      <c r="AB285" s="400" t="str">
        <f t="shared" si="80"/>
        <v>Did not Meet</v>
      </c>
      <c r="AD285" s="366" t="str">
        <f t="shared" si="74"/>
        <v>Met</v>
      </c>
      <c r="AF285" s="399">
        <v>4162483.84</v>
      </c>
      <c r="AG285" s="400" t="str">
        <f t="shared" si="81"/>
        <v>Did not Meet</v>
      </c>
      <c r="AI285" s="399">
        <v>20390686.129999999</v>
      </c>
      <c r="AJ285" s="400" t="str">
        <f t="shared" si="82"/>
        <v>Met</v>
      </c>
      <c r="AL285" s="399">
        <f>VLOOKUP(A285,$A$5:$AF$315,32,0)/IFERROR(VLOOKUP(A285,'21-22 child count'!$A$3:$S$317,19,0),0)</f>
        <v>4432.8901384451547</v>
      </c>
      <c r="AM285" s="400" t="str">
        <f t="shared" si="83"/>
        <v>Did not Meet</v>
      </c>
      <c r="AO285" s="399">
        <f>VLOOKUP(A285,'42. SEA or LEA Worksheet'!$A$4:$AB$318,28,0)/IFERROR(VLOOKUP('42. SEA or LEA Worksheet'!A158,'21-22 child count'!$A$3:$S$317,3,0),0)</f>
        <v>143319.44687499999</v>
      </c>
      <c r="AP285" s="400" t="str">
        <f t="shared" si="84"/>
        <v>Did not Meet</v>
      </c>
      <c r="AR285" s="366" t="str">
        <f t="shared" si="75"/>
        <v>Met</v>
      </c>
      <c r="AU285" s="400" t="str">
        <f t="shared" si="85"/>
        <v>Did not Meet</v>
      </c>
      <c r="AX285" s="400" t="str">
        <f t="shared" si="86"/>
        <v>Did not Meet</v>
      </c>
      <c r="BA285" s="400" t="str">
        <f t="shared" si="87"/>
        <v>Did not Meet</v>
      </c>
      <c r="BD285" s="400" t="str">
        <f t="shared" si="88"/>
        <v>Did not Meet</v>
      </c>
      <c r="BF285" s="366" t="str">
        <f t="shared" si="76"/>
        <v>Met</v>
      </c>
    </row>
    <row r="286" spans="1:58">
      <c r="A286" t="s">
        <v>531</v>
      </c>
      <c r="B286" t="s">
        <v>994</v>
      </c>
      <c r="C286" s="360"/>
      <c r="D286" s="363">
        <v>5343990.67</v>
      </c>
      <c r="E286" t="s">
        <v>855</v>
      </c>
      <c r="F286" s="360"/>
      <c r="G286" s="363">
        <v>32277381.560000002</v>
      </c>
      <c r="H286" t="s">
        <v>834</v>
      </c>
      <c r="I286" s="360"/>
      <c r="J286" s="363">
        <v>2299.4796342512909</v>
      </c>
      <c r="K286" t="s">
        <v>855</v>
      </c>
      <c r="L286" s="360"/>
      <c r="M286" s="363">
        <v>13888.718399311532</v>
      </c>
      <c r="N286" t="s">
        <v>855</v>
      </c>
      <c r="O286" s="360"/>
      <c r="P286" s="366" t="str">
        <f t="shared" si="73"/>
        <v>Met</v>
      </c>
      <c r="Q286" s="360"/>
      <c r="R286" s="399">
        <v>7883302.9500000002</v>
      </c>
      <c r="S286" s="400" t="str">
        <f t="shared" si="77"/>
        <v>Did not Meet</v>
      </c>
      <c r="U286" s="399">
        <v>33654235.07</v>
      </c>
      <c r="V286" s="400" t="str">
        <f t="shared" si="78"/>
        <v>Met</v>
      </c>
      <c r="X286" s="399">
        <v>3546.2451417004049</v>
      </c>
      <c r="Y286" s="400" t="str">
        <f t="shared" si="79"/>
        <v>Did not Meet</v>
      </c>
      <c r="AA286" s="399">
        <v>15139.107094017094</v>
      </c>
      <c r="AB286" s="400" t="str">
        <f t="shared" si="80"/>
        <v>Did not Meet</v>
      </c>
      <c r="AD286" s="366" t="str">
        <f t="shared" si="74"/>
        <v>Met</v>
      </c>
      <c r="AF286" s="399">
        <v>8701352.5800000001</v>
      </c>
      <c r="AG286" s="400" t="str">
        <f t="shared" si="81"/>
        <v>Did not Meet</v>
      </c>
      <c r="AI286" s="399">
        <v>45052504.890000001</v>
      </c>
      <c r="AJ286" s="400" t="str">
        <f t="shared" si="82"/>
        <v>Met</v>
      </c>
      <c r="AL286" s="399">
        <f>VLOOKUP(A286,$A$5:$AF$315,32,0)/IFERROR(VLOOKUP(A286,'21-22 child count'!$A$3:$S$317,19,0),0)</f>
        <v>3798.0587429070274</v>
      </c>
      <c r="AM286" s="400" t="str">
        <f t="shared" si="83"/>
        <v>Did not Meet</v>
      </c>
      <c r="AO286" s="399">
        <f>VLOOKUP(A286,'42. SEA or LEA Worksheet'!$A$4:$AB$318,28,0)/IFERROR(VLOOKUP('42. SEA or LEA Worksheet'!A172,'21-22 child count'!$A$3:$S$317,3,0),0)</f>
        <v>320560.88486725668</v>
      </c>
      <c r="AP286" s="400" t="str">
        <f t="shared" si="84"/>
        <v>Did not Meet</v>
      </c>
      <c r="AR286" s="366" t="str">
        <f t="shared" si="75"/>
        <v>Met</v>
      </c>
      <c r="AU286" s="400" t="str">
        <f t="shared" si="85"/>
        <v>Did not Meet</v>
      </c>
      <c r="AX286" s="400" t="str">
        <f t="shared" si="86"/>
        <v>Did not Meet</v>
      </c>
      <c r="BA286" s="400" t="str">
        <f t="shared" si="87"/>
        <v>Did not Meet</v>
      </c>
      <c r="BD286" s="400" t="str">
        <f t="shared" si="88"/>
        <v>Did not Meet</v>
      </c>
      <c r="BF286" s="366" t="str">
        <f t="shared" si="76"/>
        <v>Met</v>
      </c>
    </row>
    <row r="287" spans="1:58">
      <c r="A287" t="s">
        <v>203</v>
      </c>
      <c r="B287" t="s">
        <v>842</v>
      </c>
      <c r="C287" s="360"/>
      <c r="D287" s="363">
        <v>3693946.46</v>
      </c>
      <c r="E287" t="s">
        <v>855</v>
      </c>
      <c r="F287" s="360"/>
      <c r="G287" s="363">
        <v>29663824.880000003</v>
      </c>
      <c r="H287" t="s">
        <v>834</v>
      </c>
      <c r="I287" s="360"/>
      <c r="J287" s="363">
        <v>1877.0053150406504</v>
      </c>
      <c r="K287" t="s">
        <v>855</v>
      </c>
      <c r="L287" s="360"/>
      <c r="M287" s="363">
        <v>15073.081747967481</v>
      </c>
      <c r="N287" t="s">
        <v>834</v>
      </c>
      <c r="O287" s="360"/>
      <c r="P287" s="366" t="str">
        <f t="shared" si="73"/>
        <v>Met</v>
      </c>
      <c r="Q287" s="360"/>
      <c r="R287" s="399">
        <v>6917692.9500000002</v>
      </c>
      <c r="S287" s="400" t="str">
        <f t="shared" si="77"/>
        <v>Did not Meet</v>
      </c>
      <c r="U287" s="399">
        <v>32219116.620000001</v>
      </c>
      <c r="V287" s="400" t="str">
        <f t="shared" si="78"/>
        <v>Met</v>
      </c>
      <c r="X287" s="399">
        <v>3621.8287696335078</v>
      </c>
      <c r="Y287" s="400" t="str">
        <f t="shared" si="79"/>
        <v>Did not Meet</v>
      </c>
      <c r="AA287" s="399">
        <v>16868.647445026178</v>
      </c>
      <c r="AB287" s="400" t="str">
        <f t="shared" si="80"/>
        <v>Met</v>
      </c>
      <c r="AD287" s="366" t="str">
        <f t="shared" si="74"/>
        <v>Met</v>
      </c>
      <c r="AF287" s="399">
        <v>8245391</v>
      </c>
      <c r="AG287" s="400" t="str">
        <f t="shared" si="81"/>
        <v>Did not Meet</v>
      </c>
      <c r="AI287" s="399">
        <v>41752973.359999999</v>
      </c>
      <c r="AJ287" s="400" t="str">
        <f t="shared" si="82"/>
        <v>Met</v>
      </c>
      <c r="AL287" s="399">
        <f>VLOOKUP(A287,$A$5:$AF$315,32,0)/IFERROR(VLOOKUP(A287,'21-22 child count'!$A$3:$S$317,19,0),0)</f>
        <v>4328.2892388451446</v>
      </c>
      <c r="AM287" s="400" t="str">
        <f t="shared" si="83"/>
        <v>Did not Meet</v>
      </c>
      <c r="AO287" s="399">
        <f>VLOOKUP(A287,'42. SEA or LEA Worksheet'!$A$4:$AB$318,28,0)/IFERROR(VLOOKUP('42. SEA or LEA Worksheet'!A10,'21-22 child count'!$A$3:$S$317,3,0),0)</f>
        <v>274989.18900826445</v>
      </c>
      <c r="AP287" s="400" t="str">
        <f t="shared" si="84"/>
        <v>Met</v>
      </c>
      <c r="AR287" s="366" t="str">
        <f t="shared" si="75"/>
        <v>Met</v>
      </c>
      <c r="AU287" s="400" t="str">
        <f t="shared" si="85"/>
        <v>Did not Meet</v>
      </c>
      <c r="AX287" s="400" t="str">
        <f t="shared" si="86"/>
        <v>Did not Meet</v>
      </c>
      <c r="BA287" s="400" t="str">
        <f t="shared" si="87"/>
        <v>Did not Meet</v>
      </c>
      <c r="BD287" s="400" t="str">
        <f t="shared" si="88"/>
        <v>Did not Meet</v>
      </c>
      <c r="BF287" s="366" t="str">
        <f t="shared" si="76"/>
        <v>Met</v>
      </c>
    </row>
    <row r="288" spans="1:58">
      <c r="A288" t="s">
        <v>213</v>
      </c>
      <c r="B288" t="s">
        <v>846</v>
      </c>
      <c r="C288" s="360"/>
      <c r="D288" s="363">
        <v>3149706.69</v>
      </c>
      <c r="E288" t="s">
        <v>855</v>
      </c>
      <c r="F288" s="360"/>
      <c r="G288" s="363">
        <v>23138778.66</v>
      </c>
      <c r="H288" t="s">
        <v>834</v>
      </c>
      <c r="I288" s="360"/>
      <c r="J288" s="363">
        <v>1863.7317692307693</v>
      </c>
      <c r="K288" t="s">
        <v>855</v>
      </c>
      <c r="L288" s="360"/>
      <c r="M288" s="363">
        <v>13691.585005917161</v>
      </c>
      <c r="N288" t="s">
        <v>834</v>
      </c>
      <c r="O288" s="360"/>
      <c r="P288" s="366" t="str">
        <f t="shared" si="73"/>
        <v>Met</v>
      </c>
      <c r="Q288" s="360"/>
      <c r="R288" s="399">
        <v>6366014.1699999999</v>
      </c>
      <c r="S288" s="400" t="str">
        <f t="shared" si="77"/>
        <v>Did not Meet</v>
      </c>
      <c r="U288" s="399">
        <v>25600512.039999999</v>
      </c>
      <c r="V288" s="400" t="str">
        <f t="shared" si="78"/>
        <v>Met</v>
      </c>
      <c r="X288" s="399">
        <v>3722.8153040935672</v>
      </c>
      <c r="Y288" s="400" t="str">
        <f t="shared" si="79"/>
        <v>Did not Meet</v>
      </c>
      <c r="AA288" s="399">
        <v>14971.059672514619</v>
      </c>
      <c r="AB288" s="400" t="str">
        <f t="shared" si="80"/>
        <v>Met</v>
      </c>
      <c r="AD288" s="366" t="str">
        <f t="shared" si="74"/>
        <v>Met</v>
      </c>
      <c r="AF288" s="399">
        <v>7623142.1200000001</v>
      </c>
      <c r="AG288" s="400" t="str">
        <f t="shared" si="81"/>
        <v>Did not Meet</v>
      </c>
      <c r="AI288" s="399">
        <v>36161709.310000002</v>
      </c>
      <c r="AJ288" s="400" t="str">
        <f t="shared" si="82"/>
        <v>Met</v>
      </c>
      <c r="AL288" s="399">
        <f>VLOOKUP(A288,$A$5:$AF$315,32,0)/IFERROR(VLOOKUP(A288,'21-22 child count'!$A$3:$S$317,19,0),0)</f>
        <v>4376.0861768082668</v>
      </c>
      <c r="AM288" s="400" t="str">
        <f t="shared" si="83"/>
        <v>Did not Meet</v>
      </c>
      <c r="AO288" s="399">
        <f>VLOOKUP(A288,'42. SEA or LEA Worksheet'!$A$4:$AB$318,28,0)/IFERROR(VLOOKUP('42. SEA or LEA Worksheet'!A14,'21-22 child count'!$A$3:$S$317,3,0),0)</f>
        <v>150315.29132275135</v>
      </c>
      <c r="AP288" s="400" t="str">
        <f t="shared" si="84"/>
        <v>Met</v>
      </c>
      <c r="AR288" s="366" t="str">
        <f t="shared" si="75"/>
        <v>Met</v>
      </c>
      <c r="AU288" s="400" t="str">
        <f t="shared" si="85"/>
        <v>Did not Meet</v>
      </c>
      <c r="AX288" s="400" t="str">
        <f t="shared" si="86"/>
        <v>Did not Meet</v>
      </c>
      <c r="BA288" s="400" t="str">
        <f t="shared" si="87"/>
        <v>Did not Meet</v>
      </c>
      <c r="BD288" s="400" t="str">
        <f t="shared" si="88"/>
        <v>Did not Meet</v>
      </c>
      <c r="BF288" s="366" t="str">
        <f t="shared" si="76"/>
        <v>Met</v>
      </c>
    </row>
    <row r="289" spans="1:58">
      <c r="A289" t="s">
        <v>763</v>
      </c>
      <c r="B289" t="s">
        <v>1100</v>
      </c>
      <c r="C289" s="360"/>
      <c r="D289" s="363">
        <v>120906.88</v>
      </c>
      <c r="E289" t="s">
        <v>834</v>
      </c>
      <c r="F289" s="360"/>
      <c r="G289" s="363">
        <v>2569889.54</v>
      </c>
      <c r="H289" t="s">
        <v>834</v>
      </c>
      <c r="I289" s="360"/>
      <c r="J289" s="363">
        <v>633.02031413612565</v>
      </c>
      <c r="K289" t="s">
        <v>834</v>
      </c>
      <c r="L289" s="360"/>
      <c r="M289" s="363">
        <v>13454.919057591624</v>
      </c>
      <c r="N289" t="s">
        <v>855</v>
      </c>
      <c r="O289" s="360"/>
      <c r="P289" s="366" t="str">
        <f t="shared" si="73"/>
        <v>Met</v>
      </c>
      <c r="Q289" s="360"/>
      <c r="R289" s="399">
        <v>120936.47</v>
      </c>
      <c r="S289" s="400" t="str">
        <f t="shared" si="77"/>
        <v>Met</v>
      </c>
      <c r="U289" s="399">
        <v>2710502.54</v>
      </c>
      <c r="V289" s="400" t="str">
        <f t="shared" si="78"/>
        <v>Met</v>
      </c>
      <c r="X289" s="399">
        <v>671.86927777777782</v>
      </c>
      <c r="Y289" s="400" t="str">
        <f t="shared" si="79"/>
        <v>Met</v>
      </c>
      <c r="AA289" s="399">
        <v>15058.347444444446</v>
      </c>
      <c r="AB289" s="400" t="str">
        <f t="shared" si="80"/>
        <v>Did not Meet</v>
      </c>
      <c r="AD289" s="366" t="str">
        <f t="shared" si="74"/>
        <v>Met</v>
      </c>
      <c r="AF289" s="399">
        <v>126661.05</v>
      </c>
      <c r="AG289" s="400" t="str">
        <f t="shared" si="81"/>
        <v>Met</v>
      </c>
      <c r="AI289" s="399">
        <v>2836333.29</v>
      </c>
      <c r="AJ289" s="400" t="str">
        <f t="shared" si="82"/>
        <v>Met</v>
      </c>
      <c r="AL289" s="399">
        <f>VLOOKUP(A289,$A$5:$AF$315,32,0)/IFERROR(VLOOKUP(A289,'21-22 child count'!$A$3:$S$317,19,0),0)</f>
        <v>711.57893258426964</v>
      </c>
      <c r="AM289" s="400" t="str">
        <f t="shared" si="83"/>
        <v>Met</v>
      </c>
      <c r="AO289" s="399">
        <f>VLOOKUP(A289,'42. SEA or LEA Worksheet'!$A$4:$AB$318,28,0)/IFERROR(VLOOKUP('42. SEA or LEA Worksheet'!A283,'21-22 child count'!$A$3:$S$317,3,0),0)</f>
        <v>24091.795446428569</v>
      </c>
      <c r="AP289" s="400" t="str">
        <f t="shared" si="84"/>
        <v>Did not Meet</v>
      </c>
      <c r="AR289" s="366" t="str">
        <f t="shared" si="75"/>
        <v>Met</v>
      </c>
      <c r="AU289" s="400" t="str">
        <f t="shared" si="85"/>
        <v>Did not Meet</v>
      </c>
      <c r="AX289" s="400" t="str">
        <f t="shared" si="86"/>
        <v>Did not Meet</v>
      </c>
      <c r="BA289" s="400" t="str">
        <f t="shared" si="87"/>
        <v>Did not Meet</v>
      </c>
      <c r="BD289" s="400" t="str">
        <f t="shared" si="88"/>
        <v>Did not Meet</v>
      </c>
      <c r="BF289" s="366" t="str">
        <f t="shared" si="76"/>
        <v>Met</v>
      </c>
    </row>
    <row r="290" spans="1:58">
      <c r="A290" t="s">
        <v>765</v>
      </c>
      <c r="B290" t="s">
        <v>1101</v>
      </c>
      <c r="C290" s="360"/>
      <c r="D290" s="363">
        <v>0</v>
      </c>
      <c r="E290" t="s">
        <v>834</v>
      </c>
      <c r="F290" s="360"/>
      <c r="G290" s="363">
        <v>890936.37</v>
      </c>
      <c r="H290" t="s">
        <v>834</v>
      </c>
      <c r="I290" s="360"/>
      <c r="J290" s="363">
        <v>0</v>
      </c>
      <c r="K290" t="s">
        <v>834</v>
      </c>
      <c r="L290" s="360"/>
      <c r="M290" s="363">
        <v>9790.509560439561</v>
      </c>
      <c r="N290" t="s">
        <v>834</v>
      </c>
      <c r="O290" s="360"/>
      <c r="P290" s="366" t="str">
        <f t="shared" si="73"/>
        <v>Met</v>
      </c>
      <c r="Q290" s="360"/>
      <c r="R290" s="399">
        <v>0</v>
      </c>
      <c r="S290" s="400" t="str">
        <f t="shared" si="77"/>
        <v>Met</v>
      </c>
      <c r="U290" s="399">
        <v>830324.99</v>
      </c>
      <c r="V290" s="400" t="str">
        <f t="shared" si="78"/>
        <v>Met</v>
      </c>
      <c r="X290" s="399">
        <v>0</v>
      </c>
      <c r="Y290" s="400" t="str">
        <f t="shared" si="79"/>
        <v>Met</v>
      </c>
      <c r="AA290" s="399">
        <v>9654.941744186046</v>
      </c>
      <c r="AB290" s="400" t="str">
        <f t="shared" si="80"/>
        <v>Did not Meet</v>
      </c>
      <c r="AD290" s="366" t="str">
        <f t="shared" si="74"/>
        <v>Met</v>
      </c>
      <c r="AF290" s="399">
        <v>0</v>
      </c>
      <c r="AG290" s="400" t="str">
        <f t="shared" si="81"/>
        <v>Met</v>
      </c>
      <c r="AI290" s="399">
        <v>732218.66</v>
      </c>
      <c r="AJ290" s="400" t="str">
        <f t="shared" si="82"/>
        <v>Did not Meet</v>
      </c>
      <c r="AL290" s="399">
        <f>VLOOKUP(A290,$A$5:$AF$315,32,0)/IFERROR(VLOOKUP(A290,'21-22 child count'!$A$3:$S$317,19,0),0)</f>
        <v>0</v>
      </c>
      <c r="AM290" s="400" t="str">
        <f t="shared" si="83"/>
        <v>Met</v>
      </c>
      <c r="AO290" s="399">
        <f>VLOOKUP(A290,'42. SEA or LEA Worksheet'!$A$4:$AB$318,28,0)/IFERROR(VLOOKUP('42. SEA or LEA Worksheet'!A284,'21-22 child count'!$A$3:$S$317,3,0),0)</f>
        <v>6051.3938842975213</v>
      </c>
      <c r="AP290" s="400" t="str">
        <f t="shared" si="84"/>
        <v>Did not Meet</v>
      </c>
      <c r="AR290" s="366" t="str">
        <f t="shared" si="75"/>
        <v>Met</v>
      </c>
      <c r="AU290" s="400" t="str">
        <f t="shared" si="85"/>
        <v>Met</v>
      </c>
      <c r="AX290" s="400" t="str">
        <f t="shared" si="86"/>
        <v>Did not Meet</v>
      </c>
      <c r="BA290" s="400" t="str">
        <f t="shared" si="87"/>
        <v>Met</v>
      </c>
      <c r="BD290" s="400" t="str">
        <f t="shared" si="88"/>
        <v>Did not Meet</v>
      </c>
      <c r="BF290" s="366" t="str">
        <f t="shared" si="76"/>
        <v>Met</v>
      </c>
    </row>
    <row r="291" spans="1:58">
      <c r="A291" t="s">
        <v>676</v>
      </c>
      <c r="B291" t="s">
        <v>1060</v>
      </c>
      <c r="C291" s="360"/>
      <c r="D291" s="363">
        <v>801761.25</v>
      </c>
      <c r="E291" t="s">
        <v>855</v>
      </c>
      <c r="F291" s="360"/>
      <c r="G291" s="363">
        <v>11798150.199999999</v>
      </c>
      <c r="H291" t="s">
        <v>834</v>
      </c>
      <c r="I291" s="360"/>
      <c r="J291" s="363">
        <v>995.97670807453414</v>
      </c>
      <c r="K291" t="s">
        <v>855</v>
      </c>
      <c r="L291" s="360"/>
      <c r="M291" s="363">
        <v>14656.087204968942</v>
      </c>
      <c r="N291" t="s">
        <v>834</v>
      </c>
      <c r="O291" s="360"/>
      <c r="P291" s="366" t="str">
        <f t="shared" si="73"/>
        <v>Met</v>
      </c>
      <c r="Q291" s="360"/>
      <c r="R291" s="399">
        <v>2763656.08</v>
      </c>
      <c r="S291" s="400" t="str">
        <f t="shared" si="77"/>
        <v>Did not Meet</v>
      </c>
      <c r="U291" s="399">
        <v>12609756.449999999</v>
      </c>
      <c r="V291" s="400" t="str">
        <f t="shared" si="78"/>
        <v>Met</v>
      </c>
      <c r="X291" s="399">
        <v>3785.8302465753427</v>
      </c>
      <c r="Y291" s="400" t="str">
        <f t="shared" si="79"/>
        <v>Did not Meet</v>
      </c>
      <c r="AA291" s="399">
        <v>17273.638972602737</v>
      </c>
      <c r="AB291" s="400" t="str">
        <f t="shared" si="80"/>
        <v>Met</v>
      </c>
      <c r="AD291" s="366" t="str">
        <f t="shared" si="74"/>
        <v>Met</v>
      </c>
      <c r="AF291" s="399">
        <v>3847184.56</v>
      </c>
      <c r="AG291" s="400" t="str">
        <f t="shared" si="81"/>
        <v>Did not Meet</v>
      </c>
      <c r="AI291" s="399">
        <v>17534610.419999998</v>
      </c>
      <c r="AJ291" s="400" t="str">
        <f t="shared" si="82"/>
        <v>Met</v>
      </c>
      <c r="AL291" s="399">
        <f>VLOOKUP(A291,$A$5:$AF$315,32,0)/IFERROR(VLOOKUP(A291,'21-22 child count'!$A$3:$S$317,19,0),0)</f>
        <v>5380.6777062937063</v>
      </c>
      <c r="AM291" s="400" t="str">
        <f t="shared" si="83"/>
        <v>Did not Meet</v>
      </c>
      <c r="AO291" s="399">
        <f>VLOOKUP(A291,'42. SEA or LEA Worksheet'!$A$4:$AB$318,28,0)/IFERROR(VLOOKUP('42. SEA or LEA Worksheet'!A240,'21-22 child count'!$A$3:$S$317,3,0),0)</f>
        <v>120064.35</v>
      </c>
      <c r="AP291" s="400" t="str">
        <f t="shared" si="84"/>
        <v>Met</v>
      </c>
      <c r="AR291" s="366" t="str">
        <f t="shared" si="75"/>
        <v>Met</v>
      </c>
      <c r="AU291" s="400" t="str">
        <f t="shared" si="85"/>
        <v>Did not Meet</v>
      </c>
      <c r="AX291" s="400" t="str">
        <f t="shared" si="86"/>
        <v>Did not Meet</v>
      </c>
      <c r="BA291" s="400" t="str">
        <f t="shared" si="87"/>
        <v>Did not Meet</v>
      </c>
      <c r="BD291" s="400" t="str">
        <f t="shared" si="88"/>
        <v>Did not Meet</v>
      </c>
      <c r="BF291" s="366" t="str">
        <f t="shared" si="76"/>
        <v>Met</v>
      </c>
    </row>
    <row r="292" spans="1:58">
      <c r="A292" t="s">
        <v>624</v>
      </c>
      <c r="B292" t="s">
        <v>1037</v>
      </c>
      <c r="C292" s="360"/>
      <c r="D292" s="363">
        <v>7743168.04</v>
      </c>
      <c r="E292" t="s">
        <v>855</v>
      </c>
      <c r="F292" s="360"/>
      <c r="G292" s="363">
        <v>39464770.880000003</v>
      </c>
      <c r="H292" t="s">
        <v>834</v>
      </c>
      <c r="I292" s="360"/>
      <c r="J292" s="363">
        <v>3412.5905861613046</v>
      </c>
      <c r="K292" t="s">
        <v>855</v>
      </c>
      <c r="L292" s="360"/>
      <c r="M292" s="363">
        <v>17393.023746143677</v>
      </c>
      <c r="N292" t="s">
        <v>834</v>
      </c>
      <c r="O292" s="360"/>
      <c r="P292" s="366" t="str">
        <f t="shared" si="73"/>
        <v>Met</v>
      </c>
      <c r="Q292" s="360"/>
      <c r="R292" s="399">
        <v>9893053.1300000008</v>
      </c>
      <c r="S292" s="400" t="str">
        <f t="shared" si="77"/>
        <v>Did not Meet</v>
      </c>
      <c r="U292" s="399">
        <v>40365725.990000002</v>
      </c>
      <c r="V292" s="400" t="str">
        <f t="shared" si="78"/>
        <v>Met</v>
      </c>
      <c r="X292" s="399">
        <v>4344.7751998243302</v>
      </c>
      <c r="Y292" s="400" t="str">
        <f t="shared" si="79"/>
        <v>Did not Meet</v>
      </c>
      <c r="AA292" s="399">
        <v>17727.591563460694</v>
      </c>
      <c r="AB292" s="400" t="str">
        <f t="shared" si="80"/>
        <v>Met</v>
      </c>
      <c r="AD292" s="366" t="str">
        <f t="shared" si="74"/>
        <v>Met</v>
      </c>
      <c r="AF292" s="399">
        <v>9567951.5600000005</v>
      </c>
      <c r="AG292" s="400" t="str">
        <f t="shared" si="81"/>
        <v>Did not Meet</v>
      </c>
      <c r="AI292" s="399">
        <v>48864085.780000001</v>
      </c>
      <c r="AJ292" s="400" t="str">
        <f t="shared" si="82"/>
        <v>Met</v>
      </c>
      <c r="AL292" s="399">
        <f>VLOOKUP(A292,$A$5:$AF$315,32,0)/IFERROR(VLOOKUP(A292,'21-22 child count'!$A$3:$S$317,19,0),0)</f>
        <v>4485.6781809657759</v>
      </c>
      <c r="AM292" s="400" t="str">
        <f t="shared" si="83"/>
        <v>Did not Meet</v>
      </c>
      <c r="AO292" s="399">
        <f>VLOOKUP(A292,'42. SEA or LEA Worksheet'!$A$4:$AB$318,28,0)/IFERROR(VLOOKUP('42. SEA or LEA Worksheet'!A216,'21-22 child count'!$A$3:$S$317,3,0),0)</f>
        <v>347753.40017699113</v>
      </c>
      <c r="AP292" s="400" t="str">
        <f t="shared" si="84"/>
        <v>Met</v>
      </c>
      <c r="AR292" s="366" t="str">
        <f t="shared" si="75"/>
        <v>Met</v>
      </c>
      <c r="AU292" s="400" t="str">
        <f t="shared" si="85"/>
        <v>Did not Meet</v>
      </c>
      <c r="AX292" s="400" t="str">
        <f t="shared" si="86"/>
        <v>Did not Meet</v>
      </c>
      <c r="BA292" s="400" t="str">
        <f t="shared" si="87"/>
        <v>Did not Meet</v>
      </c>
      <c r="BD292" s="400" t="str">
        <f t="shared" si="88"/>
        <v>Did not Meet</v>
      </c>
      <c r="BF292" s="366" t="str">
        <f t="shared" si="76"/>
        <v>Met</v>
      </c>
    </row>
    <row r="293" spans="1:58">
      <c r="A293" t="s">
        <v>751</v>
      </c>
      <c r="B293" t="s">
        <v>1094</v>
      </c>
      <c r="C293" s="360"/>
      <c r="D293" s="363">
        <v>357300.1</v>
      </c>
      <c r="E293" t="s">
        <v>834</v>
      </c>
      <c r="F293" s="360"/>
      <c r="G293" s="363">
        <v>5353725.55</v>
      </c>
      <c r="H293" t="s">
        <v>834</v>
      </c>
      <c r="I293" s="360"/>
      <c r="J293" s="363">
        <v>1020.8574285714285</v>
      </c>
      <c r="K293" t="s">
        <v>834</v>
      </c>
      <c r="L293" s="360"/>
      <c r="M293" s="363">
        <v>15296.358714285714</v>
      </c>
      <c r="N293" t="s">
        <v>855</v>
      </c>
      <c r="O293" s="360"/>
      <c r="P293" s="366" t="str">
        <f t="shared" si="73"/>
        <v>Met</v>
      </c>
      <c r="Q293" s="360"/>
      <c r="R293" s="399">
        <v>1454292.01</v>
      </c>
      <c r="S293" s="400" t="str">
        <f t="shared" si="77"/>
        <v>Met</v>
      </c>
      <c r="U293" s="399">
        <v>5634595.0499999998</v>
      </c>
      <c r="V293" s="400" t="str">
        <f t="shared" si="78"/>
        <v>Met</v>
      </c>
      <c r="X293" s="399">
        <v>4461.0184355828223</v>
      </c>
      <c r="Y293" s="400" t="str">
        <f t="shared" si="79"/>
        <v>Met</v>
      </c>
      <c r="AA293" s="399">
        <v>17284.033895705521</v>
      </c>
      <c r="AB293" s="400" t="str">
        <f t="shared" si="80"/>
        <v>Did not Meet</v>
      </c>
      <c r="AD293" s="366" t="str">
        <f t="shared" si="74"/>
        <v>Met</v>
      </c>
      <c r="AF293" s="399">
        <v>0</v>
      </c>
      <c r="AG293" s="400" t="str">
        <f t="shared" si="81"/>
        <v>Did not Meet</v>
      </c>
      <c r="AI293" s="399">
        <v>5987123.96</v>
      </c>
      <c r="AJ293" s="400" t="str">
        <f t="shared" si="82"/>
        <v>Met</v>
      </c>
      <c r="AL293" s="399">
        <f>VLOOKUP(A293,$A$5:$AF$315,32,0)/IFERROR(VLOOKUP(A293,'21-22 child count'!$A$3:$S$317,19,0),0)</f>
        <v>0</v>
      </c>
      <c r="AM293" s="400" t="str">
        <f t="shared" si="83"/>
        <v>Did not Meet</v>
      </c>
      <c r="AO293" s="399">
        <f>VLOOKUP(A293,'42. SEA or LEA Worksheet'!$A$4:$AB$318,28,0)/IFERROR(VLOOKUP('42. SEA or LEA Worksheet'!A277,'21-22 child count'!$A$3:$S$317,3,0),0)</f>
        <v>57020.228190476191</v>
      </c>
      <c r="AP293" s="400" t="str">
        <f t="shared" si="84"/>
        <v>Did not Meet</v>
      </c>
      <c r="AR293" s="366" t="str">
        <f t="shared" si="75"/>
        <v>Met</v>
      </c>
      <c r="AU293" s="400" t="str">
        <f t="shared" si="85"/>
        <v>Did not Meet</v>
      </c>
      <c r="AX293" s="400" t="str">
        <f t="shared" si="86"/>
        <v>Did not Meet</v>
      </c>
      <c r="BA293" s="400" t="str">
        <f t="shared" si="87"/>
        <v>Did not Meet</v>
      </c>
      <c r="BD293" s="400" t="str">
        <f t="shared" si="88"/>
        <v>Did not Meet</v>
      </c>
      <c r="BF293" s="366" t="str">
        <f t="shared" si="76"/>
        <v>Met</v>
      </c>
    </row>
    <row r="294" spans="1:58">
      <c r="A294" t="s">
        <v>773</v>
      </c>
      <c r="B294" t="s">
        <v>1105</v>
      </c>
      <c r="C294" s="360"/>
      <c r="D294" s="363">
        <v>0</v>
      </c>
      <c r="E294" t="s">
        <v>834</v>
      </c>
      <c r="F294" s="360"/>
      <c r="G294" s="363">
        <v>3727303.96</v>
      </c>
      <c r="H294" t="s">
        <v>834</v>
      </c>
      <c r="I294" s="360"/>
      <c r="J294" s="363">
        <v>0</v>
      </c>
      <c r="K294" t="s">
        <v>834</v>
      </c>
      <c r="L294" s="360"/>
      <c r="M294" s="363">
        <v>8790.811226415095</v>
      </c>
      <c r="N294" t="s">
        <v>855</v>
      </c>
      <c r="O294" s="360"/>
      <c r="P294" s="366" t="str">
        <f t="shared" si="73"/>
        <v>Met</v>
      </c>
      <c r="Q294" s="360"/>
      <c r="R294" s="399">
        <v>0</v>
      </c>
      <c r="S294" s="400" t="str">
        <f t="shared" si="77"/>
        <v>Met</v>
      </c>
      <c r="U294" s="399">
        <v>4103783.58</v>
      </c>
      <c r="V294" s="400" t="str">
        <f t="shared" si="78"/>
        <v>Met</v>
      </c>
      <c r="X294" s="399">
        <v>0</v>
      </c>
      <c r="Y294" s="400" t="str">
        <f t="shared" si="79"/>
        <v>Met</v>
      </c>
      <c r="AA294" s="399">
        <v>9984.8748905109496</v>
      </c>
      <c r="AB294" s="400" t="str">
        <f t="shared" si="80"/>
        <v>Did not Meet</v>
      </c>
      <c r="AD294" s="366" t="str">
        <f t="shared" si="74"/>
        <v>Met</v>
      </c>
      <c r="AF294" s="399">
        <v>0</v>
      </c>
      <c r="AG294" s="400" t="str">
        <f t="shared" si="81"/>
        <v>Met</v>
      </c>
      <c r="AI294" s="399">
        <v>4339975.3</v>
      </c>
      <c r="AJ294" s="400" t="str">
        <f t="shared" si="82"/>
        <v>Met</v>
      </c>
      <c r="AL294" s="399">
        <f>VLOOKUP(A294,$A$5:$AF$315,32,0)/IFERROR(VLOOKUP(A294,'21-22 child count'!$A$3:$S$317,19,0),0)</f>
        <v>0</v>
      </c>
      <c r="AM294" s="400" t="str">
        <f t="shared" si="83"/>
        <v>Met</v>
      </c>
      <c r="AO294" s="399">
        <f>VLOOKUP(A294,'42. SEA or LEA Worksheet'!$A$4:$AB$318,28,0)/IFERROR(VLOOKUP('42. SEA or LEA Worksheet'!A288,'21-22 child count'!$A$3:$S$317,3,0),0)</f>
        <v>42970.052475247525</v>
      </c>
      <c r="AP294" s="400" t="str">
        <f t="shared" si="84"/>
        <v>Did not Meet</v>
      </c>
      <c r="AR294" s="366" t="str">
        <f t="shared" si="75"/>
        <v>Met</v>
      </c>
      <c r="AU294" s="400" t="str">
        <f t="shared" si="85"/>
        <v>Met</v>
      </c>
      <c r="AX294" s="400" t="str">
        <f t="shared" si="86"/>
        <v>Did not Meet</v>
      </c>
      <c r="BA294" s="400" t="str">
        <f t="shared" si="87"/>
        <v>Met</v>
      </c>
      <c r="BD294" s="400" t="str">
        <f t="shared" si="88"/>
        <v>Did not Meet</v>
      </c>
      <c r="BF294" s="366" t="str">
        <f t="shared" si="76"/>
        <v>Met</v>
      </c>
    </row>
    <row r="295" spans="1:58">
      <c r="A295" t="s">
        <v>619</v>
      </c>
      <c r="B295" t="s">
        <v>1159</v>
      </c>
      <c r="C295" s="360"/>
      <c r="D295" s="363">
        <v>93520.8</v>
      </c>
      <c r="E295" t="s">
        <v>855</v>
      </c>
      <c r="F295" s="360"/>
      <c r="G295" s="363">
        <v>492558.58</v>
      </c>
      <c r="H295" t="s">
        <v>834</v>
      </c>
      <c r="I295" s="360"/>
      <c r="J295" s="363">
        <v>2078.2400000000002</v>
      </c>
      <c r="K295" t="s">
        <v>855</v>
      </c>
      <c r="L295" s="360"/>
      <c r="M295" s="363">
        <v>10945.746222222222</v>
      </c>
      <c r="N295" t="s">
        <v>855</v>
      </c>
      <c r="O295" s="360"/>
      <c r="P295" s="366" t="str">
        <f t="shared" si="73"/>
        <v>Met</v>
      </c>
      <c r="Q295" s="360"/>
      <c r="R295" s="399">
        <v>139307.26</v>
      </c>
      <c r="S295" s="400" t="str">
        <f t="shared" si="77"/>
        <v>Did not Meet</v>
      </c>
      <c r="U295" s="399">
        <v>398592.29000000004</v>
      </c>
      <c r="V295" s="400" t="str">
        <f t="shared" si="78"/>
        <v>Met</v>
      </c>
      <c r="X295" s="399">
        <v>4493.7825806451619</v>
      </c>
      <c r="Y295" s="400" t="str">
        <f t="shared" si="79"/>
        <v>Did not Meet</v>
      </c>
      <c r="AA295" s="399">
        <v>12857.815806451614</v>
      </c>
      <c r="AB295" s="400" t="str">
        <f t="shared" si="80"/>
        <v>Did not Meet</v>
      </c>
      <c r="AD295" s="366" t="str">
        <f t="shared" si="74"/>
        <v>Met</v>
      </c>
      <c r="AF295" s="399">
        <v>0</v>
      </c>
      <c r="AG295" s="400" t="str">
        <f t="shared" si="81"/>
        <v>Did not Meet</v>
      </c>
      <c r="AI295" s="399">
        <v>487519.56</v>
      </c>
      <c r="AJ295" s="400" t="str">
        <f t="shared" si="82"/>
        <v>Met</v>
      </c>
      <c r="AL295" s="399">
        <f>VLOOKUP(A295,$A$5:$AF$315,32,0)/IFERROR(VLOOKUP(A295,'21-22 child count'!$A$3:$S$317,19,0),0)</f>
        <v>0</v>
      </c>
      <c r="AM295" s="400" t="str">
        <f t="shared" si="83"/>
        <v>Did not Meet</v>
      </c>
      <c r="AO295" s="399">
        <f>AI295/'21-22 child count'!S219</f>
        <v>13176.204324324324</v>
      </c>
      <c r="AP295" s="400" t="str">
        <f t="shared" si="84"/>
        <v>Did not Meet</v>
      </c>
      <c r="AR295" s="366" t="str">
        <f t="shared" si="75"/>
        <v>Met</v>
      </c>
      <c r="AU295" s="400" t="str">
        <f t="shared" si="85"/>
        <v>Did not Meet</v>
      </c>
      <c r="AX295" s="400" t="str">
        <f t="shared" si="86"/>
        <v>Did not Meet</v>
      </c>
      <c r="BA295" s="400" t="str">
        <f t="shared" si="87"/>
        <v>Did not Meet</v>
      </c>
      <c r="BD295" s="400" t="str">
        <f t="shared" si="88"/>
        <v>Did not Meet</v>
      </c>
      <c r="BF295" s="366" t="str">
        <f t="shared" si="76"/>
        <v>Met</v>
      </c>
    </row>
    <row r="296" spans="1:58">
      <c r="A296" t="s">
        <v>440</v>
      </c>
      <c r="B296" t="s">
        <v>949</v>
      </c>
      <c r="C296" s="360"/>
      <c r="D296" s="363">
        <v>11202590.439999999</v>
      </c>
      <c r="E296" t="s">
        <v>855</v>
      </c>
      <c r="F296" s="360"/>
      <c r="G296" s="363">
        <v>55670861.909999996</v>
      </c>
      <c r="H296" t="s">
        <v>834</v>
      </c>
      <c r="I296" s="360"/>
      <c r="J296" s="363">
        <v>3433.2180324854426</v>
      </c>
      <c r="K296" t="s">
        <v>855</v>
      </c>
      <c r="L296" s="360"/>
      <c r="M296" s="363">
        <v>17061.250968433957</v>
      </c>
      <c r="N296" t="s">
        <v>834</v>
      </c>
      <c r="O296" s="360"/>
      <c r="P296" s="366" t="str">
        <f t="shared" si="73"/>
        <v>Met</v>
      </c>
      <c r="Q296" s="360"/>
      <c r="R296" s="399">
        <v>16568439.699999999</v>
      </c>
      <c r="S296" s="400" t="str">
        <f t="shared" si="77"/>
        <v>Did not Meet</v>
      </c>
      <c r="U296" s="399">
        <v>60845384.929999992</v>
      </c>
      <c r="V296" s="400" t="str">
        <f t="shared" si="78"/>
        <v>Met</v>
      </c>
      <c r="X296" s="399">
        <v>5234.8940600315955</v>
      </c>
      <c r="Y296" s="400" t="str">
        <f t="shared" si="79"/>
        <v>Did not Meet</v>
      </c>
      <c r="AA296" s="399">
        <v>19224.45021484992</v>
      </c>
      <c r="AB296" s="400" t="str">
        <f t="shared" si="80"/>
        <v>Met</v>
      </c>
      <c r="AD296" s="366" t="str">
        <f t="shared" si="74"/>
        <v>Met</v>
      </c>
      <c r="AF296" s="399">
        <v>18282455.539999999</v>
      </c>
      <c r="AG296" s="400" t="str">
        <f t="shared" si="81"/>
        <v>Did not Meet</v>
      </c>
      <c r="AI296" s="399">
        <v>80191957.099999994</v>
      </c>
      <c r="AJ296" s="400" t="str">
        <f t="shared" si="82"/>
        <v>Met</v>
      </c>
      <c r="AL296" s="399">
        <f>VLOOKUP(A296,$A$5:$AF$315,32,0)/IFERROR(VLOOKUP(A296,'21-22 child count'!$A$3:$S$317,19,0),0)</f>
        <v>6197.4425559322035</v>
      </c>
      <c r="AM296" s="400" t="str">
        <f t="shared" si="83"/>
        <v>Did not Meet</v>
      </c>
      <c r="AO296" s="399">
        <f>VLOOKUP(A296,'42. SEA or LEA Worksheet'!$A$4:$AB$318,28,0)/IFERROR(VLOOKUP('42. SEA or LEA Worksheet'!A126,'21-22 child count'!$A$3:$S$317,3,0),0)</f>
        <v>326957.29015873012</v>
      </c>
      <c r="AP296" s="400" t="str">
        <f t="shared" si="84"/>
        <v>Met</v>
      </c>
      <c r="AR296" s="366" t="str">
        <f t="shared" si="75"/>
        <v>Met</v>
      </c>
      <c r="AU296" s="400" t="str">
        <f t="shared" si="85"/>
        <v>Did not Meet</v>
      </c>
      <c r="AX296" s="400" t="str">
        <f t="shared" si="86"/>
        <v>Did not Meet</v>
      </c>
      <c r="BA296" s="400" t="str">
        <f t="shared" si="87"/>
        <v>Did not Meet</v>
      </c>
      <c r="BD296" s="400" t="str">
        <f t="shared" si="88"/>
        <v>Did not Meet</v>
      </c>
      <c r="BF296" s="366" t="str">
        <f t="shared" si="76"/>
        <v>Met</v>
      </c>
    </row>
    <row r="297" spans="1:58">
      <c r="A297" t="s">
        <v>779</v>
      </c>
      <c r="B297" t="s">
        <v>1108</v>
      </c>
      <c r="C297" s="360"/>
      <c r="D297" s="363">
        <v>0</v>
      </c>
      <c r="E297" t="s">
        <v>834</v>
      </c>
      <c r="F297" s="360"/>
      <c r="G297" s="363">
        <v>65466.49</v>
      </c>
      <c r="H297" t="s">
        <v>855</v>
      </c>
      <c r="I297" s="360"/>
      <c r="J297" s="363">
        <v>0</v>
      </c>
      <c r="K297" t="s">
        <v>834</v>
      </c>
      <c r="L297" s="360"/>
      <c r="M297" s="363">
        <v>16366.622499999999</v>
      </c>
      <c r="N297" t="s">
        <v>855</v>
      </c>
      <c r="O297" s="360"/>
      <c r="P297" s="366" t="str">
        <f t="shared" si="73"/>
        <v>Met</v>
      </c>
      <c r="Q297" s="360"/>
      <c r="R297" s="399">
        <v>0</v>
      </c>
      <c r="S297" s="400" t="str">
        <f t="shared" si="77"/>
        <v>Met</v>
      </c>
      <c r="U297" s="399">
        <v>90933.52</v>
      </c>
      <c r="V297" s="400" t="str">
        <f t="shared" si="78"/>
        <v>Did not Meet</v>
      </c>
      <c r="X297" s="399">
        <v>0</v>
      </c>
      <c r="Y297" s="400" t="str">
        <f t="shared" si="79"/>
        <v>Met</v>
      </c>
      <c r="AA297" s="399">
        <v>22733.38</v>
      </c>
      <c r="AB297" s="400" t="str">
        <f t="shared" si="80"/>
        <v>Did not Meet</v>
      </c>
      <c r="AD297" s="366" t="str">
        <f t="shared" si="74"/>
        <v>Met</v>
      </c>
      <c r="AF297" s="399">
        <v>0</v>
      </c>
      <c r="AG297" s="400" t="str">
        <f t="shared" si="81"/>
        <v>Met</v>
      </c>
      <c r="AI297" s="399">
        <v>95403.75</v>
      </c>
      <c r="AJ297" s="400" t="str">
        <f t="shared" si="82"/>
        <v>Did not Meet</v>
      </c>
      <c r="AL297" s="399">
        <f>VLOOKUP(A297,$A$5:$AF$315,32,0)/IFERROR(VLOOKUP(A297,'21-22 child count'!$A$3:$S$317,19,0),0)</f>
        <v>0</v>
      </c>
      <c r="AM297" s="400" t="str">
        <f t="shared" si="83"/>
        <v>Met</v>
      </c>
      <c r="AO297" s="399">
        <f>VLOOKUP(A297,'42. SEA or LEA Worksheet'!$A$4:$AB$318,28,0)/IFERROR(VLOOKUP('42. SEA or LEA Worksheet'!A291,'21-22 child count'!$A$3:$S$317,3,0),0)</f>
        <v>851.81919642857144</v>
      </c>
      <c r="AP297" s="400" t="str">
        <f t="shared" si="84"/>
        <v>Did not Meet</v>
      </c>
      <c r="AR297" s="366" t="str">
        <f t="shared" si="75"/>
        <v>Met</v>
      </c>
      <c r="AU297" s="400" t="str">
        <f t="shared" si="85"/>
        <v>Met</v>
      </c>
      <c r="AX297" s="400" t="str">
        <f t="shared" si="86"/>
        <v>Did not Meet</v>
      </c>
      <c r="BA297" s="400" t="str">
        <f t="shared" si="87"/>
        <v>Met</v>
      </c>
      <c r="BD297" s="400" t="str">
        <f t="shared" si="88"/>
        <v>Did not Meet</v>
      </c>
      <c r="BF297" s="366" t="str">
        <f t="shared" si="76"/>
        <v>Met</v>
      </c>
    </row>
    <row r="298" spans="1:58">
      <c r="A298" t="s">
        <v>668</v>
      </c>
      <c r="B298" t="s">
        <v>1056</v>
      </c>
      <c r="C298" s="360"/>
      <c r="D298" s="363">
        <v>5042195.3600000003</v>
      </c>
      <c r="E298" t="s">
        <v>855</v>
      </c>
      <c r="F298" s="360"/>
      <c r="G298" s="363">
        <v>20961278.859999999</v>
      </c>
      <c r="H298" t="s">
        <v>834</v>
      </c>
      <c r="I298" s="360"/>
      <c r="J298" s="363">
        <v>4403.6640698689962</v>
      </c>
      <c r="K298" t="s">
        <v>855</v>
      </c>
      <c r="L298" s="360"/>
      <c r="M298" s="363">
        <v>18306.793764192138</v>
      </c>
      <c r="N298" t="s">
        <v>855</v>
      </c>
      <c r="O298" s="360"/>
      <c r="P298" s="366" t="str">
        <f t="shared" si="73"/>
        <v>Met</v>
      </c>
      <c r="Q298" s="360"/>
      <c r="R298" s="399">
        <v>6865669.5</v>
      </c>
      <c r="S298" s="400" t="str">
        <f t="shared" si="77"/>
        <v>Did not Meet</v>
      </c>
      <c r="U298" s="399">
        <v>21720819.16</v>
      </c>
      <c r="V298" s="400" t="str">
        <f t="shared" si="78"/>
        <v>Met</v>
      </c>
      <c r="X298" s="399">
        <v>6264.2969890510949</v>
      </c>
      <c r="Y298" s="400" t="str">
        <f t="shared" si="79"/>
        <v>Did not Meet</v>
      </c>
      <c r="AA298" s="399">
        <v>19818.265656934305</v>
      </c>
      <c r="AB298" s="400" t="str">
        <f t="shared" si="80"/>
        <v>Did not Meet</v>
      </c>
      <c r="AD298" s="366" t="str">
        <f t="shared" si="74"/>
        <v>Met</v>
      </c>
      <c r="AF298" s="399">
        <v>6909025.8700000001</v>
      </c>
      <c r="AG298" s="400" t="str">
        <f t="shared" si="81"/>
        <v>Did not Meet</v>
      </c>
      <c r="AI298" s="399">
        <v>29002634.920000002</v>
      </c>
      <c r="AJ298" s="400" t="str">
        <f t="shared" si="82"/>
        <v>Met</v>
      </c>
      <c r="AL298" s="399">
        <f>VLOOKUP(A298,$A$5:$AF$315,32,0)/IFERROR(VLOOKUP(A298,'21-22 child count'!$A$3:$S$317,19,0),0)</f>
        <v>6275.2278564940962</v>
      </c>
      <c r="AM298" s="400" t="str">
        <f t="shared" si="83"/>
        <v>Did not Meet</v>
      </c>
      <c r="AO298" s="399">
        <f>VLOOKUP(A298,'42. SEA or LEA Worksheet'!$A$4:$AB$318,28,0)/IFERROR(VLOOKUP('42. SEA or LEA Worksheet'!A236,'21-22 child count'!$A$3:$S$317,3,0),0)</f>
        <v>182431.44520661159</v>
      </c>
      <c r="AP298" s="400" t="str">
        <f t="shared" si="84"/>
        <v>Did not Meet</v>
      </c>
      <c r="AR298" s="366" t="str">
        <f t="shared" si="75"/>
        <v>Met</v>
      </c>
      <c r="AU298" s="400" t="str">
        <f t="shared" si="85"/>
        <v>Did not Meet</v>
      </c>
      <c r="AX298" s="400" t="str">
        <f t="shared" si="86"/>
        <v>Did not Meet</v>
      </c>
      <c r="BA298" s="400" t="str">
        <f t="shared" si="87"/>
        <v>Did not Meet</v>
      </c>
      <c r="BD298" s="400" t="str">
        <f t="shared" si="88"/>
        <v>Did not Meet</v>
      </c>
      <c r="BF298" s="366" t="str">
        <f t="shared" si="76"/>
        <v>Met</v>
      </c>
    </row>
    <row r="299" spans="1:58">
      <c r="A299" t="s">
        <v>479</v>
      </c>
      <c r="B299" t="s">
        <v>968</v>
      </c>
      <c r="C299" s="360"/>
      <c r="D299" s="363">
        <v>3414061.92</v>
      </c>
      <c r="E299" t="s">
        <v>834</v>
      </c>
      <c r="F299" s="360"/>
      <c r="G299" s="363">
        <v>8866840.4800000004</v>
      </c>
      <c r="H299" t="s">
        <v>834</v>
      </c>
      <c r="I299" s="360"/>
      <c r="J299" s="363">
        <v>7794.6619178082192</v>
      </c>
      <c r="K299" t="s">
        <v>834</v>
      </c>
      <c r="L299" s="360"/>
      <c r="M299" s="363">
        <v>20243.92803652968</v>
      </c>
      <c r="N299" t="s">
        <v>834</v>
      </c>
      <c r="O299" s="360"/>
      <c r="P299" s="366" t="str">
        <f t="shared" si="73"/>
        <v>Met</v>
      </c>
      <c r="Q299" s="360"/>
      <c r="R299" s="399">
        <v>3070846.16</v>
      </c>
      <c r="S299" s="400" t="str">
        <f t="shared" si="77"/>
        <v>Did not Meet</v>
      </c>
      <c r="U299" s="399">
        <v>9678495.0800000001</v>
      </c>
      <c r="V299" s="400" t="str">
        <f t="shared" si="78"/>
        <v>Met</v>
      </c>
      <c r="X299" s="399">
        <v>7311.5384761904761</v>
      </c>
      <c r="Y299" s="400" t="str">
        <f t="shared" si="79"/>
        <v>Did not Meet</v>
      </c>
      <c r="AA299" s="399">
        <v>23044.035904761906</v>
      </c>
      <c r="AB299" s="400" t="str">
        <f t="shared" si="80"/>
        <v>Met</v>
      </c>
      <c r="AD299" s="366" t="str">
        <f t="shared" si="74"/>
        <v>Met</v>
      </c>
      <c r="AF299" s="399">
        <v>4310769.83</v>
      </c>
      <c r="AG299" s="400" t="str">
        <f t="shared" si="81"/>
        <v>Did not Meet</v>
      </c>
      <c r="AI299" s="399">
        <v>14729227.880000001</v>
      </c>
      <c r="AJ299" s="400" t="str">
        <f t="shared" si="82"/>
        <v>Met</v>
      </c>
      <c r="AL299" s="399">
        <f>VLOOKUP(A299,$A$5:$AF$315,32,0)/IFERROR(VLOOKUP(A299,'21-22 child count'!$A$3:$S$317,19,0),0)</f>
        <v>10565.612328431373</v>
      </c>
      <c r="AM299" s="400" t="str">
        <f t="shared" si="83"/>
        <v>Did not Meet</v>
      </c>
      <c r="AO299" s="399">
        <f>VLOOKUP(A299,'42. SEA or LEA Worksheet'!$A$4:$AB$318,28,0)/IFERROR(VLOOKUP('42. SEA or LEA Worksheet'!A146,'21-22 child count'!$A$3:$S$317,3,0),0)</f>
        <v>103153.05</v>
      </c>
      <c r="AP299" s="400" t="str">
        <f t="shared" si="84"/>
        <v>Met</v>
      </c>
      <c r="AR299" s="366" t="str">
        <f t="shared" si="75"/>
        <v>Met</v>
      </c>
      <c r="AU299" s="400" t="str">
        <f t="shared" si="85"/>
        <v>Did not Meet</v>
      </c>
      <c r="AX299" s="400" t="str">
        <f t="shared" si="86"/>
        <v>Did not Meet</v>
      </c>
      <c r="BA299" s="400" t="str">
        <f t="shared" si="87"/>
        <v>Did not Meet</v>
      </c>
      <c r="BD299" s="400" t="str">
        <f t="shared" si="88"/>
        <v>Did not Meet</v>
      </c>
      <c r="BF299" s="366" t="str">
        <f t="shared" si="76"/>
        <v>Met</v>
      </c>
    </row>
    <row r="300" spans="1:58">
      <c r="A300" t="s">
        <v>654</v>
      </c>
      <c r="B300" t="s">
        <v>1050</v>
      </c>
      <c r="C300" s="360"/>
      <c r="D300" s="363">
        <v>71033511.829999998</v>
      </c>
      <c r="E300" t="s">
        <v>834</v>
      </c>
      <c r="F300" s="360"/>
      <c r="G300" s="363">
        <v>167152851.28999999</v>
      </c>
      <c r="H300" t="s">
        <v>834</v>
      </c>
      <c r="I300" s="360"/>
      <c r="J300" s="363">
        <v>9101.0264996796923</v>
      </c>
      <c r="K300" t="s">
        <v>855</v>
      </c>
      <c r="L300" s="360"/>
      <c r="M300" s="363">
        <v>21416.124444586803</v>
      </c>
      <c r="N300" t="s">
        <v>834</v>
      </c>
      <c r="O300" s="360"/>
      <c r="P300" s="366" t="str">
        <f t="shared" si="73"/>
        <v>Met</v>
      </c>
      <c r="Q300" s="360"/>
      <c r="R300" s="399">
        <v>78381326.969999999</v>
      </c>
      <c r="S300" s="400" t="str">
        <f t="shared" si="77"/>
        <v>Met</v>
      </c>
      <c r="U300" s="399">
        <v>173116990.95999998</v>
      </c>
      <c r="V300" s="400" t="str">
        <f t="shared" si="78"/>
        <v>Met</v>
      </c>
      <c r="X300" s="399">
        <v>10694.682353663527</v>
      </c>
      <c r="Y300" s="400" t="str">
        <f t="shared" si="79"/>
        <v>Did not Meet</v>
      </c>
      <c r="AA300" s="399">
        <v>23620.820161004227</v>
      </c>
      <c r="AB300" s="400" t="str">
        <f t="shared" si="80"/>
        <v>Met</v>
      </c>
      <c r="AD300" s="366" t="str">
        <f t="shared" si="74"/>
        <v>Met</v>
      </c>
      <c r="AF300" s="399">
        <v>78213770.769999996</v>
      </c>
      <c r="AG300" s="400" t="str">
        <f t="shared" si="81"/>
        <v>Did not Meet</v>
      </c>
      <c r="AI300" s="399">
        <v>252466673.04000002</v>
      </c>
      <c r="AJ300" s="400" t="str">
        <f t="shared" si="82"/>
        <v>Met</v>
      </c>
      <c r="AL300" s="399">
        <f>VLOOKUP(A300,$A$5:$AF$315,32,0)/IFERROR(VLOOKUP(A300,'21-22 child count'!$A$3:$S$317,19,0),0)</f>
        <v>11017.575823355402</v>
      </c>
      <c r="AM300" s="400" t="str">
        <f t="shared" si="83"/>
        <v>Did not Meet</v>
      </c>
      <c r="AO300" s="399">
        <f>VLOOKUP(A300,'42. SEA or LEA Worksheet'!$A$4:$AB$318,28,0)/IFERROR(VLOOKUP('42. SEA or LEA Worksheet'!A229,'21-22 child count'!$A$3:$S$317,3,0),0)</f>
        <v>1553932.6816071426</v>
      </c>
      <c r="AP300" s="400" t="str">
        <f t="shared" si="84"/>
        <v>Met</v>
      </c>
      <c r="AR300" s="366" t="str">
        <f t="shared" si="75"/>
        <v>Met</v>
      </c>
      <c r="AU300" s="400" t="str">
        <f t="shared" si="85"/>
        <v>Did not Meet</v>
      </c>
      <c r="AX300" s="400" t="str">
        <f t="shared" si="86"/>
        <v>Did not Meet</v>
      </c>
      <c r="BA300" s="400" t="str">
        <f t="shared" si="87"/>
        <v>Did not Meet</v>
      </c>
      <c r="BD300" s="400" t="str">
        <f t="shared" si="88"/>
        <v>Did not Meet</v>
      </c>
      <c r="BF300" s="366" t="str">
        <f t="shared" si="76"/>
        <v>Met</v>
      </c>
    </row>
    <row r="301" spans="1:58">
      <c r="A301" t="s">
        <v>305</v>
      </c>
      <c r="B301" t="s">
        <v>1137</v>
      </c>
      <c r="C301" s="360"/>
      <c r="D301" s="363">
        <v>0</v>
      </c>
      <c r="E301" t="s">
        <v>834</v>
      </c>
      <c r="F301" s="360"/>
      <c r="G301" s="363">
        <v>16390.8</v>
      </c>
      <c r="H301" t="s">
        <v>834</v>
      </c>
      <c r="I301" s="360"/>
      <c r="J301" s="363">
        <v>0</v>
      </c>
      <c r="K301" t="s">
        <v>834</v>
      </c>
      <c r="L301" s="360"/>
      <c r="M301" s="363">
        <v>5463.5999999999995</v>
      </c>
      <c r="N301" t="s">
        <v>834</v>
      </c>
      <c r="O301" s="360"/>
      <c r="P301" s="366" t="str">
        <f t="shared" si="73"/>
        <v>Met</v>
      </c>
      <c r="Q301" s="360"/>
      <c r="R301" s="399">
        <v>21950.720000000001</v>
      </c>
      <c r="S301" s="400" t="str">
        <f t="shared" si="77"/>
        <v>Met</v>
      </c>
      <c r="U301" s="399">
        <v>87728</v>
      </c>
      <c r="V301" s="400" t="str">
        <f t="shared" si="78"/>
        <v>Met</v>
      </c>
      <c r="X301" s="399">
        <v>10975.36</v>
      </c>
      <c r="Y301" s="400" t="str">
        <f t="shared" si="79"/>
        <v>Met</v>
      </c>
      <c r="AA301" s="399">
        <v>43864</v>
      </c>
      <c r="AB301" s="400" t="str">
        <f t="shared" si="80"/>
        <v>Met</v>
      </c>
      <c r="AD301" s="366" t="str">
        <f t="shared" si="74"/>
        <v>Met</v>
      </c>
      <c r="AF301" s="399">
        <v>0</v>
      </c>
      <c r="AG301" s="400" t="str">
        <f t="shared" si="81"/>
        <v>Did not Meet</v>
      </c>
      <c r="AI301" s="399">
        <v>54187.57</v>
      </c>
      <c r="AJ301" s="400" t="str">
        <f t="shared" si="82"/>
        <v>Did not Meet</v>
      </c>
      <c r="AL301" s="399">
        <f>VLOOKUP(A301,$A$5:$AF$315,32,0)/IFERROR(VLOOKUP(A301,'21-22 child count'!$A$3:$S$317,19,0),0)</f>
        <v>0</v>
      </c>
      <c r="AM301" s="400" t="str">
        <f t="shared" si="83"/>
        <v>Did not Meet</v>
      </c>
      <c r="AO301" s="399">
        <f>VLOOKUP(A301,'42. SEA or LEA Worksheet'!$A$4:$AB$318,28,0)/IFERROR(VLOOKUP('42. SEA or LEA Worksheet'!A58,'21-22 child count'!$A$3:$S$317,3,0),0)</f>
        <v>516.07209523809524</v>
      </c>
      <c r="AP301" s="400" t="str">
        <f t="shared" si="84"/>
        <v>Did not Meet</v>
      </c>
      <c r="AR301" s="366" t="str">
        <f t="shared" si="75"/>
        <v>Met</v>
      </c>
      <c r="AU301" s="400" t="str">
        <f t="shared" si="85"/>
        <v>Did not Meet</v>
      </c>
      <c r="AX301" s="400" t="str">
        <f t="shared" si="86"/>
        <v>Did not Meet</v>
      </c>
      <c r="BA301" s="400" t="str">
        <f t="shared" si="87"/>
        <v>Did not Meet</v>
      </c>
      <c r="BD301" s="400" t="str">
        <f t="shared" si="88"/>
        <v>Did not Meet</v>
      </c>
      <c r="BF301" s="366" t="str">
        <f t="shared" si="76"/>
        <v>Met</v>
      </c>
    </row>
    <row r="302" spans="1:58">
      <c r="A302" t="s">
        <v>382</v>
      </c>
      <c r="B302" t="s">
        <v>1366</v>
      </c>
      <c r="C302" s="360"/>
      <c r="D302" s="363">
        <v>0</v>
      </c>
      <c r="E302" t="s">
        <v>855</v>
      </c>
      <c r="F302" s="360"/>
      <c r="G302" s="363">
        <v>0</v>
      </c>
      <c r="H302" t="s">
        <v>855</v>
      </c>
      <c r="I302" s="360"/>
      <c r="J302" s="363">
        <v>0</v>
      </c>
      <c r="K302" t="s">
        <v>1150</v>
      </c>
      <c r="L302" s="360"/>
      <c r="M302" s="363">
        <v>0</v>
      </c>
      <c r="N302" t="s">
        <v>1151</v>
      </c>
      <c r="O302" s="360"/>
      <c r="P302" s="366" t="str">
        <f t="shared" si="73"/>
        <v>Met</v>
      </c>
      <c r="Q302" s="360"/>
      <c r="R302" s="399">
        <v>0</v>
      </c>
      <c r="S302" s="400" t="str">
        <f t="shared" si="77"/>
        <v>Did not Meet</v>
      </c>
      <c r="U302" s="399">
        <v>0</v>
      </c>
      <c r="V302" s="400" t="str">
        <f t="shared" si="78"/>
        <v>Did not Meet</v>
      </c>
      <c r="X302" s="399" t="s">
        <v>1151</v>
      </c>
      <c r="Y302" s="400" t="str">
        <f t="shared" si="79"/>
        <v>Did not Meet</v>
      </c>
      <c r="AA302" s="399" t="s">
        <v>1151</v>
      </c>
      <c r="AB302" s="400" t="str">
        <f t="shared" si="80"/>
        <v>Did not Meet</v>
      </c>
      <c r="AD302" s="366" t="str">
        <f t="shared" si="74"/>
        <v>Met</v>
      </c>
      <c r="AF302" s="399">
        <v>0</v>
      </c>
      <c r="AG302" s="400" t="str">
        <f t="shared" si="81"/>
        <v>Did not Meet</v>
      </c>
      <c r="AI302" s="399">
        <v>0</v>
      </c>
      <c r="AJ302" s="400" t="str">
        <f t="shared" si="82"/>
        <v>Did not Meet</v>
      </c>
      <c r="AL302" s="399">
        <v>0</v>
      </c>
      <c r="AM302" s="400" t="str">
        <f t="shared" si="83"/>
        <v>Did not Meet</v>
      </c>
      <c r="AO302" s="399" t="e">
        <f>VLOOKUP(A302,'42. SEA or LEA Worksheet'!$A$4:$AB$318,28,0)/IFERROR(VLOOKUP('42. SEA or LEA Worksheet'!A81,'21-22 child count'!$A$3:$S$317,3,0),0)</f>
        <v>#N/A</v>
      </c>
      <c r="AP302" s="400" t="e">
        <f t="shared" si="84"/>
        <v>#N/A</v>
      </c>
      <c r="AR302" s="366" t="s">
        <v>1371</v>
      </c>
      <c r="AU302" s="400" t="str">
        <f t="shared" si="85"/>
        <v>Did not Meet</v>
      </c>
      <c r="AX302" s="400" t="str">
        <f t="shared" si="86"/>
        <v>Did not Meet</v>
      </c>
      <c r="BA302" s="400" t="str">
        <f t="shared" si="87"/>
        <v>Did not Meet</v>
      </c>
      <c r="BD302" s="400" t="e">
        <f t="shared" si="88"/>
        <v>#N/A</v>
      </c>
      <c r="BF302" s="366" t="e">
        <f t="shared" si="76"/>
        <v>#N/A</v>
      </c>
    </row>
    <row r="303" spans="1:58">
      <c r="A303" t="s">
        <v>381</v>
      </c>
      <c r="B303" t="s">
        <v>1367</v>
      </c>
      <c r="C303" s="360"/>
      <c r="D303" s="363">
        <v>0</v>
      </c>
      <c r="E303" t="s">
        <v>855</v>
      </c>
      <c r="F303" s="360"/>
      <c r="G303" s="363">
        <v>0</v>
      </c>
      <c r="H303" t="s">
        <v>855</v>
      </c>
      <c r="I303" s="360"/>
      <c r="J303" s="363">
        <v>0</v>
      </c>
      <c r="K303" t="s">
        <v>1150</v>
      </c>
      <c r="L303" s="360"/>
      <c r="M303" s="363">
        <v>0</v>
      </c>
      <c r="N303" t="s">
        <v>1151</v>
      </c>
      <c r="O303" s="360"/>
      <c r="P303" s="366" t="str">
        <f t="shared" si="73"/>
        <v>Met</v>
      </c>
      <c r="Q303" s="360"/>
      <c r="R303" s="399">
        <v>0</v>
      </c>
      <c r="S303" s="400" t="str">
        <f t="shared" si="77"/>
        <v>Did not Meet</v>
      </c>
      <c r="U303" s="399">
        <v>0</v>
      </c>
      <c r="V303" s="400" t="str">
        <f t="shared" si="78"/>
        <v>Did not Meet</v>
      </c>
      <c r="X303" s="399" t="s">
        <v>1151</v>
      </c>
      <c r="Y303" s="400" t="str">
        <f t="shared" si="79"/>
        <v>Did not Meet</v>
      </c>
      <c r="AA303" s="399" t="s">
        <v>1151</v>
      </c>
      <c r="AB303" s="400" t="str">
        <f t="shared" si="80"/>
        <v>Did not Meet</v>
      </c>
      <c r="AD303" s="366" t="str">
        <f t="shared" si="74"/>
        <v>Met</v>
      </c>
      <c r="AF303" s="399">
        <v>0</v>
      </c>
      <c r="AG303" s="400" t="str">
        <f t="shared" si="81"/>
        <v>Did not Meet</v>
      </c>
      <c r="AI303" s="399">
        <v>0</v>
      </c>
      <c r="AJ303" s="400" t="str">
        <f t="shared" si="82"/>
        <v>Did not Meet</v>
      </c>
      <c r="AL303" s="399">
        <v>0</v>
      </c>
      <c r="AM303" s="400" t="str">
        <f t="shared" si="83"/>
        <v>Did not Meet</v>
      </c>
      <c r="AO303" s="399" t="e">
        <f>VLOOKUP(A303,'42. SEA or LEA Worksheet'!$A$4:$AB$318,28,0)/IFERROR(VLOOKUP('42. SEA or LEA Worksheet'!A97,'21-22 child count'!$A$3:$S$317,3,0),0)</f>
        <v>#N/A</v>
      </c>
      <c r="AP303" s="400" t="e">
        <f t="shared" si="84"/>
        <v>#N/A</v>
      </c>
      <c r="AR303" s="366" t="s">
        <v>1371</v>
      </c>
      <c r="AU303" s="400" t="str">
        <f t="shared" si="85"/>
        <v>Did not Meet</v>
      </c>
      <c r="AX303" s="400" t="str">
        <f t="shared" si="86"/>
        <v>Did not Meet</v>
      </c>
      <c r="BA303" s="400" t="str">
        <f t="shared" si="87"/>
        <v>Did not Meet</v>
      </c>
      <c r="BD303" s="400" t="e">
        <f t="shared" si="88"/>
        <v>#N/A</v>
      </c>
      <c r="BF303" s="366" t="e">
        <f t="shared" si="76"/>
        <v>#N/A</v>
      </c>
    </row>
    <row r="304" spans="1:58">
      <c r="A304" t="s">
        <v>680</v>
      </c>
      <c r="B304" t="s">
        <v>1368</v>
      </c>
      <c r="C304" s="360"/>
      <c r="D304" s="363">
        <v>0</v>
      </c>
      <c r="E304" t="s">
        <v>855</v>
      </c>
      <c r="F304" s="360"/>
      <c r="G304" s="363">
        <v>0</v>
      </c>
      <c r="H304" t="s">
        <v>855</v>
      </c>
      <c r="I304" s="360"/>
      <c r="J304" s="363">
        <v>0</v>
      </c>
      <c r="K304" t="s">
        <v>1150</v>
      </c>
      <c r="L304" s="360"/>
      <c r="M304" s="363">
        <v>0</v>
      </c>
      <c r="N304" t="s">
        <v>1150</v>
      </c>
      <c r="O304" s="360"/>
      <c r="P304" s="366" t="s">
        <v>1150</v>
      </c>
      <c r="Q304" s="360"/>
      <c r="R304" s="399">
        <v>0</v>
      </c>
      <c r="S304" s="400" t="str">
        <f t="shared" si="77"/>
        <v>Did not Meet</v>
      </c>
      <c r="U304" s="399">
        <v>0</v>
      </c>
      <c r="V304" s="400" t="str">
        <f t="shared" si="78"/>
        <v>Did not Meet</v>
      </c>
      <c r="X304" s="399" t="s">
        <v>1150</v>
      </c>
      <c r="Y304" s="400" t="str">
        <f t="shared" si="79"/>
        <v>Did not Meet</v>
      </c>
      <c r="AA304" s="399" t="s">
        <v>1150</v>
      </c>
      <c r="AB304" s="400" t="str">
        <f t="shared" si="80"/>
        <v>Did not Meet</v>
      </c>
      <c r="AD304" s="366" t="str">
        <f t="shared" si="74"/>
        <v>Met</v>
      </c>
      <c r="AF304" s="399">
        <v>0</v>
      </c>
      <c r="AG304" s="400" t="str">
        <f t="shared" si="81"/>
        <v>Did not Meet</v>
      </c>
      <c r="AI304" s="399">
        <v>0</v>
      </c>
      <c r="AJ304" s="400" t="str">
        <f t="shared" si="82"/>
        <v>Did not Meet</v>
      </c>
      <c r="AL304" s="399">
        <v>0</v>
      </c>
      <c r="AM304" s="400" t="str">
        <f t="shared" si="83"/>
        <v>Did not Meet</v>
      </c>
      <c r="AO304" s="399" t="e">
        <f>VLOOKUP(A304,'42. SEA or LEA Worksheet'!$A$4:$AB$318,28,0)/IFERROR(VLOOKUP('42. SEA or LEA Worksheet'!A242,'21-22 child count'!$A$3:$S$317,3,0),0)</f>
        <v>#N/A</v>
      </c>
      <c r="AP304" s="400" t="e">
        <f t="shared" si="84"/>
        <v>#N/A</v>
      </c>
      <c r="AR304" s="366" t="s">
        <v>1371</v>
      </c>
      <c r="AU304" s="400" t="str">
        <f t="shared" si="85"/>
        <v>Did not Meet</v>
      </c>
      <c r="AX304" s="400" t="str">
        <f t="shared" si="86"/>
        <v>Did not Meet</v>
      </c>
      <c r="BA304" s="400" t="str">
        <f t="shared" si="87"/>
        <v>Did not Meet</v>
      </c>
      <c r="BD304" s="400" t="e">
        <f t="shared" si="88"/>
        <v>#N/A</v>
      </c>
      <c r="BF304" s="366" t="e">
        <f t="shared" si="76"/>
        <v>#N/A</v>
      </c>
    </row>
    <row r="305" spans="1:58">
      <c r="A305" t="s">
        <v>795</v>
      </c>
      <c r="B305" t="s">
        <v>1116</v>
      </c>
      <c r="C305" s="360"/>
      <c r="D305" s="363">
        <v>0</v>
      </c>
      <c r="E305" t="s">
        <v>834</v>
      </c>
      <c r="F305" s="360"/>
      <c r="G305" s="363">
        <v>1832874.95</v>
      </c>
      <c r="H305" t="s">
        <v>879</v>
      </c>
      <c r="I305" s="360"/>
      <c r="J305" s="363">
        <v>0</v>
      </c>
      <c r="K305" t="s">
        <v>834</v>
      </c>
      <c r="L305" s="360"/>
      <c r="M305" s="363">
        <v>9351.402806122449</v>
      </c>
      <c r="N305" t="s">
        <v>855</v>
      </c>
      <c r="O305" s="360"/>
      <c r="P305" s="366" t="str">
        <f>IF(AND(E305="Did not Meet",H305="Did not Meet",K305="Did not Meet", N305="Did not Meet"),"Did not Meet","Met")</f>
        <v>Met</v>
      </c>
      <c r="Q305" s="360"/>
      <c r="R305" s="399">
        <v>0</v>
      </c>
      <c r="S305" s="400" t="str">
        <f t="shared" si="77"/>
        <v>Met</v>
      </c>
      <c r="U305" s="399">
        <v>1606299.87</v>
      </c>
      <c r="V305" s="400" t="str">
        <f t="shared" si="78"/>
        <v>Did not Meet</v>
      </c>
      <c r="X305" s="399">
        <v>0</v>
      </c>
      <c r="Y305" s="400" t="str">
        <f t="shared" si="79"/>
        <v>Met</v>
      </c>
      <c r="AA305" s="399">
        <v>9561.3087500000001</v>
      </c>
      <c r="AB305" s="400" t="str">
        <f t="shared" si="80"/>
        <v>Did not Meet</v>
      </c>
      <c r="AD305" s="366" t="str">
        <f t="shared" si="74"/>
        <v>Met</v>
      </c>
      <c r="AF305" s="399">
        <v>0</v>
      </c>
      <c r="AG305" s="400" t="str">
        <f t="shared" si="81"/>
        <v>Met</v>
      </c>
      <c r="AI305" s="399">
        <v>1409115.08</v>
      </c>
      <c r="AJ305" s="400" t="str">
        <f t="shared" si="82"/>
        <v>Did not Meet</v>
      </c>
      <c r="AL305" s="399">
        <f>VLOOKUP(A305,$A$5:$AF$315,32,0)/IFERROR(VLOOKUP(A305,'21-22 child count'!$A$3:$S$317,19,0),0)</f>
        <v>0</v>
      </c>
      <c r="AM305" s="400" t="str">
        <f t="shared" si="83"/>
        <v>Met</v>
      </c>
      <c r="AO305" s="399">
        <f>VLOOKUP(A305,'42. SEA or LEA Worksheet'!$A$4:$AB$318,28,0)/IFERROR(VLOOKUP('42. SEA or LEA Worksheet'!A299,'21-22 child count'!$A$3:$S$317,3,0),0)</f>
        <v>8201.2814035087722</v>
      </c>
      <c r="AP305" s="400" t="str">
        <f t="shared" si="84"/>
        <v>Did not Meet</v>
      </c>
      <c r="AR305" s="366" t="str">
        <f t="shared" si="75"/>
        <v>Met</v>
      </c>
      <c r="AU305" s="400" t="str">
        <f t="shared" si="85"/>
        <v>Met</v>
      </c>
      <c r="AX305" s="400" t="str">
        <f t="shared" si="86"/>
        <v>Did not Meet</v>
      </c>
      <c r="BA305" s="400" t="str">
        <f t="shared" si="87"/>
        <v>Met</v>
      </c>
      <c r="BD305" s="400" t="str">
        <f t="shared" si="88"/>
        <v>Did not Meet</v>
      </c>
      <c r="BF305" s="366" t="str">
        <f t="shared" si="76"/>
        <v>Met</v>
      </c>
    </row>
    <row r="306" spans="1:58">
      <c r="A306" t="s">
        <v>699</v>
      </c>
      <c r="B306" t="s">
        <v>1145</v>
      </c>
      <c r="C306" s="360"/>
      <c r="D306" s="363">
        <v>0</v>
      </c>
      <c r="E306" t="s">
        <v>855</v>
      </c>
      <c r="F306" s="360"/>
      <c r="G306" s="363">
        <v>0</v>
      </c>
      <c r="H306" t="s">
        <v>855</v>
      </c>
      <c r="I306" s="360"/>
      <c r="J306" s="363">
        <v>0</v>
      </c>
      <c r="K306" t="s">
        <v>1150</v>
      </c>
      <c r="L306" s="360"/>
      <c r="M306" s="363">
        <v>0</v>
      </c>
      <c r="N306" t="s">
        <v>1150</v>
      </c>
      <c r="O306" s="360"/>
      <c r="P306" s="366" t="str">
        <f>IF(AND(E306="Did not Meet",H306="Did not Meet",K306="Did not Meet", N306="Did not Meet"),"Did not Meet","Met")</f>
        <v>Met</v>
      </c>
      <c r="Q306" s="360"/>
      <c r="R306" s="399">
        <v>0</v>
      </c>
      <c r="S306" s="400" t="str">
        <f t="shared" si="77"/>
        <v>Did not Meet</v>
      </c>
      <c r="U306" s="399">
        <v>0</v>
      </c>
      <c r="V306" s="400" t="str">
        <f t="shared" si="78"/>
        <v>Did not Meet</v>
      </c>
      <c r="X306" s="399" t="s">
        <v>1150</v>
      </c>
      <c r="Y306" s="400" t="str">
        <f t="shared" si="79"/>
        <v>Did not Meet</v>
      </c>
      <c r="AA306" s="399" t="s">
        <v>1150</v>
      </c>
      <c r="AB306" s="400" t="str">
        <f t="shared" si="80"/>
        <v>Did not Meet</v>
      </c>
      <c r="AD306" s="366" t="str">
        <f t="shared" si="74"/>
        <v>Met</v>
      </c>
      <c r="AF306" s="399">
        <v>0</v>
      </c>
      <c r="AG306" s="400" t="str">
        <f t="shared" si="81"/>
        <v>Did not Meet</v>
      </c>
      <c r="AI306" s="399">
        <v>0</v>
      </c>
      <c r="AJ306" s="400" t="str">
        <f t="shared" si="82"/>
        <v>Did not Meet</v>
      </c>
      <c r="AL306" s="399">
        <v>0</v>
      </c>
      <c r="AM306" s="400" t="str">
        <f t="shared" si="83"/>
        <v>Did not Meet</v>
      </c>
      <c r="AO306" s="399">
        <f>VLOOKUP(A306,'42. SEA or LEA Worksheet'!$A$4:$AB$318,28,0)/IFERROR(VLOOKUP('42. SEA or LEA Worksheet'!A251,'21-22 child count'!$A$3:$S$317,3,0),0)</f>
        <v>0</v>
      </c>
      <c r="AP306" s="400" t="str">
        <f t="shared" si="84"/>
        <v>Did not Meet</v>
      </c>
      <c r="AR306" s="366" t="str">
        <f t="shared" si="75"/>
        <v>Met</v>
      </c>
      <c r="AU306" s="400" t="str">
        <f t="shared" si="85"/>
        <v>Did not Meet</v>
      </c>
      <c r="AX306" s="400" t="str">
        <f t="shared" si="86"/>
        <v>Did not Meet</v>
      </c>
      <c r="BA306" s="400" t="str">
        <f t="shared" si="87"/>
        <v>Did not Meet</v>
      </c>
      <c r="BD306" s="400" t="str">
        <f t="shared" si="88"/>
        <v>Did not Meet</v>
      </c>
      <c r="BF306" s="366" t="str">
        <f t="shared" si="76"/>
        <v>Met</v>
      </c>
    </row>
    <row r="307" spans="1:58">
      <c r="A307" t="s">
        <v>251</v>
      </c>
      <c r="B307" t="s">
        <v>1305</v>
      </c>
      <c r="C307" s="360"/>
      <c r="F307" s="360"/>
      <c r="I307" s="360"/>
      <c r="L307" s="360"/>
      <c r="O307" s="360"/>
      <c r="P307" s="366"/>
      <c r="Q307" s="360"/>
      <c r="AD307" s="366" t="str">
        <f t="shared" si="74"/>
        <v>Met</v>
      </c>
      <c r="AF307" s="399">
        <v>0</v>
      </c>
      <c r="AG307" s="400" t="str">
        <f t="shared" si="81"/>
        <v>Did not Meet</v>
      </c>
      <c r="AI307" s="399">
        <v>542833.36</v>
      </c>
      <c r="AJ307" s="400" t="str">
        <f t="shared" si="82"/>
        <v>Did not Meet</v>
      </c>
      <c r="AL307" s="399">
        <f>VLOOKUP(A307,$A$5:$AF$315,32,0)/IFERROR(VLOOKUP(A307,'21-22 child count'!$A$3:$S$317,19,0),0)</f>
        <v>0</v>
      </c>
      <c r="AM307" s="400" t="str">
        <f t="shared" si="83"/>
        <v>Did not Meet</v>
      </c>
      <c r="AO307" s="399">
        <f>VLOOKUP(A307,'42. SEA or LEA Worksheet'!$A$4:$AB$318,28,0)/IFERROR(VLOOKUP('42. SEA or LEA Worksheet'!A31,'21-22 child count'!$A$3:$S$317,3,0),0)</f>
        <v>4846.7264285714282</v>
      </c>
      <c r="AP307" s="400" t="str">
        <f t="shared" si="84"/>
        <v>Did not Meet</v>
      </c>
      <c r="AR307" s="366" t="str">
        <f t="shared" si="75"/>
        <v>Met</v>
      </c>
      <c r="AU307" s="400" t="str">
        <f t="shared" si="85"/>
        <v>Did not Meet</v>
      </c>
      <c r="AX307" s="400" t="str">
        <f t="shared" si="86"/>
        <v>Did not Meet</v>
      </c>
      <c r="BA307" s="400" t="str">
        <f t="shared" si="87"/>
        <v>Did not Meet</v>
      </c>
      <c r="BD307" s="400" t="str">
        <f t="shared" si="88"/>
        <v>Did not Meet</v>
      </c>
      <c r="BF307" s="366" t="str">
        <f t="shared" si="76"/>
        <v>Met</v>
      </c>
    </row>
    <row r="308" spans="1:58">
      <c r="A308" s="368" t="s">
        <v>1160</v>
      </c>
      <c r="B308" t="s">
        <v>1350</v>
      </c>
      <c r="C308" s="360"/>
      <c r="F308" s="360"/>
      <c r="I308" s="360"/>
      <c r="L308" s="360"/>
      <c r="O308" s="360"/>
      <c r="P308" s="366"/>
      <c r="Q308" s="360"/>
      <c r="AD308" s="366" t="str">
        <f t="shared" si="74"/>
        <v>Met</v>
      </c>
      <c r="AF308" s="399">
        <v>0</v>
      </c>
      <c r="AG308" s="400" t="str">
        <f t="shared" si="81"/>
        <v>Did not Meet</v>
      </c>
      <c r="AI308" s="399">
        <v>160829.82</v>
      </c>
      <c r="AJ308" s="400" t="str">
        <f t="shared" si="82"/>
        <v>Did not Meet</v>
      </c>
      <c r="AL308" s="399">
        <f>VLOOKUP(A308,$A$5:$AF$315,32,0)/IFERROR(VLOOKUP(A308,'21-22 child count'!$A$3:$S$317,19,0),0)</f>
        <v>0</v>
      </c>
      <c r="AM308" s="400" t="str">
        <f t="shared" si="83"/>
        <v>Did not Meet</v>
      </c>
      <c r="AO308" s="399">
        <f>VLOOKUP(A308,'42. SEA or LEA Worksheet'!$A$4:$AB$318,28,0)/IFERROR(VLOOKUP('42. SEA or LEA Worksheet'!A107,'21-22 child count'!$A$3:$S$317,3,0),0)</f>
        <v>1329.1720661157026</v>
      </c>
      <c r="AP308" s="400" t="str">
        <f t="shared" si="84"/>
        <v>Did not Meet</v>
      </c>
      <c r="AR308" s="366" t="str">
        <f t="shared" si="75"/>
        <v>Met</v>
      </c>
      <c r="AU308" s="400" t="str">
        <f t="shared" si="85"/>
        <v>Did not Meet</v>
      </c>
      <c r="AX308" s="400" t="str">
        <f t="shared" si="86"/>
        <v>Did not Meet</v>
      </c>
      <c r="BA308" s="400" t="str">
        <f t="shared" si="87"/>
        <v>Did not Meet</v>
      </c>
      <c r="BD308" s="400" t="str">
        <f t="shared" si="88"/>
        <v>Did not Meet</v>
      </c>
      <c r="BF308" s="366" t="str">
        <f t="shared" si="76"/>
        <v>Met</v>
      </c>
    </row>
    <row r="309" spans="1:58">
      <c r="A309" t="s">
        <v>803</v>
      </c>
      <c r="B309" t="s">
        <v>1119</v>
      </c>
      <c r="C309" s="360"/>
      <c r="D309" s="363">
        <v>0</v>
      </c>
      <c r="E309" t="s">
        <v>834</v>
      </c>
      <c r="F309" s="360"/>
      <c r="G309" s="363">
        <v>1515043.31</v>
      </c>
      <c r="H309" t="s">
        <v>834</v>
      </c>
      <c r="I309" s="360"/>
      <c r="J309" s="363">
        <v>0</v>
      </c>
      <c r="K309" t="s">
        <v>834</v>
      </c>
      <c r="L309" s="360"/>
      <c r="M309" s="363">
        <v>10744.988014184397</v>
      </c>
      <c r="N309" t="s">
        <v>834</v>
      </c>
      <c r="O309" s="360"/>
      <c r="P309" s="366" t="str">
        <f>IF(AND(E309="Did not Meet",H309="Did not Meet",K309="Did not Meet", N309="Did not Meet"),"Did not Meet","Met")</f>
        <v>Met</v>
      </c>
      <c r="Q309" s="360"/>
      <c r="R309" s="399">
        <v>0</v>
      </c>
      <c r="S309" s="400" t="str">
        <f>IF(AND(E309="Met",R309&gt;=D309),"Met","Did not Meet")</f>
        <v>Met</v>
      </c>
      <c r="U309" s="399">
        <v>1659079.2</v>
      </c>
      <c r="V309" s="400" t="str">
        <f>IF(AND(H309="Met",U309&gt;=M309),"Met","Did not Meet")</f>
        <v>Met</v>
      </c>
      <c r="X309" s="399">
        <v>0</v>
      </c>
      <c r="Y309" s="400" t="str">
        <f>IF(AND(K309="Met",X309&gt;=J309),"Met","Did not Meet")</f>
        <v>Met</v>
      </c>
      <c r="AA309" s="399">
        <v>13167.295238095237</v>
      </c>
      <c r="AB309" s="400" t="str">
        <f>IF(AND(N309="Met",AA309&gt;=M309),"Met","Did not Meet")</f>
        <v>Met</v>
      </c>
      <c r="AD309" s="366" t="str">
        <f t="shared" si="74"/>
        <v>Met</v>
      </c>
      <c r="AF309" s="399">
        <v>0</v>
      </c>
      <c r="AG309" s="400" t="str">
        <f t="shared" si="81"/>
        <v>Met</v>
      </c>
      <c r="AI309" s="399">
        <v>1575457.8</v>
      </c>
      <c r="AJ309" s="400" t="str">
        <f t="shared" si="82"/>
        <v>Did not Meet</v>
      </c>
      <c r="AL309" s="399">
        <f>VLOOKUP(A309,$A$5:$AF$315,32,0)/IFERROR(VLOOKUP(A309,'21-22 child count'!$A$3:$S$317,19,0),0)</f>
        <v>0</v>
      </c>
      <c r="AM309" s="400" t="str">
        <f t="shared" si="83"/>
        <v>Met</v>
      </c>
      <c r="AO309" s="399">
        <f>VLOOKUP(A309,'42. SEA or LEA Worksheet'!$A$4:$AB$318,28,0)/IFERROR(VLOOKUP('42. SEA or LEA Worksheet'!A303,'21-22 child count'!$A$3:$S$317,3,0),0)</f>
        <v>15598.592079207921</v>
      </c>
      <c r="AP309" s="400" t="str">
        <f t="shared" si="84"/>
        <v>Met</v>
      </c>
      <c r="AR309" s="366" t="str">
        <f t="shared" si="75"/>
        <v>Met</v>
      </c>
      <c r="AU309" s="400" t="str">
        <f t="shared" si="85"/>
        <v>Met</v>
      </c>
      <c r="AX309" s="400" t="str">
        <f t="shared" si="86"/>
        <v>Did not Meet</v>
      </c>
      <c r="BA309" s="400" t="str">
        <f t="shared" si="87"/>
        <v>Met</v>
      </c>
      <c r="BD309" s="400" t="str">
        <f t="shared" si="88"/>
        <v>Did not Meet</v>
      </c>
      <c r="BF309" s="366" t="str">
        <f t="shared" si="76"/>
        <v>Met</v>
      </c>
    </row>
    <row r="310" spans="1:58">
      <c r="A310" t="s">
        <v>805</v>
      </c>
      <c r="B310" t="s">
        <v>1120</v>
      </c>
      <c r="C310" s="360"/>
      <c r="D310" s="363">
        <v>0</v>
      </c>
      <c r="E310" t="s">
        <v>834</v>
      </c>
      <c r="F310" s="360"/>
      <c r="G310" s="363">
        <v>204245.45</v>
      </c>
      <c r="H310" t="s">
        <v>834</v>
      </c>
      <c r="I310" s="360"/>
      <c r="J310" s="363">
        <v>0</v>
      </c>
      <c r="K310" t="s">
        <v>834</v>
      </c>
      <c r="L310" s="360"/>
      <c r="M310" s="363">
        <v>7564.6462962962969</v>
      </c>
      <c r="N310" t="s">
        <v>855</v>
      </c>
      <c r="O310" s="360"/>
      <c r="P310" s="366" t="str">
        <f>IF(AND(E310="Did not Meet",H310="Did not Meet",K310="Did not Meet", N310="Did not Meet"),"Did not Meet","Met")</f>
        <v>Met</v>
      </c>
      <c r="Q310" s="360"/>
      <c r="R310" s="399">
        <v>0</v>
      </c>
      <c r="S310" s="400" t="str">
        <f>IF(AND(E310="Met",R310&gt;=D310),"Met","Did not Meet")</f>
        <v>Met</v>
      </c>
      <c r="U310" s="399">
        <v>204031.16</v>
      </c>
      <c r="V310" s="400" t="str">
        <f>IF(AND(H310="Met",U310&gt;=M310),"Met","Did not Meet")</f>
        <v>Met</v>
      </c>
      <c r="X310" s="399">
        <v>0</v>
      </c>
      <c r="Y310" s="400" t="str">
        <f>IF(AND(K310="Met",X310&gt;=J310),"Met","Did not Meet")</f>
        <v>Met</v>
      </c>
      <c r="AA310" s="399">
        <v>8161.2464</v>
      </c>
      <c r="AB310" s="400" t="str">
        <f>IF(AND(N310="Met",AA310&gt;=M310),"Met","Did not Meet")</f>
        <v>Did not Meet</v>
      </c>
      <c r="AD310" s="366" t="str">
        <f t="shared" si="74"/>
        <v>Met</v>
      </c>
      <c r="AF310" s="399">
        <v>0</v>
      </c>
      <c r="AG310" s="400" t="str">
        <f t="shared" si="81"/>
        <v>Met</v>
      </c>
      <c r="AI310" s="399">
        <v>230823.85</v>
      </c>
      <c r="AJ310" s="400" t="str">
        <f t="shared" si="82"/>
        <v>Met</v>
      </c>
      <c r="AL310" s="399">
        <f>VLOOKUP(A310,$A$5:$AF$315,32,0)/IFERROR(VLOOKUP(A310,'21-22 child count'!$A$3:$S$317,19,0),0)</f>
        <v>0</v>
      </c>
      <c r="AM310" s="400" t="str">
        <f t="shared" si="83"/>
        <v>Met</v>
      </c>
      <c r="AO310" s="399">
        <f>VLOOKUP(A310,'42. SEA or LEA Worksheet'!$A$4:$AB$318,28,0)/IFERROR(VLOOKUP('42. SEA or LEA Worksheet'!A304,'21-22 child count'!$A$3:$S$317,3,0),0)</f>
        <v>1221.2902116402117</v>
      </c>
      <c r="AP310" s="400" t="str">
        <f t="shared" si="84"/>
        <v>Did not Meet</v>
      </c>
      <c r="AR310" s="366" t="str">
        <f t="shared" si="75"/>
        <v>Met</v>
      </c>
      <c r="AU310" s="400" t="str">
        <f t="shared" si="85"/>
        <v>Met</v>
      </c>
      <c r="AX310" s="400" t="str">
        <f t="shared" si="86"/>
        <v>Did not Meet</v>
      </c>
      <c r="BA310" s="400" t="str">
        <f t="shared" si="87"/>
        <v>Met</v>
      </c>
      <c r="BD310" s="400" t="str">
        <f t="shared" si="88"/>
        <v>Did not Meet</v>
      </c>
      <c r="BF310" s="366" t="str">
        <f t="shared" si="76"/>
        <v>Met</v>
      </c>
    </row>
    <row r="311" spans="1:58">
      <c r="A311" t="s">
        <v>807</v>
      </c>
      <c r="B311" t="s">
        <v>1121</v>
      </c>
      <c r="C311" s="360"/>
      <c r="D311" s="363">
        <v>0</v>
      </c>
      <c r="E311" t="s">
        <v>834</v>
      </c>
      <c r="F311" s="360"/>
      <c r="G311" s="363">
        <v>85680.07</v>
      </c>
      <c r="H311" t="s">
        <v>855</v>
      </c>
      <c r="I311" s="360"/>
      <c r="J311" s="363">
        <v>0</v>
      </c>
      <c r="K311" t="s">
        <v>855</v>
      </c>
      <c r="L311" s="360"/>
      <c r="M311" s="363">
        <v>8568.0070000000014</v>
      </c>
      <c r="N311" t="s">
        <v>855</v>
      </c>
      <c r="O311" s="360"/>
      <c r="P311" s="366" t="str">
        <f>IF(AND(E311="Did not Meet",H311="Did not Meet",K311="Did not Meet", N311="Did not Meet"),"Did not Meet","Met")</f>
        <v>Met</v>
      </c>
      <c r="Q311" s="360"/>
      <c r="R311" s="399">
        <v>0</v>
      </c>
      <c r="S311" s="400" t="str">
        <f>IF(AND(E311="Met",R311&gt;=D311),"Met","Did not Meet")</f>
        <v>Met</v>
      </c>
      <c r="U311" s="399">
        <v>78424.41</v>
      </c>
      <c r="V311" s="400" t="str">
        <f>IF(AND(H311="Met",U311&gt;=M311),"Met","Did not Meet")</f>
        <v>Did not Meet</v>
      </c>
      <c r="X311" s="399">
        <v>0</v>
      </c>
      <c r="Y311" s="400" t="str">
        <f>IF(AND(K311="Met",X311&gt;=J311),"Met","Did not Meet")</f>
        <v>Did not Meet</v>
      </c>
      <c r="AA311" s="399">
        <v>11203.487142857144</v>
      </c>
      <c r="AB311" s="400" t="str">
        <f>IF(AND(N311="Met",AA311&gt;=M311),"Met","Did not Meet")</f>
        <v>Did not Meet</v>
      </c>
      <c r="AD311" s="366" t="str">
        <f t="shared" si="74"/>
        <v>Met</v>
      </c>
      <c r="AF311" s="399">
        <v>0</v>
      </c>
      <c r="AG311" s="400" t="str">
        <f t="shared" si="81"/>
        <v>Met</v>
      </c>
      <c r="AI311" s="399">
        <v>53332.76</v>
      </c>
      <c r="AJ311" s="400" t="str">
        <f t="shared" si="82"/>
        <v>Did not Meet</v>
      </c>
      <c r="AL311" s="399">
        <f>VLOOKUP(A311,$A$5:$AF$315,32,0)/IFERROR(VLOOKUP(A311,'21-22 child count'!$A$3:$S$317,19,0),0)</f>
        <v>0</v>
      </c>
      <c r="AM311" s="400" t="str">
        <f t="shared" si="83"/>
        <v>Did not Meet</v>
      </c>
      <c r="AO311" s="399">
        <f>VLOOKUP(A311,'42. SEA or LEA Worksheet'!$A$4:$AB$318,28,0)/IFERROR(VLOOKUP('42. SEA or LEA Worksheet'!A305,'21-22 child count'!$A$3:$S$317,3,0),0)</f>
        <v>471.97132743362835</v>
      </c>
      <c r="AP311" s="400" t="str">
        <f t="shared" si="84"/>
        <v>Did not Meet</v>
      </c>
      <c r="AR311" s="366" t="str">
        <f t="shared" si="75"/>
        <v>Met</v>
      </c>
      <c r="AU311" s="400" t="str">
        <f t="shared" si="85"/>
        <v>Met</v>
      </c>
      <c r="AX311" s="400" t="str">
        <f t="shared" si="86"/>
        <v>Did not Meet</v>
      </c>
      <c r="BA311" s="400" t="str">
        <f t="shared" si="87"/>
        <v>Did not Meet</v>
      </c>
      <c r="BD311" s="400" t="str">
        <f t="shared" si="88"/>
        <v>Did not Meet</v>
      </c>
      <c r="BF311" s="366" t="str">
        <f t="shared" si="76"/>
        <v>Met</v>
      </c>
    </row>
    <row r="312" spans="1:58">
      <c r="A312" s="368" t="s">
        <v>399</v>
      </c>
      <c r="B312" t="s">
        <v>1351</v>
      </c>
      <c r="C312" s="360"/>
      <c r="F312" s="360"/>
      <c r="I312" s="360"/>
      <c r="L312" s="360"/>
      <c r="O312" s="360"/>
      <c r="P312" s="366"/>
      <c r="Q312" s="360"/>
      <c r="AD312" s="366" t="str">
        <f t="shared" si="74"/>
        <v>Met</v>
      </c>
      <c r="AF312" s="399">
        <v>0</v>
      </c>
      <c r="AG312" s="400" t="str">
        <f t="shared" si="81"/>
        <v>Did not Meet</v>
      </c>
      <c r="AI312" s="399">
        <v>278257.78999999998</v>
      </c>
      <c r="AJ312" s="400" t="str">
        <f t="shared" si="82"/>
        <v>Did not Meet</v>
      </c>
      <c r="AL312" s="399">
        <f>VLOOKUP(A312,$A$5:$AF$315,32,0)/IFERROR(VLOOKUP(A312,'21-22 child count'!$A$3:$S$317,19,0),0)</f>
        <v>0</v>
      </c>
      <c r="AM312" s="400" t="str">
        <f t="shared" si="83"/>
        <v>Did not Meet</v>
      </c>
      <c r="AO312" s="399">
        <f>VLOOKUP(A312,'42. SEA or LEA Worksheet'!$A$4:$AB$318,28,0)/IFERROR(VLOOKUP('42. SEA or LEA Worksheet'!A108,'21-22 child count'!$A$3:$S$317,3,0),0)</f>
        <v>2262.2584552845528</v>
      </c>
      <c r="AP312" s="400" t="str">
        <f t="shared" si="84"/>
        <v>Did not Meet</v>
      </c>
      <c r="AR312" s="366" t="str">
        <f t="shared" si="75"/>
        <v>Met</v>
      </c>
      <c r="AU312" s="400" t="str">
        <f t="shared" si="85"/>
        <v>Did not Meet</v>
      </c>
      <c r="AX312" s="400" t="str">
        <f t="shared" si="86"/>
        <v>Did not Meet</v>
      </c>
      <c r="BA312" s="400" t="str">
        <f t="shared" si="87"/>
        <v>Did not Meet</v>
      </c>
      <c r="BD312" s="400" t="str">
        <f t="shared" si="88"/>
        <v>Did not Meet</v>
      </c>
      <c r="BF312" s="366" t="str">
        <f t="shared" si="76"/>
        <v>Met</v>
      </c>
    </row>
    <row r="313" spans="1:58">
      <c r="A313" s="368" t="s">
        <v>400</v>
      </c>
      <c r="B313" t="s">
        <v>1352</v>
      </c>
      <c r="C313" s="360"/>
      <c r="F313" s="360"/>
      <c r="I313" s="360"/>
      <c r="L313" s="360"/>
      <c r="O313" s="360"/>
      <c r="P313" s="366"/>
      <c r="Q313" s="360"/>
      <c r="AD313" s="366" t="str">
        <f t="shared" si="74"/>
        <v>Met</v>
      </c>
      <c r="AF313" s="399">
        <v>0</v>
      </c>
      <c r="AG313" s="400" t="str">
        <f t="shared" si="81"/>
        <v>Did not Meet</v>
      </c>
      <c r="AI313" s="399">
        <v>119056.03</v>
      </c>
      <c r="AJ313" s="400" t="str">
        <f t="shared" si="82"/>
        <v>Did not Meet</v>
      </c>
      <c r="AL313" s="399">
        <f>VLOOKUP(A313,$A$5:$AF$315,32,0)/IFERROR(VLOOKUP(A313,'21-22 child count'!$A$3:$S$317,19,0),0)</f>
        <v>0</v>
      </c>
      <c r="AM313" s="400" t="str">
        <f t="shared" si="83"/>
        <v>Did not Meet</v>
      </c>
      <c r="AO313" s="399">
        <f>VLOOKUP(A313,'42. SEA or LEA Worksheet'!$A$4:$AB$318,28,0)/IFERROR(VLOOKUP('42. SEA or LEA Worksheet'!A109,'21-22 child count'!$A$3:$S$317,3,0),0)</f>
        <v>1063.0002678571429</v>
      </c>
      <c r="AP313" s="400" t="str">
        <f t="shared" si="84"/>
        <v>Did not Meet</v>
      </c>
      <c r="AR313" s="366" t="str">
        <f t="shared" si="75"/>
        <v>Met</v>
      </c>
      <c r="AU313" s="400" t="str">
        <f t="shared" si="85"/>
        <v>Did not Meet</v>
      </c>
      <c r="AX313" s="400" t="str">
        <f t="shared" si="86"/>
        <v>Did not Meet</v>
      </c>
      <c r="BA313" s="400" t="str">
        <f t="shared" si="87"/>
        <v>Did not Meet</v>
      </c>
      <c r="BD313" s="400" t="str">
        <f t="shared" si="88"/>
        <v>Did not Meet</v>
      </c>
      <c r="BF313" s="366" t="str">
        <f t="shared" si="76"/>
        <v>Met</v>
      </c>
    </row>
    <row r="314" spans="1:58">
      <c r="A314" s="368" t="s">
        <v>456</v>
      </c>
      <c r="B314" t="s">
        <v>1279</v>
      </c>
      <c r="C314" s="360"/>
      <c r="F314" s="360"/>
      <c r="I314" s="360"/>
      <c r="L314" s="360"/>
      <c r="O314" s="360"/>
      <c r="P314" s="366"/>
      <c r="Q314" s="360"/>
      <c r="AD314" s="366" t="str">
        <f t="shared" si="74"/>
        <v>Met</v>
      </c>
      <c r="AF314" s="399">
        <v>9600</v>
      </c>
      <c r="AG314" s="400" t="str">
        <f t="shared" si="81"/>
        <v>Did not Meet</v>
      </c>
      <c r="AI314" s="399">
        <v>94288.27</v>
      </c>
      <c r="AJ314" s="400" t="str">
        <f t="shared" si="82"/>
        <v>Did not Meet</v>
      </c>
      <c r="AL314" s="399">
        <f>VLOOKUP(A314,$A$5:$AF$315,32,0)/IFERROR(VLOOKUP(A314,'21-22 child count'!$A$3:$S$317,19,0),0)</f>
        <v>1371.4285714285713</v>
      </c>
      <c r="AM314" s="400" t="str">
        <f t="shared" si="83"/>
        <v>Did not Meet</v>
      </c>
      <c r="AO314" s="399">
        <f>VLOOKUP(A314,'42. SEA or LEA Worksheet'!$A$4:$AB$318,28,0)/IFERROR(VLOOKUP('42. SEA or LEA Worksheet'!A134,'21-22 child count'!$A$3:$S$317,3,0),0)</f>
        <v>448.08608465608467</v>
      </c>
      <c r="AP314" s="400" t="str">
        <f t="shared" si="84"/>
        <v>Did not Meet</v>
      </c>
      <c r="AR314" s="366" t="str">
        <f t="shared" si="75"/>
        <v>Met</v>
      </c>
      <c r="AU314" s="400" t="str">
        <f t="shared" si="85"/>
        <v>Did not Meet</v>
      </c>
      <c r="AX314" s="400" t="str">
        <f t="shared" si="86"/>
        <v>Did not Meet</v>
      </c>
      <c r="BA314" s="400" t="str">
        <f t="shared" si="87"/>
        <v>Did not Meet</v>
      </c>
      <c r="BD314" s="400" t="str">
        <f t="shared" si="88"/>
        <v>Did not Meet</v>
      </c>
      <c r="BF314" s="366" t="str">
        <f t="shared" si="76"/>
        <v>Met</v>
      </c>
    </row>
    <row r="315" spans="1:58">
      <c r="A315" t="s">
        <v>815</v>
      </c>
      <c r="B315" t="s">
        <v>1125</v>
      </c>
      <c r="C315" s="360"/>
      <c r="D315" s="363">
        <v>0</v>
      </c>
      <c r="E315" t="s">
        <v>834</v>
      </c>
      <c r="F315" s="360"/>
      <c r="G315" s="363">
        <v>1423862.59</v>
      </c>
      <c r="H315" t="s">
        <v>834</v>
      </c>
      <c r="I315" s="360"/>
      <c r="J315" s="363">
        <v>0</v>
      </c>
      <c r="K315" t="s">
        <v>855</v>
      </c>
      <c r="L315" s="360"/>
      <c r="M315" s="363">
        <v>9556.1247651006724</v>
      </c>
      <c r="N315" t="s">
        <v>855</v>
      </c>
      <c r="O315" s="360"/>
      <c r="P315" s="366" t="str">
        <f t="shared" ref="P315" si="89">IF(AND(E315="Did not Meet",H315="Did not Meet",K315="Did not Meet", N315="Did not Meet"),"Did not Meet","Met")</f>
        <v>Met</v>
      </c>
      <c r="Q315" s="360"/>
      <c r="R315" s="399">
        <v>0</v>
      </c>
      <c r="S315" s="400" t="str">
        <f t="shared" ref="S315" si="90">IF(AND(E315="Met",R315&gt;=D315),"Met","Did not Meet")</f>
        <v>Met</v>
      </c>
      <c r="U315" s="399">
        <v>1429921.39</v>
      </c>
      <c r="V315" s="400" t="str">
        <f t="shared" ref="V315" si="91">IF(AND(H315="Met",U315&gt;=M315),"Met","Did not Meet")</f>
        <v>Met</v>
      </c>
      <c r="X315" s="399">
        <v>0</v>
      </c>
      <c r="Y315" s="400" t="str">
        <f t="shared" ref="Y315" si="92">IF(AND(K315="Met",X315&gt;=J315),"Met","Did not Meet")</f>
        <v>Did not Meet</v>
      </c>
      <c r="AA315" s="399">
        <v>9727.3563945578226</v>
      </c>
      <c r="AB315" s="400" t="str">
        <f t="shared" ref="AB315" si="93">IF(AND(N315="Met",AA315&gt;=M315),"Met","Did not Meet")</f>
        <v>Did not Meet</v>
      </c>
      <c r="AD315" s="366" t="str">
        <f t="shared" ref="AD315" si="94">IF(AND(P315="Did not Meet",S315="Did not Meet",V315="Did not Meet", Y315="Did not Meet",AB315="Did not Meet",),"Did not Meet","Met")</f>
        <v>Met</v>
      </c>
      <c r="AF315" s="399">
        <v>0</v>
      </c>
      <c r="AG315" s="400" t="str">
        <f t="shared" ref="AG315" si="95">IF(AND(S315="Met",AF315&gt;=R315),"Met","Did not Meet")</f>
        <v>Met</v>
      </c>
      <c r="AI315" s="399">
        <v>1335765.49</v>
      </c>
      <c r="AJ315" s="400" t="str">
        <f t="shared" ref="AJ315" si="96">IF(AND(V315="Met",AI315&gt;=U315),"Met","Did not Meet")</f>
        <v>Did not Meet</v>
      </c>
      <c r="AL315" s="399">
        <f>VLOOKUP(A315,$A$5:$AF$315,32,0)/IFERROR(VLOOKUP(A315,'21-22 child count'!$A$3:$S$317,19,0),0)</f>
        <v>0</v>
      </c>
      <c r="AM315" s="400" t="str">
        <f t="shared" ref="AM315" si="97">IF(AND(Y315="Met",AL315&gt;=X315),"Met","Did not Meet")</f>
        <v>Did not Meet</v>
      </c>
      <c r="AO315" s="399">
        <f>VLOOKUP(A315,'42. SEA or LEA Worksheet'!$A$4:$AB$318,28,0)/IFERROR(VLOOKUP('42. SEA or LEA Worksheet'!A309,'21-22 child count'!$A$3:$S$317,3,0),0)</f>
        <v>13225.400891089108</v>
      </c>
      <c r="AP315" s="400" t="str">
        <f t="shared" ref="AP315" si="98">IF(AND(AB315="Met",AO315&gt;=AA315),"Met","Did not Meet")</f>
        <v>Did not Meet</v>
      </c>
      <c r="AR315" s="366" t="str">
        <f t="shared" si="75"/>
        <v>Met</v>
      </c>
      <c r="AU315" s="400" t="str">
        <f t="shared" si="85"/>
        <v>Met</v>
      </c>
      <c r="AX315" s="400" t="str">
        <f t="shared" si="86"/>
        <v>Did not Meet</v>
      </c>
      <c r="BA315" s="400" t="str">
        <f t="shared" si="87"/>
        <v>Did not Meet</v>
      </c>
      <c r="BD315" s="400" t="str">
        <f t="shared" si="88"/>
        <v>Did not Meet</v>
      </c>
      <c r="BF315" s="366" t="str">
        <f t="shared" si="76"/>
        <v>Met</v>
      </c>
    </row>
    <row r="316" spans="1:58">
      <c r="D316" s="447"/>
      <c r="G316" s="447"/>
      <c r="J316" s="447"/>
      <c r="M316" s="447"/>
      <c r="R316" s="447"/>
      <c r="S316"/>
      <c r="T316"/>
      <c r="U316" s="447"/>
      <c r="V316"/>
      <c r="W316"/>
      <c r="X316" s="447"/>
      <c r="Y316"/>
      <c r="Z316"/>
      <c r="AA316" s="447"/>
      <c r="AB316"/>
      <c r="AC316"/>
      <c r="AE316"/>
      <c r="AF316" s="447"/>
      <c r="AG316"/>
      <c r="AH316"/>
      <c r="AI316" s="447"/>
      <c r="AJ316"/>
      <c r="AK316"/>
      <c r="AL316" s="447"/>
      <c r="AM316"/>
      <c r="AN316"/>
      <c r="AO316" s="447"/>
      <c r="AP316"/>
      <c r="AQ316"/>
      <c r="AS316"/>
      <c r="AT316" s="447"/>
      <c r="AU316"/>
      <c r="AV316"/>
      <c r="AW316" s="447"/>
      <c r="AX316"/>
      <c r="AY316"/>
      <c r="AZ316" s="447"/>
      <c r="BA316"/>
      <c r="BB316"/>
      <c r="BC316" s="447"/>
      <c r="BD316"/>
      <c r="BE316"/>
    </row>
    <row r="317" spans="1:58">
      <c r="D317" s="447"/>
      <c r="G317" s="447"/>
      <c r="J317" s="447"/>
      <c r="M317" s="447"/>
      <c r="R317" s="447"/>
      <c r="S317"/>
      <c r="T317"/>
      <c r="U317" s="447"/>
      <c r="V317"/>
      <c r="W317"/>
      <c r="X317" s="447"/>
      <c r="Y317"/>
      <c r="Z317"/>
      <c r="AA317" s="447"/>
      <c r="AB317"/>
      <c r="AC317"/>
      <c r="AE317"/>
      <c r="AF317" s="447"/>
      <c r="AG317"/>
      <c r="AH317"/>
      <c r="AI317" s="447"/>
      <c r="AJ317"/>
      <c r="AK317"/>
      <c r="AL317" s="447"/>
      <c r="AM317"/>
      <c r="AN317"/>
      <c r="AO317" s="447"/>
      <c r="AP317"/>
      <c r="AQ317"/>
      <c r="AS317"/>
      <c r="AT317" s="447"/>
      <c r="AU317"/>
      <c r="AV317"/>
      <c r="AW317" s="447"/>
      <c r="AX317"/>
      <c r="AY317"/>
      <c r="AZ317" s="447"/>
      <c r="BA317"/>
      <c r="BB317"/>
      <c r="BC317" s="447"/>
      <c r="BD317"/>
      <c r="BE317"/>
    </row>
    <row r="318" spans="1:58">
      <c r="D318" s="447"/>
      <c r="G318" s="447"/>
      <c r="J318" s="447"/>
      <c r="M318" s="447"/>
      <c r="R318" s="447"/>
      <c r="S318"/>
      <c r="T318"/>
      <c r="U318" s="447"/>
      <c r="V318"/>
      <c r="W318"/>
      <c r="X318" s="447"/>
      <c r="Y318"/>
      <c r="Z318"/>
      <c r="AA318" s="447"/>
      <c r="AB318"/>
      <c r="AC318"/>
      <c r="AE318"/>
      <c r="AF318" s="447"/>
      <c r="AG318"/>
      <c r="AH318"/>
      <c r="AI318" s="447"/>
      <c r="AJ318"/>
      <c r="AK318"/>
      <c r="AL318" s="447"/>
      <c r="AM318"/>
      <c r="AN318"/>
      <c r="AO318" s="447"/>
      <c r="AP318"/>
      <c r="AQ318"/>
      <c r="AS318"/>
      <c r="AT318" s="447"/>
      <c r="AU318"/>
      <c r="AV318"/>
      <c r="AW318" s="447"/>
      <c r="AX318"/>
      <c r="AY318"/>
      <c r="AZ318" s="447"/>
      <c r="BA318"/>
      <c r="BB318"/>
      <c r="BC318" s="447"/>
      <c r="BD318"/>
      <c r="BE318"/>
    </row>
    <row r="319" spans="1:58">
      <c r="D319" s="447"/>
      <c r="G319" s="447"/>
      <c r="J319" s="447"/>
      <c r="M319" s="447"/>
      <c r="R319" s="447"/>
      <c r="S319"/>
      <c r="T319"/>
      <c r="U319" s="447"/>
      <c r="V319"/>
      <c r="W319"/>
      <c r="X319" s="447"/>
      <c r="Y319"/>
      <c r="Z319"/>
      <c r="AA319" s="447"/>
      <c r="AB319"/>
      <c r="AC319"/>
      <c r="AE319"/>
      <c r="AF319" s="447"/>
      <c r="AG319"/>
      <c r="AH319"/>
      <c r="AI319" s="447"/>
      <c r="AJ319"/>
      <c r="AK319"/>
      <c r="AL319" s="447"/>
      <c r="AM319"/>
      <c r="AN319"/>
      <c r="AO319" s="447"/>
      <c r="AP319"/>
      <c r="AQ319"/>
      <c r="AS319"/>
      <c r="AT319" s="447"/>
      <c r="AU319"/>
      <c r="AV319"/>
      <c r="AW319" s="447"/>
      <c r="AX319"/>
      <c r="AY319"/>
      <c r="AZ319" s="447"/>
      <c r="BA319"/>
      <c r="BB319"/>
      <c r="BC319" s="447"/>
      <c r="BD319"/>
      <c r="BE319"/>
    </row>
    <row r="320" spans="1:58">
      <c r="D320" s="447"/>
      <c r="G320" s="447"/>
      <c r="J320" s="447"/>
      <c r="M320" s="447"/>
      <c r="R320" s="447"/>
      <c r="S320"/>
      <c r="T320"/>
      <c r="U320" s="447"/>
      <c r="V320"/>
      <c r="W320"/>
      <c r="X320" s="447"/>
      <c r="Y320"/>
      <c r="Z320"/>
      <c r="AA320" s="447"/>
      <c r="AB320"/>
      <c r="AC320"/>
      <c r="AE320"/>
      <c r="AF320" s="447"/>
      <c r="AG320"/>
      <c r="AH320"/>
      <c r="AI320" s="447"/>
      <c r="AJ320"/>
      <c r="AK320"/>
      <c r="AL320" s="447"/>
      <c r="AM320"/>
      <c r="AN320"/>
      <c r="AO320" s="447"/>
      <c r="AP320"/>
      <c r="AQ320"/>
      <c r="AS320"/>
      <c r="AT320" s="447"/>
      <c r="AU320"/>
      <c r="AV320"/>
      <c r="AW320" s="447"/>
      <c r="AX320"/>
      <c r="AY320"/>
      <c r="AZ320" s="447"/>
      <c r="BA320"/>
      <c r="BB320"/>
      <c r="BC320" s="447"/>
      <c r="BD320"/>
      <c r="BE320"/>
    </row>
    <row r="321" spans="4:57">
      <c r="D321" s="447"/>
      <c r="G321" s="447"/>
      <c r="J321" s="447"/>
      <c r="M321" s="447"/>
      <c r="R321" s="447"/>
      <c r="S321"/>
      <c r="T321"/>
      <c r="U321" s="447"/>
      <c r="V321"/>
      <c r="W321"/>
      <c r="X321" s="447"/>
      <c r="Y321"/>
      <c r="Z321"/>
      <c r="AA321" s="447"/>
      <c r="AB321"/>
      <c r="AC321"/>
      <c r="AE321"/>
      <c r="AF321" s="447"/>
      <c r="AG321"/>
      <c r="AH321"/>
      <c r="AI321" s="447"/>
      <c r="AJ321"/>
      <c r="AK321"/>
      <c r="AL321" s="447"/>
      <c r="AM321"/>
      <c r="AN321"/>
      <c r="AO321" s="447"/>
      <c r="AP321"/>
      <c r="AQ321"/>
      <c r="AS321"/>
      <c r="AT321" s="447"/>
      <c r="AU321"/>
      <c r="AV321"/>
      <c r="AW321" s="447"/>
      <c r="AX321"/>
      <c r="AY321"/>
      <c r="AZ321" s="447"/>
      <c r="BA321"/>
      <c r="BB321"/>
      <c r="BC321" s="447"/>
      <c r="BD321"/>
      <c r="BE321"/>
    </row>
    <row r="322" spans="4:57">
      <c r="D322" s="447"/>
      <c r="G322" s="447"/>
      <c r="J322" s="447"/>
      <c r="M322" s="447"/>
      <c r="R322" s="447"/>
      <c r="S322"/>
      <c r="T322"/>
      <c r="U322" s="447"/>
      <c r="V322"/>
      <c r="W322"/>
      <c r="X322" s="447"/>
      <c r="Y322"/>
      <c r="Z322"/>
      <c r="AA322" s="447"/>
      <c r="AB322"/>
      <c r="AC322"/>
      <c r="AE322"/>
      <c r="AF322" s="447"/>
      <c r="AG322"/>
      <c r="AH322"/>
      <c r="AI322" s="447"/>
      <c r="AJ322"/>
      <c r="AK322"/>
      <c r="AL322" s="447"/>
      <c r="AM322"/>
      <c r="AN322"/>
      <c r="AO322" s="447"/>
      <c r="AP322"/>
      <c r="AQ322"/>
      <c r="AS322"/>
      <c r="AT322" s="447"/>
      <c r="AU322"/>
      <c r="AV322"/>
      <c r="AW322" s="447"/>
      <c r="AX322"/>
      <c r="AY322"/>
      <c r="AZ322" s="447"/>
      <c r="BA322"/>
      <c r="BB322"/>
      <c r="BC322" s="447"/>
      <c r="BD322"/>
      <c r="BE322"/>
    </row>
    <row r="323" spans="4:57">
      <c r="D323" s="447"/>
      <c r="G323" s="447"/>
      <c r="J323" s="447"/>
      <c r="M323" s="447"/>
      <c r="R323" s="447"/>
      <c r="S323"/>
      <c r="T323"/>
      <c r="U323" s="447"/>
      <c r="V323"/>
      <c r="W323"/>
      <c r="X323" s="447"/>
      <c r="Y323"/>
      <c r="Z323"/>
      <c r="AA323" s="447"/>
      <c r="AB323"/>
      <c r="AC323"/>
      <c r="AE323"/>
      <c r="AF323" s="447"/>
      <c r="AG323"/>
      <c r="AH323"/>
      <c r="AI323" s="447"/>
      <c r="AJ323"/>
      <c r="AK323"/>
      <c r="AL323" s="447"/>
      <c r="AM323"/>
      <c r="AN323"/>
      <c r="AO323" s="447"/>
      <c r="AP323"/>
      <c r="AQ323"/>
      <c r="AS323"/>
      <c r="AT323" s="447"/>
      <c r="AU323"/>
      <c r="AV323"/>
      <c r="AW323" s="447"/>
      <c r="AX323"/>
      <c r="AY323"/>
      <c r="AZ323" s="447"/>
      <c r="BA323"/>
      <c r="BB323"/>
      <c r="BC323" s="447"/>
      <c r="BD323"/>
      <c r="BE323"/>
    </row>
    <row r="324" spans="4:57">
      <c r="D324" s="447"/>
      <c r="G324" s="447"/>
      <c r="J324" s="447"/>
      <c r="M324" s="447"/>
      <c r="R324" s="447"/>
      <c r="S324"/>
      <c r="T324"/>
      <c r="U324" s="447"/>
      <c r="V324"/>
      <c r="W324"/>
      <c r="X324" s="447"/>
      <c r="Y324"/>
      <c r="Z324"/>
      <c r="AA324" s="447"/>
      <c r="AB324"/>
      <c r="AC324"/>
      <c r="AE324"/>
      <c r="AF324" s="447"/>
      <c r="AG324"/>
      <c r="AH324"/>
      <c r="AI324" s="447"/>
      <c r="AJ324"/>
      <c r="AK324"/>
      <c r="AL324" s="447"/>
      <c r="AM324"/>
      <c r="AN324"/>
      <c r="AO324" s="447"/>
      <c r="AP324"/>
      <c r="AQ324"/>
      <c r="AS324"/>
      <c r="AT324" s="447"/>
      <c r="AU324"/>
      <c r="AV324"/>
      <c r="AW324" s="447"/>
      <c r="AX324"/>
      <c r="AY324"/>
      <c r="AZ324" s="447"/>
      <c r="BA324"/>
      <c r="BB324"/>
      <c r="BC324" s="447"/>
      <c r="BD324"/>
      <c r="BE324"/>
    </row>
    <row r="325" spans="4:57">
      <c r="D325" s="447"/>
      <c r="G325" s="447"/>
      <c r="J325" s="447"/>
      <c r="M325" s="447"/>
      <c r="R325" s="447"/>
      <c r="S325"/>
      <c r="T325"/>
      <c r="U325" s="447"/>
      <c r="V325"/>
      <c r="W325"/>
      <c r="X325" s="447"/>
      <c r="Y325"/>
      <c r="Z325"/>
      <c r="AA325" s="447"/>
      <c r="AB325"/>
      <c r="AC325"/>
      <c r="AE325"/>
      <c r="AF325" s="447"/>
      <c r="AG325"/>
      <c r="AH325"/>
      <c r="AI325" s="447"/>
      <c r="AJ325"/>
      <c r="AK325"/>
      <c r="AL325" s="447"/>
      <c r="AM325"/>
      <c r="AN325"/>
      <c r="AO325" s="447"/>
      <c r="AP325"/>
      <c r="AQ325"/>
      <c r="AS325"/>
      <c r="AT325" s="447"/>
      <c r="AU325"/>
      <c r="AV325"/>
      <c r="AW325" s="447"/>
      <c r="AX325"/>
      <c r="AY325"/>
      <c r="AZ325" s="447"/>
      <c r="BA325"/>
      <c r="BB325"/>
      <c r="BC325" s="447"/>
      <c r="BD325"/>
      <c r="BE325"/>
    </row>
    <row r="326" spans="4:57">
      <c r="D326" s="447"/>
      <c r="G326" s="447"/>
      <c r="J326" s="447"/>
      <c r="M326" s="447"/>
      <c r="R326" s="447"/>
      <c r="S326"/>
      <c r="T326"/>
      <c r="U326" s="447"/>
      <c r="V326"/>
      <c r="W326"/>
      <c r="X326" s="447"/>
      <c r="Y326"/>
      <c r="Z326"/>
      <c r="AA326" s="447"/>
      <c r="AB326"/>
      <c r="AC326"/>
      <c r="AE326"/>
      <c r="AF326" s="447"/>
      <c r="AG326"/>
      <c r="AH326"/>
      <c r="AI326" s="447"/>
      <c r="AJ326"/>
      <c r="AK326"/>
      <c r="AL326" s="447"/>
      <c r="AM326"/>
      <c r="AN326"/>
      <c r="AO326" s="447"/>
      <c r="AP326"/>
      <c r="AQ326"/>
      <c r="AS326"/>
      <c r="AT326" s="447"/>
      <c r="AU326"/>
      <c r="AV326"/>
      <c r="AW326" s="447"/>
      <c r="AX326"/>
      <c r="AY326"/>
      <c r="AZ326" s="447"/>
      <c r="BA326"/>
      <c r="BB326"/>
      <c r="BC326" s="447"/>
      <c r="BD326"/>
      <c r="BE326"/>
    </row>
    <row r="327" spans="4:57">
      <c r="D327" s="447"/>
      <c r="G327" s="447"/>
      <c r="J327" s="447"/>
      <c r="M327" s="447"/>
      <c r="R327" s="447"/>
      <c r="S327"/>
      <c r="T327"/>
      <c r="U327" s="447"/>
      <c r="V327"/>
      <c r="W327"/>
      <c r="X327" s="447"/>
      <c r="Y327"/>
      <c r="Z327"/>
      <c r="AA327" s="447"/>
      <c r="AB327"/>
      <c r="AC327"/>
      <c r="AE327"/>
      <c r="AF327" s="447"/>
      <c r="AG327"/>
      <c r="AH327"/>
      <c r="AI327" s="447"/>
      <c r="AJ327"/>
      <c r="AK327"/>
      <c r="AL327" s="447"/>
      <c r="AM327"/>
      <c r="AN327"/>
      <c r="AO327" s="447"/>
      <c r="AP327"/>
      <c r="AQ327"/>
      <c r="AS327"/>
      <c r="AT327" s="447"/>
      <c r="AU327"/>
      <c r="AV327"/>
      <c r="AW327" s="447"/>
      <c r="AX327"/>
      <c r="AY327"/>
      <c r="AZ327" s="447"/>
      <c r="BA327"/>
      <c r="BB327"/>
      <c r="BC327" s="447"/>
      <c r="BD327"/>
      <c r="BE327"/>
    </row>
    <row r="328" spans="4:57">
      <c r="D328" s="447"/>
      <c r="G328" s="447"/>
      <c r="J328" s="447"/>
      <c r="M328" s="447"/>
      <c r="R328" s="447"/>
      <c r="S328"/>
      <c r="T328"/>
      <c r="U328" s="447"/>
      <c r="V328"/>
      <c r="W328"/>
      <c r="X328" s="447"/>
      <c r="Y328"/>
      <c r="Z328"/>
      <c r="AA328" s="447"/>
      <c r="AB328"/>
      <c r="AC328"/>
      <c r="AE328"/>
      <c r="AF328" s="447"/>
      <c r="AG328"/>
      <c r="AH328"/>
      <c r="AI328" s="447"/>
      <c r="AJ328"/>
      <c r="AK328"/>
      <c r="AL328" s="447"/>
      <c r="AM328"/>
      <c r="AN328"/>
      <c r="AO328" s="447"/>
      <c r="AP328"/>
      <c r="AQ328"/>
      <c r="AS328"/>
      <c r="AT328" s="447"/>
      <c r="AU328"/>
      <c r="AV328"/>
      <c r="AW328" s="447"/>
      <c r="AX328"/>
      <c r="AY328"/>
      <c r="AZ328" s="447"/>
      <c r="BA328"/>
      <c r="BB328"/>
      <c r="BC328" s="447"/>
      <c r="BD328"/>
      <c r="BE328"/>
    </row>
    <row r="329" spans="4:57">
      <c r="D329" s="447"/>
      <c r="G329" s="447"/>
      <c r="J329" s="447"/>
      <c r="M329" s="447"/>
      <c r="R329" s="447"/>
      <c r="S329"/>
      <c r="T329"/>
      <c r="U329" s="447"/>
      <c r="V329"/>
      <c r="W329"/>
      <c r="X329" s="447"/>
      <c r="Y329"/>
      <c r="Z329"/>
      <c r="AA329" s="447"/>
      <c r="AB329"/>
      <c r="AC329"/>
      <c r="AE329"/>
      <c r="AF329" s="447"/>
      <c r="AG329"/>
      <c r="AH329"/>
      <c r="AI329" s="447"/>
      <c r="AJ329"/>
      <c r="AK329"/>
      <c r="AL329" s="447"/>
      <c r="AM329"/>
      <c r="AN329"/>
      <c r="AO329" s="447"/>
      <c r="AP329"/>
      <c r="AQ329"/>
      <c r="AS329"/>
      <c r="AT329" s="447"/>
      <c r="AU329"/>
      <c r="AV329"/>
      <c r="AW329" s="447"/>
      <c r="AX329"/>
      <c r="AY329"/>
      <c r="AZ329" s="447"/>
      <c r="BA329"/>
      <c r="BB329"/>
      <c r="BC329" s="447"/>
      <c r="BD329"/>
      <c r="BE329"/>
    </row>
    <row r="330" spans="4:57">
      <c r="D330" s="447"/>
      <c r="G330" s="447"/>
      <c r="J330" s="447"/>
      <c r="M330" s="447"/>
      <c r="R330" s="447"/>
      <c r="S330"/>
      <c r="T330"/>
      <c r="U330" s="447"/>
      <c r="V330"/>
      <c r="W330"/>
      <c r="X330" s="447"/>
      <c r="Y330"/>
      <c r="Z330"/>
      <c r="AA330" s="447"/>
      <c r="AB330"/>
      <c r="AC330"/>
      <c r="AE330"/>
      <c r="AF330" s="447"/>
      <c r="AG330"/>
      <c r="AH330"/>
      <c r="AI330" s="447"/>
      <c r="AJ330"/>
      <c r="AK330"/>
      <c r="AL330" s="447"/>
      <c r="AM330"/>
      <c r="AN330"/>
      <c r="AO330" s="447"/>
      <c r="AP330"/>
      <c r="AQ330"/>
      <c r="AS330"/>
      <c r="AT330" s="447"/>
      <c r="AU330"/>
      <c r="AV330"/>
      <c r="AW330" s="447"/>
      <c r="AX330"/>
      <c r="AY330"/>
      <c r="AZ330" s="447"/>
      <c r="BA330"/>
      <c r="BB330"/>
      <c r="BC330" s="447"/>
      <c r="BD330"/>
      <c r="BE330"/>
    </row>
    <row r="331" spans="4:57">
      <c r="D331" s="447"/>
      <c r="G331" s="447"/>
      <c r="J331" s="447"/>
      <c r="M331" s="447"/>
      <c r="R331" s="447"/>
      <c r="S331"/>
      <c r="T331"/>
      <c r="U331" s="447"/>
      <c r="V331"/>
      <c r="W331"/>
      <c r="X331" s="447"/>
      <c r="Y331"/>
      <c r="Z331"/>
      <c r="AA331" s="447"/>
      <c r="AB331"/>
      <c r="AC331"/>
      <c r="AE331"/>
      <c r="AF331" s="447"/>
      <c r="AG331"/>
      <c r="AH331"/>
      <c r="AI331" s="447"/>
      <c r="AJ331"/>
      <c r="AK331"/>
      <c r="AL331" s="447"/>
      <c r="AM331"/>
      <c r="AN331"/>
      <c r="AO331" s="447"/>
      <c r="AP331"/>
      <c r="AQ331"/>
      <c r="AS331"/>
      <c r="AT331" s="447"/>
      <c r="AU331"/>
      <c r="AV331"/>
      <c r="AW331" s="447"/>
      <c r="AX331"/>
      <c r="AY331"/>
      <c r="AZ331" s="447"/>
      <c r="BA331"/>
      <c r="BB331"/>
      <c r="BC331" s="447"/>
      <c r="BD331"/>
      <c r="BE331"/>
    </row>
    <row r="332" spans="4:57">
      <c r="D332" s="447"/>
      <c r="G332" s="447"/>
      <c r="J332" s="447"/>
      <c r="M332" s="447"/>
      <c r="R332" s="447"/>
      <c r="S332"/>
      <c r="T332"/>
      <c r="U332" s="447"/>
      <c r="V332"/>
      <c r="W332"/>
      <c r="X332" s="447"/>
      <c r="Y332"/>
      <c r="Z332"/>
      <c r="AA332" s="447"/>
      <c r="AB332"/>
      <c r="AC332"/>
      <c r="AE332"/>
      <c r="AF332" s="447"/>
      <c r="AG332"/>
      <c r="AH332"/>
      <c r="AI332" s="447"/>
      <c r="AJ332"/>
      <c r="AK332"/>
      <c r="AL332" s="447"/>
      <c r="AM332"/>
      <c r="AN332"/>
      <c r="AO332" s="447"/>
      <c r="AP332"/>
      <c r="AQ332"/>
      <c r="AS332"/>
      <c r="AT332" s="447"/>
      <c r="AU332"/>
      <c r="AV332"/>
      <c r="AW332" s="447"/>
      <c r="AX332"/>
      <c r="AY332"/>
      <c r="AZ332" s="447"/>
      <c r="BA332"/>
      <c r="BB332"/>
      <c r="BC332" s="447"/>
      <c r="BD332"/>
      <c r="BE332"/>
    </row>
    <row r="333" spans="4:57">
      <c r="D333" s="447"/>
      <c r="G333" s="447"/>
      <c r="J333" s="447"/>
      <c r="M333" s="447"/>
      <c r="R333" s="447"/>
      <c r="S333"/>
      <c r="T333"/>
      <c r="U333" s="447"/>
      <c r="V333"/>
      <c r="W333"/>
      <c r="X333" s="447"/>
      <c r="Y333"/>
      <c r="Z333"/>
      <c r="AA333" s="447"/>
      <c r="AB333"/>
      <c r="AC333"/>
      <c r="AE333"/>
      <c r="AF333" s="447"/>
      <c r="AG333"/>
      <c r="AH333"/>
      <c r="AI333" s="447"/>
      <c r="AJ333"/>
      <c r="AK333"/>
      <c r="AL333" s="447"/>
      <c r="AM333"/>
      <c r="AN333"/>
      <c r="AO333" s="447"/>
      <c r="AP333"/>
      <c r="AQ333"/>
      <c r="AS333"/>
      <c r="AT333" s="447"/>
      <c r="AU333"/>
      <c r="AV333"/>
      <c r="AW333" s="447"/>
      <c r="AX333"/>
      <c r="AY333"/>
      <c r="AZ333" s="447"/>
      <c r="BA333"/>
      <c r="BB333"/>
      <c r="BC333" s="447"/>
      <c r="BD333"/>
      <c r="BE333"/>
    </row>
    <row r="334" spans="4:57">
      <c r="D334" s="447"/>
      <c r="G334" s="447"/>
      <c r="J334" s="447"/>
      <c r="M334" s="447"/>
      <c r="R334" s="447"/>
      <c r="S334"/>
      <c r="T334"/>
      <c r="U334" s="447"/>
      <c r="V334"/>
      <c r="W334"/>
      <c r="X334" s="447"/>
      <c r="Y334"/>
      <c r="Z334"/>
      <c r="AA334" s="447"/>
      <c r="AB334"/>
      <c r="AC334"/>
      <c r="AE334"/>
      <c r="AF334" s="447"/>
      <c r="AG334"/>
      <c r="AH334"/>
      <c r="AI334" s="447"/>
      <c r="AJ334"/>
      <c r="AK334"/>
      <c r="AL334" s="447"/>
      <c r="AM334"/>
      <c r="AN334"/>
      <c r="AO334" s="447"/>
      <c r="AP334"/>
      <c r="AQ334"/>
      <c r="AS334"/>
      <c r="AT334" s="447"/>
      <c r="AU334"/>
      <c r="AV334"/>
      <c r="AW334" s="447"/>
      <c r="AX334"/>
      <c r="AY334"/>
      <c r="AZ334" s="447"/>
      <c r="BA334"/>
      <c r="BB334"/>
      <c r="BC334" s="447"/>
      <c r="BD334"/>
      <c r="BE334"/>
    </row>
    <row r="335" spans="4:57">
      <c r="D335" s="447"/>
      <c r="G335" s="447"/>
      <c r="J335" s="447"/>
      <c r="M335" s="447"/>
      <c r="R335" s="447"/>
      <c r="S335"/>
      <c r="T335"/>
      <c r="U335" s="447"/>
      <c r="V335"/>
      <c r="W335"/>
      <c r="X335" s="447"/>
      <c r="Y335"/>
      <c r="Z335"/>
      <c r="AA335" s="447"/>
      <c r="AB335"/>
      <c r="AC335"/>
      <c r="AE335"/>
      <c r="AF335" s="447"/>
      <c r="AG335"/>
      <c r="AH335"/>
      <c r="AI335" s="447"/>
      <c r="AJ335"/>
      <c r="AK335"/>
      <c r="AL335" s="447"/>
      <c r="AM335"/>
      <c r="AN335"/>
      <c r="AO335" s="447"/>
      <c r="AP335"/>
      <c r="AQ335"/>
      <c r="AS335"/>
      <c r="AT335" s="447"/>
      <c r="AU335"/>
      <c r="AV335"/>
      <c r="AW335" s="447"/>
      <c r="AX335"/>
      <c r="AY335"/>
      <c r="AZ335" s="447"/>
      <c r="BA335"/>
      <c r="BB335"/>
      <c r="BC335" s="447"/>
      <c r="BD335"/>
      <c r="BE335"/>
    </row>
    <row r="336" spans="4:57">
      <c r="D336" s="447"/>
      <c r="G336" s="447"/>
      <c r="J336" s="447"/>
      <c r="M336" s="447"/>
      <c r="R336" s="447"/>
      <c r="S336"/>
      <c r="T336"/>
      <c r="U336" s="447"/>
      <c r="V336"/>
      <c r="W336"/>
      <c r="X336" s="447"/>
      <c r="Y336"/>
      <c r="Z336"/>
      <c r="AA336" s="447"/>
      <c r="AB336"/>
      <c r="AC336"/>
      <c r="AE336"/>
      <c r="AF336" s="447"/>
      <c r="AG336"/>
      <c r="AH336"/>
      <c r="AI336" s="447"/>
      <c r="AJ336"/>
      <c r="AK336"/>
      <c r="AL336" s="447"/>
      <c r="AM336"/>
      <c r="AN336"/>
      <c r="AO336" s="447"/>
      <c r="AP336"/>
      <c r="AQ336"/>
      <c r="AS336"/>
      <c r="AT336" s="447"/>
      <c r="AU336"/>
      <c r="AV336"/>
      <c r="AW336" s="447"/>
      <c r="AX336"/>
      <c r="AY336"/>
      <c r="AZ336" s="447"/>
      <c r="BA336"/>
      <c r="BB336"/>
      <c r="BC336" s="447"/>
      <c r="BD336"/>
      <c r="BE336"/>
    </row>
    <row r="337" spans="4:57">
      <c r="D337" s="447"/>
      <c r="G337" s="447"/>
      <c r="J337" s="447"/>
      <c r="M337" s="447"/>
      <c r="R337" s="447"/>
      <c r="S337"/>
      <c r="T337"/>
      <c r="U337" s="447"/>
      <c r="V337"/>
      <c r="W337"/>
      <c r="X337" s="447"/>
      <c r="Y337"/>
      <c r="Z337"/>
      <c r="AA337" s="447"/>
      <c r="AB337"/>
      <c r="AC337"/>
      <c r="AE337"/>
      <c r="AF337" s="447"/>
      <c r="AG337"/>
      <c r="AH337"/>
      <c r="AI337" s="447"/>
      <c r="AJ337"/>
      <c r="AK337"/>
      <c r="AL337" s="447"/>
      <c r="AM337"/>
      <c r="AN337"/>
      <c r="AO337" s="447"/>
      <c r="AP337"/>
      <c r="AQ337"/>
      <c r="AS337"/>
      <c r="AT337" s="447"/>
      <c r="AU337"/>
      <c r="AV337"/>
      <c r="AW337" s="447"/>
      <c r="AX337"/>
      <c r="AY337"/>
      <c r="AZ337" s="447"/>
      <c r="BA337"/>
      <c r="BB337"/>
      <c r="BC337" s="447"/>
      <c r="BD337"/>
      <c r="BE337"/>
    </row>
    <row r="338" spans="4:57">
      <c r="D338" s="447"/>
      <c r="G338" s="447"/>
      <c r="J338" s="447"/>
      <c r="M338" s="447"/>
      <c r="R338" s="447"/>
      <c r="S338"/>
      <c r="T338"/>
      <c r="U338" s="447"/>
      <c r="V338"/>
      <c r="W338"/>
      <c r="X338" s="447"/>
      <c r="Y338"/>
      <c r="Z338"/>
      <c r="AA338" s="447"/>
      <c r="AB338"/>
      <c r="AC338"/>
      <c r="AE338"/>
      <c r="AF338" s="447"/>
      <c r="AG338"/>
      <c r="AH338"/>
      <c r="AI338" s="447"/>
      <c r="AJ338"/>
      <c r="AK338"/>
      <c r="AL338" s="447"/>
      <c r="AM338"/>
      <c r="AN338"/>
      <c r="AO338" s="447"/>
      <c r="AP338"/>
      <c r="AQ338"/>
      <c r="AS338"/>
      <c r="AT338" s="447"/>
      <c r="AU338"/>
      <c r="AV338"/>
      <c r="AW338" s="447"/>
      <c r="AX338"/>
      <c r="AY338"/>
      <c r="AZ338" s="447"/>
      <c r="BA338"/>
      <c r="BB338"/>
      <c r="BC338" s="447"/>
      <c r="BD338"/>
      <c r="BE338"/>
    </row>
    <row r="339" spans="4:57">
      <c r="D339" s="447"/>
      <c r="G339" s="447"/>
      <c r="J339" s="447"/>
      <c r="M339" s="447"/>
      <c r="R339" s="447"/>
      <c r="S339"/>
      <c r="T339"/>
      <c r="U339" s="447"/>
      <c r="V339"/>
      <c r="W339"/>
      <c r="X339" s="447"/>
      <c r="Y339"/>
      <c r="Z339"/>
      <c r="AA339" s="447"/>
      <c r="AB339"/>
      <c r="AC339"/>
      <c r="AE339"/>
      <c r="AF339" s="447"/>
      <c r="AG339"/>
      <c r="AH339"/>
      <c r="AI339" s="447"/>
      <c r="AJ339"/>
      <c r="AK339"/>
      <c r="AL339" s="447"/>
      <c r="AM339"/>
      <c r="AN339"/>
      <c r="AO339" s="447"/>
      <c r="AP339"/>
      <c r="AQ339"/>
      <c r="AS339"/>
      <c r="AT339" s="447"/>
      <c r="AU339"/>
      <c r="AV339"/>
      <c r="AW339" s="447"/>
      <c r="AX339"/>
      <c r="AY339"/>
      <c r="AZ339" s="447"/>
      <c r="BA339"/>
      <c r="BB339"/>
      <c r="BC339" s="447"/>
      <c r="BD339"/>
      <c r="BE339"/>
    </row>
    <row r="340" spans="4:57">
      <c r="D340" s="447"/>
      <c r="G340" s="447"/>
      <c r="J340" s="447"/>
      <c r="M340" s="447"/>
      <c r="R340" s="447"/>
      <c r="S340"/>
      <c r="T340"/>
      <c r="U340" s="447"/>
      <c r="V340"/>
      <c r="W340"/>
      <c r="X340" s="447"/>
      <c r="Y340"/>
      <c r="Z340"/>
      <c r="AA340" s="447"/>
      <c r="AB340"/>
      <c r="AC340"/>
      <c r="AE340"/>
      <c r="AF340" s="447"/>
      <c r="AG340"/>
      <c r="AH340"/>
      <c r="AI340" s="447"/>
      <c r="AJ340"/>
      <c r="AK340"/>
      <c r="AL340" s="447"/>
      <c r="AM340"/>
      <c r="AN340"/>
      <c r="AO340" s="447"/>
      <c r="AP340"/>
      <c r="AQ340"/>
      <c r="AS340"/>
      <c r="AT340" s="447"/>
      <c r="AU340"/>
      <c r="AV340"/>
      <c r="AW340" s="447"/>
      <c r="AX340"/>
      <c r="AY340"/>
      <c r="AZ340" s="447"/>
      <c r="BA340"/>
      <c r="BB340"/>
      <c r="BC340" s="447"/>
      <c r="BD340"/>
      <c r="BE340"/>
    </row>
    <row r="341" spans="4:57">
      <c r="D341" s="447"/>
      <c r="G341" s="447"/>
      <c r="J341" s="447"/>
      <c r="M341" s="447"/>
      <c r="R341" s="447"/>
      <c r="S341"/>
      <c r="T341"/>
      <c r="U341" s="447"/>
      <c r="V341"/>
      <c r="W341"/>
      <c r="X341" s="447"/>
      <c r="Y341"/>
      <c r="Z341"/>
      <c r="AA341" s="447"/>
      <c r="AB341"/>
      <c r="AC341"/>
      <c r="AE341"/>
      <c r="AF341" s="447"/>
      <c r="AG341"/>
      <c r="AH341"/>
      <c r="AI341" s="447"/>
      <c r="AJ341"/>
      <c r="AK341"/>
      <c r="AL341" s="447"/>
      <c r="AM341"/>
      <c r="AN341"/>
      <c r="AO341" s="447"/>
      <c r="AP341"/>
      <c r="AQ341"/>
      <c r="AS341"/>
      <c r="AT341" s="447"/>
      <c r="AU341"/>
      <c r="AV341"/>
      <c r="AW341" s="447"/>
      <c r="AX341"/>
      <c r="AY341"/>
      <c r="AZ341" s="447"/>
      <c r="BA341"/>
      <c r="BB341"/>
      <c r="BC341" s="447"/>
      <c r="BD341"/>
      <c r="BE341"/>
    </row>
    <row r="342" spans="4:57">
      <c r="D342" s="447"/>
      <c r="G342" s="447"/>
      <c r="J342" s="447"/>
      <c r="M342" s="447"/>
      <c r="R342" s="447"/>
      <c r="S342"/>
      <c r="T342"/>
      <c r="U342" s="447"/>
      <c r="V342"/>
      <c r="W342"/>
      <c r="X342" s="447"/>
      <c r="Y342"/>
      <c r="Z342"/>
      <c r="AA342" s="447"/>
      <c r="AB342"/>
      <c r="AC342"/>
      <c r="AE342"/>
      <c r="AF342" s="447"/>
      <c r="AG342"/>
      <c r="AH342"/>
      <c r="AI342" s="447"/>
      <c r="AJ342"/>
      <c r="AK342"/>
      <c r="AL342" s="447"/>
      <c r="AM342"/>
      <c r="AN342"/>
      <c r="AO342" s="447"/>
      <c r="AP342"/>
      <c r="AQ342"/>
      <c r="AS342"/>
      <c r="AT342" s="447"/>
      <c r="AU342"/>
      <c r="AV342"/>
      <c r="AW342" s="447"/>
      <c r="AX342"/>
      <c r="AY342"/>
      <c r="AZ342" s="447"/>
      <c r="BA342"/>
      <c r="BB342"/>
      <c r="BC342" s="447"/>
      <c r="BD342"/>
      <c r="BE342"/>
    </row>
    <row r="343" spans="4:57">
      <c r="D343" s="447"/>
      <c r="G343" s="447"/>
      <c r="J343" s="447"/>
      <c r="M343" s="447"/>
      <c r="R343" s="447"/>
      <c r="S343"/>
      <c r="T343"/>
      <c r="U343" s="447"/>
      <c r="V343"/>
      <c r="W343"/>
      <c r="X343" s="447"/>
      <c r="Y343"/>
      <c r="Z343"/>
      <c r="AA343" s="447"/>
      <c r="AB343"/>
      <c r="AC343"/>
      <c r="AE343"/>
      <c r="AF343" s="447"/>
      <c r="AG343"/>
      <c r="AH343"/>
      <c r="AI343" s="447"/>
      <c r="AJ343"/>
      <c r="AK343"/>
      <c r="AL343" s="447"/>
      <c r="AM343"/>
      <c r="AN343"/>
      <c r="AO343" s="447"/>
      <c r="AP343"/>
      <c r="AQ343"/>
      <c r="AS343"/>
      <c r="AT343" s="447"/>
      <c r="AU343"/>
      <c r="AV343"/>
      <c r="AW343" s="447"/>
      <c r="AX343"/>
      <c r="AY343"/>
      <c r="AZ343" s="447"/>
      <c r="BA343"/>
      <c r="BB343"/>
      <c r="BC343" s="447"/>
      <c r="BD343"/>
      <c r="BE343"/>
    </row>
    <row r="344" spans="4:57">
      <c r="D344" s="447"/>
      <c r="G344" s="447"/>
      <c r="J344" s="447"/>
      <c r="M344" s="447"/>
      <c r="R344" s="447"/>
      <c r="S344"/>
      <c r="T344"/>
      <c r="U344" s="447"/>
      <c r="V344"/>
      <c r="W344"/>
      <c r="X344" s="447"/>
      <c r="Y344"/>
      <c r="Z344"/>
      <c r="AA344" s="447"/>
      <c r="AB344"/>
      <c r="AC344"/>
      <c r="AE344"/>
      <c r="AF344" s="447"/>
      <c r="AG344"/>
      <c r="AH344"/>
      <c r="AI344" s="447"/>
      <c r="AJ344"/>
      <c r="AK344"/>
      <c r="AL344" s="447"/>
      <c r="AM344"/>
      <c r="AN344"/>
      <c r="AO344" s="447"/>
      <c r="AP344"/>
      <c r="AQ344"/>
      <c r="AS344"/>
      <c r="AT344" s="447"/>
      <c r="AU344"/>
      <c r="AV344"/>
      <c r="AW344" s="447"/>
      <c r="AX344"/>
      <c r="AY344"/>
      <c r="AZ344" s="447"/>
      <c r="BA344"/>
      <c r="BB344"/>
      <c r="BC344" s="447"/>
      <c r="BD344"/>
      <c r="BE344"/>
    </row>
    <row r="345" spans="4:57">
      <c r="D345" s="447"/>
      <c r="G345" s="447"/>
      <c r="J345" s="447"/>
      <c r="M345" s="447"/>
      <c r="R345" s="447"/>
      <c r="S345"/>
      <c r="T345"/>
      <c r="U345" s="447"/>
      <c r="V345"/>
      <c r="W345"/>
      <c r="X345" s="447"/>
      <c r="Y345"/>
      <c r="Z345"/>
      <c r="AA345" s="447"/>
      <c r="AB345"/>
      <c r="AC345"/>
      <c r="AE345"/>
      <c r="AF345" s="447"/>
      <c r="AG345"/>
      <c r="AH345"/>
      <c r="AI345" s="447"/>
      <c r="AJ345"/>
      <c r="AK345"/>
      <c r="AL345" s="447"/>
      <c r="AM345"/>
      <c r="AN345"/>
      <c r="AO345" s="447"/>
      <c r="AP345"/>
      <c r="AQ345"/>
      <c r="AS345"/>
      <c r="AT345" s="447"/>
      <c r="AU345"/>
      <c r="AV345"/>
      <c r="AW345" s="447"/>
      <c r="AX345"/>
      <c r="AY345"/>
      <c r="AZ345" s="447"/>
      <c r="BA345"/>
      <c r="BB345"/>
      <c r="BC345" s="447"/>
      <c r="BD345"/>
      <c r="BE345"/>
    </row>
    <row r="346" spans="4:57">
      <c r="D346" s="447"/>
      <c r="G346" s="447"/>
      <c r="J346" s="447"/>
      <c r="M346" s="447"/>
      <c r="R346" s="447"/>
      <c r="S346"/>
      <c r="T346"/>
      <c r="U346" s="447"/>
      <c r="V346"/>
      <c r="W346"/>
      <c r="X346" s="447"/>
      <c r="Y346"/>
      <c r="Z346"/>
      <c r="AA346" s="447"/>
      <c r="AB346"/>
      <c r="AC346"/>
      <c r="AE346"/>
      <c r="AF346" s="447"/>
      <c r="AG346"/>
      <c r="AH346"/>
      <c r="AI346" s="447"/>
      <c r="AJ346"/>
      <c r="AK346"/>
      <c r="AL346" s="447"/>
      <c r="AM346"/>
      <c r="AN346"/>
      <c r="AO346" s="447"/>
      <c r="AP346"/>
      <c r="AQ346"/>
      <c r="AS346"/>
      <c r="AT346" s="447"/>
      <c r="AU346"/>
      <c r="AV346"/>
      <c r="AW346" s="447"/>
      <c r="AX346"/>
      <c r="AY346"/>
      <c r="AZ346" s="447"/>
      <c r="BA346"/>
      <c r="BB346"/>
      <c r="BC346" s="447"/>
      <c r="BD346"/>
      <c r="BE346"/>
    </row>
    <row r="347" spans="4:57">
      <c r="D347" s="447"/>
      <c r="G347" s="447"/>
      <c r="J347" s="447"/>
      <c r="M347" s="447"/>
      <c r="R347" s="447"/>
      <c r="S347"/>
      <c r="T347"/>
      <c r="U347" s="447"/>
      <c r="V347"/>
      <c r="W347"/>
      <c r="X347" s="447"/>
      <c r="Y347"/>
      <c r="Z347"/>
      <c r="AA347" s="447"/>
      <c r="AB347"/>
      <c r="AC347"/>
      <c r="AE347"/>
      <c r="AF347" s="447"/>
      <c r="AG347"/>
      <c r="AH347"/>
      <c r="AI347" s="447"/>
      <c r="AJ347"/>
      <c r="AK347"/>
      <c r="AL347" s="447"/>
      <c r="AM347"/>
      <c r="AN347"/>
      <c r="AO347" s="447"/>
      <c r="AP347"/>
      <c r="AQ347"/>
      <c r="AS347"/>
      <c r="AT347" s="447"/>
      <c r="AU347"/>
      <c r="AV347"/>
      <c r="AW347" s="447"/>
      <c r="AX347"/>
      <c r="AY347"/>
      <c r="AZ347" s="447"/>
      <c r="BA347"/>
      <c r="BB347"/>
      <c r="BC347" s="447"/>
      <c r="BD347"/>
      <c r="BE347"/>
    </row>
    <row r="348" spans="4:57">
      <c r="D348" s="447"/>
      <c r="G348" s="447"/>
      <c r="J348" s="447"/>
      <c r="M348" s="447"/>
      <c r="R348" s="447"/>
      <c r="S348"/>
      <c r="T348"/>
      <c r="U348" s="447"/>
      <c r="V348"/>
      <c r="W348"/>
      <c r="X348" s="447"/>
      <c r="Y348"/>
      <c r="Z348"/>
      <c r="AA348" s="447"/>
      <c r="AB348"/>
      <c r="AC348"/>
      <c r="AE348"/>
      <c r="AF348" s="447"/>
      <c r="AG348"/>
      <c r="AH348"/>
      <c r="AI348" s="447"/>
      <c r="AJ348"/>
      <c r="AK348"/>
      <c r="AL348" s="447"/>
      <c r="AM348"/>
      <c r="AN348"/>
      <c r="AO348" s="447"/>
      <c r="AP348"/>
      <c r="AQ348"/>
      <c r="AS348"/>
      <c r="AT348" s="447"/>
      <c r="AU348"/>
      <c r="AV348"/>
      <c r="AW348" s="447"/>
      <c r="AX348"/>
      <c r="AY348"/>
      <c r="AZ348" s="447"/>
      <c r="BA348"/>
      <c r="BB348"/>
      <c r="BC348" s="447"/>
      <c r="BD348"/>
      <c r="BE348"/>
    </row>
    <row r="349" spans="4:57">
      <c r="D349" s="447"/>
      <c r="G349" s="447"/>
      <c r="J349" s="447"/>
      <c r="M349" s="447"/>
      <c r="R349" s="447"/>
      <c r="S349"/>
      <c r="T349"/>
      <c r="U349" s="447"/>
      <c r="V349"/>
      <c r="W349"/>
      <c r="X349" s="447"/>
      <c r="Y349"/>
      <c r="Z349"/>
      <c r="AA349" s="447"/>
      <c r="AB349"/>
      <c r="AC349"/>
      <c r="AE349"/>
      <c r="AF349" s="447"/>
      <c r="AG349"/>
      <c r="AH349"/>
      <c r="AI349" s="447"/>
      <c r="AJ349"/>
      <c r="AK349"/>
      <c r="AL349" s="447"/>
      <c r="AM349"/>
      <c r="AN349"/>
      <c r="AO349" s="447"/>
      <c r="AP349"/>
      <c r="AQ349"/>
      <c r="AS349"/>
      <c r="AT349" s="447"/>
      <c r="AU349"/>
      <c r="AV349"/>
      <c r="AW349" s="447"/>
      <c r="AX349"/>
      <c r="AY349"/>
      <c r="AZ349" s="447"/>
      <c r="BA349"/>
      <c r="BB349"/>
      <c r="BC349" s="447"/>
      <c r="BD349"/>
      <c r="BE349"/>
    </row>
    <row r="350" spans="4:57">
      <c r="D350" s="447"/>
      <c r="G350" s="447"/>
      <c r="J350" s="447"/>
      <c r="M350" s="447"/>
      <c r="R350" s="447"/>
      <c r="S350"/>
      <c r="T350"/>
      <c r="U350" s="447"/>
      <c r="V350"/>
      <c r="W350"/>
      <c r="X350" s="447"/>
      <c r="Y350"/>
      <c r="Z350"/>
      <c r="AA350" s="447"/>
      <c r="AB350"/>
      <c r="AC350"/>
      <c r="AE350"/>
      <c r="AF350" s="447"/>
      <c r="AG350"/>
      <c r="AH350"/>
      <c r="AI350" s="447"/>
      <c r="AJ350"/>
      <c r="AK350"/>
      <c r="AL350" s="447"/>
      <c r="AM350"/>
      <c r="AN350"/>
      <c r="AO350" s="447"/>
      <c r="AP350"/>
      <c r="AQ350"/>
      <c r="AS350"/>
      <c r="AT350" s="447"/>
      <c r="AU350"/>
      <c r="AV350"/>
      <c r="AW350" s="447"/>
      <c r="AX350"/>
      <c r="AY350"/>
      <c r="AZ350" s="447"/>
      <c r="BA350"/>
      <c r="BB350"/>
      <c r="BC350" s="447"/>
      <c r="BD350"/>
      <c r="BE350"/>
    </row>
    <row r="351" spans="4:57">
      <c r="D351" s="447"/>
      <c r="G351" s="447"/>
      <c r="J351" s="447"/>
      <c r="M351" s="447"/>
      <c r="R351" s="447"/>
      <c r="S351"/>
      <c r="T351"/>
      <c r="U351" s="447"/>
      <c r="V351"/>
      <c r="W351"/>
      <c r="X351" s="447"/>
      <c r="Y351"/>
      <c r="Z351"/>
      <c r="AA351" s="447"/>
      <c r="AB351"/>
      <c r="AC351"/>
      <c r="AE351"/>
      <c r="AF351" s="447"/>
      <c r="AG351"/>
      <c r="AH351"/>
      <c r="AI351" s="447"/>
      <c r="AJ351"/>
      <c r="AK351"/>
      <c r="AL351" s="447"/>
      <c r="AM351"/>
      <c r="AN351"/>
      <c r="AO351" s="447"/>
      <c r="AP351"/>
      <c r="AQ351"/>
      <c r="AS351"/>
      <c r="AT351" s="447"/>
      <c r="AU351"/>
      <c r="AV351"/>
      <c r="AW351" s="447"/>
      <c r="AX351"/>
      <c r="AY351"/>
      <c r="AZ351" s="447"/>
      <c r="BA351"/>
      <c r="BB351"/>
      <c r="BC351" s="447"/>
      <c r="BD351"/>
      <c r="BE351"/>
    </row>
    <row r="352" spans="4:57">
      <c r="D352" s="447"/>
      <c r="G352" s="447"/>
      <c r="J352" s="447"/>
      <c r="M352" s="447"/>
      <c r="R352" s="447"/>
      <c r="S352"/>
      <c r="T352"/>
      <c r="U352" s="447"/>
      <c r="V352"/>
      <c r="W352"/>
      <c r="X352" s="447"/>
      <c r="Y352"/>
      <c r="Z352"/>
      <c r="AA352" s="447"/>
      <c r="AB352"/>
      <c r="AC352"/>
      <c r="AE352"/>
      <c r="AF352" s="447"/>
      <c r="AG352"/>
      <c r="AH352"/>
      <c r="AI352" s="447"/>
      <c r="AJ352"/>
      <c r="AK352"/>
      <c r="AL352" s="447"/>
      <c r="AM352"/>
      <c r="AN352"/>
      <c r="AO352" s="447"/>
      <c r="AP352"/>
      <c r="AQ352"/>
      <c r="AS352"/>
      <c r="AT352" s="447"/>
      <c r="AU352"/>
      <c r="AV352"/>
      <c r="AW352" s="447"/>
      <c r="AX352"/>
      <c r="AY352"/>
      <c r="AZ352" s="447"/>
      <c r="BA352"/>
      <c r="BB352"/>
      <c r="BC352" s="447"/>
      <c r="BD352"/>
      <c r="BE352"/>
    </row>
    <row r="353" spans="4:57">
      <c r="D353" s="447"/>
      <c r="G353" s="447"/>
      <c r="J353" s="447"/>
      <c r="M353" s="447"/>
      <c r="R353" s="447"/>
      <c r="S353"/>
      <c r="T353"/>
      <c r="U353" s="447"/>
      <c r="V353"/>
      <c r="W353"/>
      <c r="X353" s="447"/>
      <c r="Y353"/>
      <c r="Z353"/>
      <c r="AA353" s="447"/>
      <c r="AB353"/>
      <c r="AC353"/>
      <c r="AE353"/>
      <c r="AF353" s="447"/>
      <c r="AG353"/>
      <c r="AH353"/>
      <c r="AI353" s="447"/>
      <c r="AJ353"/>
      <c r="AK353"/>
      <c r="AL353" s="447"/>
      <c r="AM353"/>
      <c r="AN353"/>
      <c r="AO353" s="447"/>
      <c r="AP353"/>
      <c r="AQ353"/>
      <c r="AS353"/>
      <c r="AT353" s="447"/>
      <c r="AU353"/>
      <c r="AV353"/>
      <c r="AW353" s="447"/>
      <c r="AX353"/>
      <c r="AY353"/>
      <c r="AZ353" s="447"/>
      <c r="BA353"/>
      <c r="BB353"/>
      <c r="BC353" s="447"/>
      <c r="BD353"/>
      <c r="BE353"/>
    </row>
    <row r="354" spans="4:57">
      <c r="D354" s="447"/>
      <c r="G354" s="447"/>
      <c r="J354" s="447"/>
      <c r="M354" s="447"/>
      <c r="R354" s="447"/>
      <c r="S354"/>
      <c r="T354"/>
      <c r="U354" s="447"/>
      <c r="V354"/>
      <c r="W354"/>
      <c r="X354" s="447"/>
      <c r="Y354"/>
      <c r="Z354"/>
      <c r="AA354" s="447"/>
      <c r="AB354"/>
      <c r="AC354"/>
      <c r="AE354"/>
      <c r="AF354" s="447"/>
      <c r="AG354"/>
      <c r="AH354"/>
      <c r="AI354" s="447"/>
      <c r="AJ354"/>
      <c r="AK354"/>
      <c r="AL354" s="447"/>
      <c r="AM354"/>
      <c r="AN354"/>
      <c r="AO354" s="447"/>
      <c r="AP354"/>
      <c r="AQ354"/>
      <c r="AS354"/>
      <c r="AT354" s="447"/>
      <c r="AU354"/>
      <c r="AV354"/>
      <c r="AW354" s="447"/>
      <c r="AX354"/>
      <c r="AY354"/>
      <c r="AZ354" s="447"/>
      <c r="BA354"/>
      <c r="BB354"/>
      <c r="BC354" s="447"/>
      <c r="BD354"/>
      <c r="BE354"/>
    </row>
    <row r="355" spans="4:57">
      <c r="D355" s="447"/>
      <c r="G355" s="447"/>
      <c r="J355" s="447"/>
      <c r="M355" s="447"/>
      <c r="R355" s="447"/>
      <c r="S355"/>
      <c r="T355"/>
      <c r="U355" s="447"/>
      <c r="V355"/>
      <c r="W355"/>
      <c r="X355" s="447"/>
      <c r="Y355"/>
      <c r="Z355"/>
      <c r="AA355" s="447"/>
      <c r="AB355"/>
      <c r="AC355"/>
      <c r="AE355"/>
      <c r="AF355" s="447"/>
      <c r="AG355"/>
      <c r="AH355"/>
      <c r="AI355" s="447"/>
      <c r="AJ355"/>
      <c r="AK355"/>
      <c r="AL355" s="447"/>
      <c r="AM355"/>
      <c r="AN355"/>
      <c r="AO355" s="447"/>
      <c r="AP355"/>
      <c r="AQ355"/>
      <c r="AS355"/>
      <c r="AT355" s="447"/>
      <c r="AU355"/>
      <c r="AV355"/>
      <c r="AW355" s="447"/>
      <c r="AX355"/>
      <c r="AY355"/>
      <c r="AZ355" s="447"/>
      <c r="BA355"/>
      <c r="BB355"/>
      <c r="BC355" s="447"/>
      <c r="BD355"/>
      <c r="BE355"/>
    </row>
    <row r="356" spans="4:57">
      <c r="D356" s="447"/>
      <c r="G356" s="447"/>
      <c r="J356" s="447"/>
      <c r="M356" s="447"/>
      <c r="R356" s="447"/>
      <c r="S356"/>
      <c r="T356"/>
      <c r="U356" s="447"/>
      <c r="V356"/>
      <c r="W356"/>
      <c r="X356" s="447"/>
      <c r="Y356"/>
      <c r="Z356"/>
      <c r="AA356" s="447"/>
      <c r="AB356"/>
      <c r="AC356"/>
      <c r="AE356"/>
      <c r="AF356" s="447"/>
      <c r="AG356"/>
      <c r="AH356"/>
      <c r="AI356" s="447"/>
      <c r="AJ356"/>
      <c r="AK356"/>
      <c r="AL356" s="447"/>
      <c r="AM356"/>
      <c r="AN356"/>
      <c r="AO356" s="447"/>
      <c r="AP356"/>
      <c r="AQ356"/>
      <c r="AS356"/>
      <c r="AT356" s="447"/>
      <c r="AU356"/>
      <c r="AV356"/>
      <c r="AW356" s="447"/>
      <c r="AX356"/>
      <c r="AY356"/>
      <c r="AZ356" s="447"/>
      <c r="BA356"/>
      <c r="BB356"/>
      <c r="BC356" s="447"/>
      <c r="BD356"/>
      <c r="BE356"/>
    </row>
    <row r="357" spans="4:57">
      <c r="D357" s="447"/>
      <c r="G357" s="447"/>
      <c r="J357" s="447"/>
      <c r="M357" s="447"/>
      <c r="R357" s="447"/>
      <c r="S357"/>
      <c r="T357"/>
      <c r="U357" s="447"/>
      <c r="V357"/>
      <c r="W357"/>
      <c r="X357" s="447"/>
      <c r="Y357"/>
      <c r="Z357"/>
      <c r="AA357" s="447"/>
      <c r="AB357"/>
      <c r="AC357"/>
      <c r="AE357"/>
      <c r="AF357" s="447"/>
      <c r="AG357"/>
      <c r="AH357"/>
      <c r="AI357" s="447"/>
      <c r="AJ357"/>
      <c r="AK357"/>
      <c r="AL357" s="447"/>
      <c r="AM357"/>
      <c r="AN357"/>
      <c r="AO357" s="447"/>
      <c r="AP357"/>
      <c r="AQ357"/>
      <c r="AS357"/>
      <c r="AT357" s="447"/>
      <c r="AU357"/>
      <c r="AV357"/>
      <c r="AW357" s="447"/>
      <c r="AX357"/>
      <c r="AY357"/>
      <c r="AZ357" s="447"/>
      <c r="BA357"/>
      <c r="BB357"/>
      <c r="BC357" s="447"/>
      <c r="BD357"/>
      <c r="BE357"/>
    </row>
    <row r="358" spans="4:57">
      <c r="D358" s="447"/>
      <c r="G358" s="447"/>
      <c r="J358" s="447"/>
      <c r="M358" s="447"/>
      <c r="R358" s="447"/>
      <c r="S358"/>
      <c r="T358"/>
      <c r="U358" s="447"/>
      <c r="V358"/>
      <c r="W358"/>
      <c r="X358" s="447"/>
      <c r="Y358"/>
      <c r="Z358"/>
      <c r="AA358" s="447"/>
      <c r="AB358"/>
      <c r="AC358"/>
      <c r="AE358"/>
      <c r="AF358" s="447"/>
      <c r="AG358"/>
      <c r="AH358"/>
      <c r="AI358" s="447"/>
      <c r="AJ358"/>
      <c r="AK358"/>
      <c r="AL358" s="447"/>
      <c r="AM358"/>
      <c r="AN358"/>
      <c r="AO358" s="447"/>
      <c r="AP358"/>
      <c r="AQ358"/>
      <c r="AS358"/>
      <c r="AT358" s="447"/>
      <c r="AU358"/>
      <c r="AV358"/>
      <c r="AW358" s="447"/>
      <c r="AX358"/>
      <c r="AY358"/>
      <c r="AZ358" s="447"/>
      <c r="BA358"/>
      <c r="BB358"/>
      <c r="BC358" s="447"/>
      <c r="BD358"/>
      <c r="BE358"/>
    </row>
    <row r="359" spans="4:57">
      <c r="D359" s="447"/>
      <c r="G359" s="447"/>
      <c r="J359" s="447"/>
      <c r="M359" s="447"/>
      <c r="R359" s="447"/>
      <c r="S359"/>
      <c r="T359"/>
      <c r="U359" s="447"/>
      <c r="V359"/>
      <c r="W359"/>
      <c r="X359" s="447"/>
      <c r="Y359"/>
      <c r="Z359"/>
      <c r="AA359" s="447"/>
      <c r="AB359"/>
      <c r="AC359"/>
      <c r="AE359"/>
      <c r="AF359" s="447"/>
      <c r="AG359"/>
      <c r="AH359"/>
      <c r="AI359" s="447"/>
      <c r="AJ359"/>
      <c r="AK359"/>
      <c r="AL359" s="447"/>
      <c r="AM359"/>
      <c r="AN359"/>
      <c r="AO359" s="447"/>
      <c r="AP359"/>
      <c r="AQ359"/>
      <c r="AS359"/>
      <c r="AT359" s="447"/>
      <c r="AU359"/>
      <c r="AV359"/>
      <c r="AW359" s="447"/>
      <c r="AX359"/>
      <c r="AY359"/>
      <c r="AZ359" s="447"/>
      <c r="BA359"/>
      <c r="BB359"/>
      <c r="BC359" s="447"/>
      <c r="BD359"/>
      <c r="BE359"/>
    </row>
    <row r="360" spans="4:57">
      <c r="D360" s="447"/>
      <c r="G360" s="447"/>
      <c r="J360" s="447"/>
      <c r="M360" s="447"/>
      <c r="R360" s="447"/>
      <c r="S360"/>
      <c r="T360"/>
      <c r="U360" s="447"/>
      <c r="V360"/>
      <c r="W360"/>
      <c r="X360" s="447"/>
      <c r="Y360"/>
      <c r="Z360"/>
      <c r="AA360" s="447"/>
      <c r="AB360"/>
      <c r="AC360"/>
      <c r="AE360"/>
      <c r="AF360" s="447"/>
      <c r="AG360"/>
      <c r="AH360"/>
      <c r="AI360" s="447"/>
      <c r="AJ360"/>
      <c r="AK360"/>
      <c r="AL360" s="447"/>
      <c r="AM360"/>
      <c r="AN360"/>
      <c r="AO360" s="447"/>
      <c r="AP360"/>
      <c r="AQ360"/>
      <c r="AS360"/>
      <c r="AT360" s="447"/>
      <c r="AU360"/>
      <c r="AV360"/>
      <c r="AW360" s="447"/>
      <c r="AX360"/>
      <c r="AY360"/>
      <c r="AZ360" s="447"/>
      <c r="BA360"/>
      <c r="BB360"/>
      <c r="BC360" s="447"/>
      <c r="BD360"/>
      <c r="BE360"/>
    </row>
    <row r="361" spans="4:57">
      <c r="D361" s="447"/>
      <c r="G361" s="447"/>
      <c r="J361" s="447"/>
      <c r="M361" s="447"/>
      <c r="R361" s="447"/>
      <c r="S361"/>
      <c r="T361"/>
      <c r="U361" s="447"/>
      <c r="V361"/>
      <c r="W361"/>
      <c r="X361" s="447"/>
      <c r="Y361"/>
      <c r="Z361"/>
      <c r="AA361" s="447"/>
      <c r="AB361"/>
      <c r="AC361"/>
      <c r="AE361"/>
      <c r="AF361" s="447"/>
      <c r="AG361"/>
      <c r="AH361"/>
      <c r="AI361" s="447"/>
      <c r="AJ361"/>
      <c r="AK361"/>
      <c r="AL361" s="447"/>
      <c r="AM361"/>
      <c r="AN361"/>
      <c r="AO361" s="447"/>
      <c r="AP361"/>
      <c r="AQ361"/>
      <c r="AS361"/>
      <c r="AT361" s="447"/>
      <c r="AU361"/>
      <c r="AV361"/>
      <c r="AW361" s="447"/>
      <c r="AX361"/>
      <c r="AY361"/>
      <c r="AZ361" s="447"/>
      <c r="BA361"/>
      <c r="BB361"/>
      <c r="BC361" s="447"/>
      <c r="BD361"/>
      <c r="BE361"/>
    </row>
    <row r="362" spans="4:57">
      <c r="D362" s="447"/>
      <c r="G362" s="447"/>
      <c r="J362" s="447"/>
      <c r="M362" s="447"/>
      <c r="R362" s="447"/>
      <c r="S362"/>
      <c r="T362"/>
      <c r="U362" s="447"/>
      <c r="V362"/>
      <c r="W362"/>
      <c r="X362" s="447"/>
      <c r="Y362"/>
      <c r="Z362"/>
      <c r="AA362" s="447"/>
      <c r="AB362"/>
      <c r="AC362"/>
      <c r="AE362"/>
      <c r="AF362" s="447"/>
      <c r="AG362"/>
      <c r="AH362"/>
      <c r="AI362" s="447"/>
      <c r="AJ362"/>
      <c r="AK362"/>
      <c r="AL362" s="447"/>
      <c r="AM362"/>
      <c r="AN362"/>
      <c r="AO362" s="447"/>
      <c r="AP362"/>
      <c r="AQ362"/>
      <c r="AS362"/>
      <c r="AT362" s="447"/>
      <c r="AU362"/>
      <c r="AV362"/>
      <c r="AW362" s="447"/>
      <c r="AX362"/>
      <c r="AY362"/>
      <c r="AZ362" s="447"/>
      <c r="BA362"/>
      <c r="BB362"/>
      <c r="BC362" s="447"/>
      <c r="BD362"/>
      <c r="BE362"/>
    </row>
    <row r="363" spans="4:57">
      <c r="D363" s="447"/>
      <c r="G363" s="447"/>
      <c r="J363" s="447"/>
      <c r="M363" s="447"/>
      <c r="R363" s="447"/>
      <c r="S363"/>
      <c r="T363"/>
      <c r="U363" s="447"/>
      <c r="V363"/>
      <c r="W363"/>
      <c r="X363" s="447"/>
      <c r="Y363"/>
      <c r="Z363"/>
      <c r="AA363" s="447"/>
      <c r="AB363"/>
      <c r="AC363"/>
      <c r="AE363"/>
      <c r="AF363" s="447"/>
      <c r="AG363"/>
      <c r="AH363"/>
      <c r="AI363" s="447"/>
      <c r="AJ363"/>
      <c r="AK363"/>
      <c r="AL363" s="447"/>
      <c r="AM363"/>
      <c r="AN363"/>
      <c r="AO363" s="447"/>
      <c r="AP363"/>
      <c r="AQ363"/>
      <c r="AS363"/>
      <c r="AT363" s="447"/>
      <c r="AU363"/>
      <c r="AV363"/>
      <c r="AW363" s="447"/>
      <c r="AX363"/>
      <c r="AY363"/>
      <c r="AZ363" s="447"/>
      <c r="BA363"/>
      <c r="BB363"/>
      <c r="BC363" s="447"/>
      <c r="BD363"/>
      <c r="BE363"/>
    </row>
    <row r="364" spans="4:57">
      <c r="D364" s="447"/>
      <c r="G364" s="447"/>
      <c r="J364" s="447"/>
      <c r="M364" s="447"/>
      <c r="R364" s="447"/>
      <c r="S364"/>
      <c r="T364"/>
      <c r="U364" s="447"/>
      <c r="V364"/>
      <c r="W364"/>
      <c r="X364" s="447"/>
      <c r="Y364"/>
      <c r="Z364"/>
      <c r="AA364" s="447"/>
      <c r="AB364"/>
      <c r="AC364"/>
      <c r="AE364"/>
      <c r="AF364" s="447"/>
      <c r="AG364"/>
      <c r="AH364"/>
      <c r="AI364" s="447"/>
      <c r="AJ364"/>
      <c r="AK364"/>
      <c r="AL364" s="447"/>
      <c r="AM364"/>
      <c r="AN364"/>
      <c r="AO364" s="447"/>
      <c r="AP364"/>
      <c r="AQ364"/>
      <c r="AS364"/>
      <c r="AT364" s="447"/>
      <c r="AU364"/>
      <c r="AV364"/>
      <c r="AW364" s="447"/>
      <c r="AX364"/>
      <c r="AY364"/>
      <c r="AZ364" s="447"/>
      <c r="BA364"/>
      <c r="BB364"/>
      <c r="BC364" s="447"/>
      <c r="BD364"/>
      <c r="BE364"/>
    </row>
    <row r="365" spans="4:57">
      <c r="D365" s="447"/>
      <c r="G365" s="447"/>
      <c r="J365" s="447"/>
      <c r="M365" s="447"/>
      <c r="R365" s="447"/>
      <c r="S365"/>
      <c r="T365"/>
      <c r="U365" s="447"/>
      <c r="V365"/>
      <c r="W365"/>
      <c r="X365" s="447"/>
      <c r="Y365"/>
      <c r="Z365"/>
      <c r="AA365" s="447"/>
      <c r="AB365"/>
      <c r="AC365"/>
      <c r="AE365"/>
      <c r="AF365" s="447"/>
      <c r="AG365"/>
      <c r="AH365"/>
      <c r="AI365" s="447"/>
      <c r="AJ365"/>
      <c r="AK365"/>
      <c r="AL365" s="447"/>
      <c r="AM365"/>
      <c r="AN365"/>
      <c r="AO365" s="447"/>
      <c r="AP365"/>
      <c r="AQ365"/>
      <c r="AS365"/>
      <c r="AT365" s="447"/>
      <c r="AU365"/>
      <c r="AV365"/>
      <c r="AW365" s="447"/>
      <c r="AX365"/>
      <c r="AY365"/>
      <c r="AZ365" s="447"/>
      <c r="BA365"/>
      <c r="BB365"/>
      <c r="BC365" s="447"/>
      <c r="BD365"/>
      <c r="BE365"/>
    </row>
    <row r="366" spans="4:57">
      <c r="D366" s="447"/>
      <c r="G366" s="447"/>
      <c r="J366" s="447"/>
      <c r="M366" s="447"/>
      <c r="R366" s="447"/>
      <c r="S366"/>
      <c r="T366"/>
      <c r="U366" s="447"/>
      <c r="V366"/>
      <c r="W366"/>
      <c r="X366" s="447"/>
      <c r="Y366"/>
      <c r="Z366"/>
      <c r="AA366" s="447"/>
      <c r="AB366"/>
      <c r="AC366"/>
      <c r="AE366"/>
      <c r="AF366" s="447"/>
      <c r="AG366"/>
      <c r="AH366"/>
      <c r="AI366" s="447"/>
      <c r="AJ366"/>
      <c r="AK366"/>
      <c r="AL366" s="447"/>
      <c r="AM366"/>
      <c r="AN366"/>
      <c r="AO366" s="447"/>
      <c r="AP366"/>
      <c r="AQ366"/>
      <c r="AS366"/>
      <c r="AT366" s="447"/>
      <c r="AU366"/>
      <c r="AV366"/>
      <c r="AW366" s="447"/>
      <c r="AX366"/>
      <c r="AY366"/>
      <c r="AZ366" s="447"/>
      <c r="BA366"/>
      <c r="BB366"/>
      <c r="BC366" s="447"/>
      <c r="BD366"/>
      <c r="BE366"/>
    </row>
    <row r="367" spans="4:57">
      <c r="D367" s="447"/>
      <c r="G367" s="447"/>
      <c r="J367" s="447"/>
      <c r="M367" s="447"/>
      <c r="R367" s="447"/>
      <c r="S367"/>
      <c r="T367"/>
      <c r="U367" s="447"/>
      <c r="V367"/>
      <c r="W367"/>
      <c r="X367" s="447"/>
      <c r="Y367"/>
      <c r="Z367"/>
      <c r="AA367" s="447"/>
      <c r="AB367"/>
      <c r="AC367"/>
      <c r="AE367"/>
      <c r="AF367" s="447"/>
      <c r="AG367"/>
      <c r="AH367"/>
      <c r="AI367" s="447"/>
      <c r="AJ367"/>
      <c r="AK367"/>
      <c r="AL367" s="447"/>
      <c r="AM367"/>
      <c r="AN367"/>
      <c r="AO367" s="447"/>
      <c r="AP367"/>
      <c r="AQ367"/>
      <c r="AS367"/>
      <c r="AT367" s="447"/>
      <c r="AU367"/>
      <c r="AV367"/>
      <c r="AW367" s="447"/>
      <c r="AX367"/>
      <c r="AY367"/>
      <c r="AZ367" s="447"/>
      <c r="BA367"/>
      <c r="BB367"/>
      <c r="BC367" s="447"/>
      <c r="BD367"/>
      <c r="BE367"/>
    </row>
    <row r="368" spans="4:57">
      <c r="D368" s="447"/>
      <c r="G368" s="447"/>
      <c r="J368" s="447"/>
      <c r="M368" s="447"/>
      <c r="R368" s="447"/>
      <c r="S368"/>
      <c r="T368"/>
      <c r="U368" s="447"/>
      <c r="V368"/>
      <c r="W368"/>
      <c r="X368" s="447"/>
      <c r="Y368"/>
      <c r="Z368"/>
      <c r="AA368" s="447"/>
      <c r="AB368"/>
      <c r="AC368"/>
      <c r="AE368"/>
      <c r="AF368" s="447"/>
      <c r="AG368"/>
      <c r="AH368"/>
      <c r="AI368" s="447"/>
      <c r="AJ368"/>
      <c r="AK368"/>
      <c r="AL368" s="447"/>
      <c r="AM368"/>
      <c r="AN368"/>
      <c r="AO368" s="447"/>
      <c r="AP368"/>
      <c r="AQ368"/>
      <c r="AS368"/>
      <c r="AT368" s="447"/>
      <c r="AU368"/>
      <c r="AV368"/>
      <c r="AW368" s="447"/>
      <c r="AX368"/>
      <c r="AY368"/>
      <c r="AZ368" s="447"/>
      <c r="BA368"/>
      <c r="BB368"/>
      <c r="BC368" s="447"/>
      <c r="BD368"/>
      <c r="BE368"/>
    </row>
    <row r="369" spans="4:57">
      <c r="D369" s="447"/>
      <c r="G369" s="447"/>
      <c r="J369" s="447"/>
      <c r="M369" s="447"/>
      <c r="R369" s="447"/>
      <c r="S369"/>
      <c r="T369"/>
      <c r="U369" s="447"/>
      <c r="V369"/>
      <c r="W369"/>
      <c r="X369" s="447"/>
      <c r="Y369"/>
      <c r="Z369"/>
      <c r="AA369" s="447"/>
      <c r="AB369"/>
      <c r="AC369"/>
      <c r="AE369"/>
      <c r="AF369" s="447"/>
      <c r="AG369"/>
      <c r="AH369"/>
      <c r="AI369" s="447"/>
      <c r="AJ369"/>
      <c r="AK369"/>
      <c r="AL369" s="447"/>
      <c r="AM369"/>
      <c r="AN369"/>
      <c r="AO369" s="447"/>
      <c r="AP369"/>
      <c r="AQ369"/>
      <c r="AS369"/>
      <c r="AT369" s="447"/>
      <c r="AU369"/>
      <c r="AV369"/>
      <c r="AW369" s="447"/>
      <c r="AX369"/>
      <c r="AY369"/>
      <c r="AZ369" s="447"/>
      <c r="BA369"/>
      <c r="BB369"/>
      <c r="BC369" s="447"/>
      <c r="BD369"/>
      <c r="BE369"/>
    </row>
    <row r="370" spans="4:57">
      <c r="D370" s="447"/>
      <c r="G370" s="447"/>
      <c r="J370" s="447"/>
      <c r="M370" s="447"/>
      <c r="R370" s="447"/>
      <c r="S370"/>
      <c r="T370"/>
      <c r="U370" s="447"/>
      <c r="V370"/>
      <c r="W370"/>
      <c r="X370" s="447"/>
      <c r="Y370"/>
      <c r="Z370"/>
      <c r="AA370" s="447"/>
      <c r="AB370"/>
      <c r="AC370"/>
      <c r="AE370"/>
      <c r="AF370" s="447"/>
      <c r="AG370"/>
      <c r="AH370"/>
      <c r="AI370" s="447"/>
      <c r="AJ370"/>
      <c r="AK370"/>
      <c r="AL370" s="447"/>
      <c r="AM370"/>
      <c r="AN370"/>
      <c r="AO370" s="447"/>
      <c r="AP370"/>
      <c r="AQ370"/>
      <c r="AS370"/>
      <c r="AT370" s="447"/>
      <c r="AU370"/>
      <c r="AV370"/>
      <c r="AW370" s="447"/>
      <c r="AX370"/>
      <c r="AY370"/>
      <c r="AZ370" s="447"/>
      <c r="BA370"/>
      <c r="BB370"/>
      <c r="BC370" s="447"/>
      <c r="BD370"/>
      <c r="BE370"/>
    </row>
    <row r="371" spans="4:57">
      <c r="D371" s="447"/>
      <c r="G371" s="447"/>
      <c r="J371" s="447"/>
      <c r="M371" s="447"/>
      <c r="R371" s="447"/>
      <c r="S371"/>
      <c r="T371"/>
      <c r="U371" s="447"/>
      <c r="V371"/>
      <c r="W371"/>
      <c r="X371" s="447"/>
      <c r="Y371"/>
      <c r="Z371"/>
      <c r="AA371" s="447"/>
      <c r="AB371"/>
      <c r="AC371"/>
      <c r="AE371"/>
      <c r="AF371" s="447"/>
      <c r="AG371"/>
      <c r="AH371"/>
      <c r="AI371" s="447"/>
      <c r="AJ371"/>
      <c r="AK371"/>
      <c r="AL371" s="447"/>
      <c r="AM371"/>
      <c r="AN371"/>
      <c r="AO371" s="447"/>
      <c r="AP371"/>
      <c r="AQ371"/>
      <c r="AS371"/>
      <c r="AT371" s="447"/>
      <c r="AU371"/>
      <c r="AV371"/>
      <c r="AW371" s="447"/>
      <c r="AX371"/>
      <c r="AY371"/>
      <c r="AZ371" s="447"/>
      <c r="BA371"/>
      <c r="BB371"/>
      <c r="BC371" s="447"/>
      <c r="BD371"/>
      <c r="BE371"/>
    </row>
    <row r="372" spans="4:57">
      <c r="D372" s="447"/>
      <c r="G372" s="447"/>
      <c r="J372" s="447"/>
      <c r="M372" s="447"/>
      <c r="R372" s="447"/>
      <c r="S372"/>
      <c r="T372"/>
      <c r="U372" s="447"/>
      <c r="V372"/>
      <c r="W372"/>
      <c r="X372" s="447"/>
      <c r="Y372"/>
      <c r="Z372"/>
      <c r="AA372" s="447"/>
      <c r="AB372"/>
      <c r="AC372"/>
      <c r="AE372"/>
      <c r="AF372" s="447"/>
      <c r="AG372"/>
      <c r="AH372"/>
      <c r="AI372" s="447"/>
      <c r="AJ372"/>
      <c r="AK372"/>
      <c r="AL372" s="447"/>
      <c r="AM372"/>
      <c r="AN372"/>
      <c r="AO372" s="447"/>
      <c r="AP372"/>
      <c r="AQ372"/>
      <c r="AS372"/>
      <c r="AT372" s="447"/>
      <c r="AU372"/>
      <c r="AV372"/>
      <c r="AW372" s="447"/>
      <c r="AX372"/>
      <c r="AY372"/>
      <c r="AZ372" s="447"/>
      <c r="BA372"/>
      <c r="BB372"/>
      <c r="BC372" s="447"/>
      <c r="BD372"/>
      <c r="BE372"/>
    </row>
    <row r="373" spans="4:57">
      <c r="D373" s="447"/>
      <c r="G373" s="447"/>
      <c r="J373" s="447"/>
      <c r="M373" s="447"/>
      <c r="R373" s="447"/>
      <c r="S373"/>
      <c r="T373"/>
      <c r="U373" s="447"/>
      <c r="V373"/>
      <c r="W373"/>
      <c r="X373" s="447"/>
      <c r="Y373"/>
      <c r="Z373"/>
      <c r="AA373" s="447"/>
      <c r="AB373"/>
      <c r="AC373"/>
      <c r="AE373"/>
      <c r="AF373" s="447"/>
      <c r="AG373"/>
      <c r="AH373"/>
      <c r="AI373" s="447"/>
      <c r="AJ373"/>
      <c r="AK373"/>
      <c r="AL373" s="447"/>
      <c r="AM373"/>
      <c r="AN373"/>
      <c r="AO373" s="447"/>
      <c r="AP373"/>
      <c r="AQ373"/>
      <c r="AS373"/>
      <c r="AT373" s="447"/>
      <c r="AU373"/>
      <c r="AV373"/>
      <c r="AW373" s="447"/>
      <c r="AX373"/>
      <c r="AY373"/>
      <c r="AZ373" s="447"/>
      <c r="BA373"/>
      <c r="BB373"/>
      <c r="BC373" s="447"/>
      <c r="BD373"/>
      <c r="BE373"/>
    </row>
    <row r="374" spans="4:57">
      <c r="D374" s="447"/>
      <c r="G374" s="447"/>
      <c r="J374" s="447"/>
      <c r="M374" s="447"/>
      <c r="R374" s="447"/>
      <c r="S374"/>
      <c r="T374"/>
      <c r="U374" s="447"/>
      <c r="V374"/>
      <c r="W374"/>
      <c r="X374" s="447"/>
      <c r="Y374"/>
      <c r="Z374"/>
      <c r="AA374" s="447"/>
      <c r="AB374"/>
      <c r="AC374"/>
      <c r="AE374"/>
      <c r="AF374" s="447"/>
      <c r="AG374"/>
      <c r="AH374"/>
      <c r="AI374" s="447"/>
      <c r="AJ374"/>
      <c r="AK374"/>
      <c r="AL374" s="447"/>
      <c r="AM374"/>
      <c r="AN374"/>
      <c r="AO374" s="447"/>
      <c r="AP374"/>
      <c r="AQ374"/>
      <c r="AS374"/>
      <c r="AT374" s="447"/>
      <c r="AU374"/>
      <c r="AV374"/>
      <c r="AW374" s="447"/>
      <c r="AX374"/>
      <c r="AY374"/>
      <c r="AZ374" s="447"/>
      <c r="BA374"/>
      <c r="BB374"/>
      <c r="BC374" s="447"/>
      <c r="BD374"/>
      <c r="BE374"/>
    </row>
    <row r="375" spans="4:57">
      <c r="D375" s="447"/>
      <c r="G375" s="447"/>
      <c r="J375" s="447"/>
      <c r="M375" s="447"/>
      <c r="R375" s="447"/>
      <c r="S375"/>
      <c r="T375"/>
      <c r="U375" s="447"/>
      <c r="V375"/>
      <c r="W375"/>
      <c r="X375" s="447"/>
      <c r="Y375"/>
      <c r="Z375"/>
      <c r="AA375" s="447"/>
      <c r="AB375"/>
      <c r="AC375"/>
      <c r="AE375"/>
      <c r="AF375" s="447"/>
      <c r="AG375"/>
      <c r="AH375"/>
      <c r="AI375" s="447"/>
      <c r="AJ375"/>
      <c r="AK375"/>
      <c r="AL375" s="447"/>
      <c r="AM375"/>
      <c r="AN375"/>
      <c r="AO375" s="447"/>
      <c r="AP375"/>
      <c r="AQ375"/>
      <c r="AS375"/>
      <c r="AT375" s="447"/>
      <c r="AU375"/>
      <c r="AV375"/>
      <c r="AW375" s="447"/>
      <c r="AX375"/>
      <c r="AY375"/>
      <c r="AZ375" s="447"/>
      <c r="BA375"/>
      <c r="BB375"/>
      <c r="BC375" s="447"/>
      <c r="BD375"/>
      <c r="BE375"/>
    </row>
    <row r="376" spans="4:57">
      <c r="D376" s="447"/>
      <c r="G376" s="447"/>
      <c r="J376" s="447"/>
      <c r="M376" s="447"/>
      <c r="R376" s="447"/>
      <c r="S376"/>
      <c r="T376"/>
      <c r="U376" s="447"/>
      <c r="V376"/>
      <c r="W376"/>
      <c r="X376" s="447"/>
      <c r="Y376"/>
      <c r="Z376"/>
      <c r="AA376" s="447"/>
      <c r="AB376"/>
      <c r="AC376"/>
      <c r="AE376"/>
      <c r="AF376" s="447"/>
      <c r="AG376"/>
      <c r="AH376"/>
      <c r="AI376" s="447"/>
      <c r="AJ376"/>
      <c r="AK376"/>
      <c r="AL376" s="447"/>
      <c r="AM376"/>
      <c r="AN376"/>
      <c r="AO376" s="447"/>
      <c r="AP376"/>
      <c r="AQ376"/>
      <c r="AS376"/>
      <c r="AT376" s="447"/>
      <c r="AU376"/>
      <c r="AV376"/>
      <c r="AW376" s="447"/>
      <c r="AX376"/>
      <c r="AY376"/>
      <c r="AZ376" s="447"/>
      <c r="BA376"/>
      <c r="BB376"/>
      <c r="BC376" s="447"/>
      <c r="BD376"/>
      <c r="BE376"/>
    </row>
    <row r="377" spans="4:57">
      <c r="D377" s="447"/>
      <c r="G377" s="447"/>
      <c r="J377" s="447"/>
      <c r="M377" s="447"/>
      <c r="R377" s="447"/>
      <c r="S377"/>
      <c r="T377"/>
      <c r="U377" s="447"/>
      <c r="V377"/>
      <c r="W377"/>
      <c r="X377" s="447"/>
      <c r="Y377"/>
      <c r="Z377"/>
      <c r="AA377" s="447"/>
      <c r="AB377"/>
      <c r="AC377"/>
      <c r="AE377"/>
      <c r="AF377" s="447"/>
      <c r="AG377"/>
      <c r="AH377"/>
      <c r="AI377" s="447"/>
      <c r="AJ377"/>
      <c r="AK377"/>
      <c r="AL377" s="447"/>
      <c r="AM377"/>
      <c r="AN377"/>
      <c r="AO377" s="447"/>
      <c r="AP377"/>
      <c r="AQ377"/>
      <c r="AS377"/>
      <c r="AT377" s="447"/>
      <c r="AU377"/>
      <c r="AV377"/>
      <c r="AW377" s="447"/>
      <c r="AX377"/>
      <c r="AY377"/>
      <c r="AZ377" s="447"/>
      <c r="BA377"/>
      <c r="BB377"/>
      <c r="BC377" s="447"/>
      <c r="BD377"/>
      <c r="BE377"/>
    </row>
    <row r="378" spans="4:57">
      <c r="D378" s="447"/>
      <c r="G378" s="447"/>
      <c r="J378" s="447"/>
      <c r="M378" s="447"/>
      <c r="R378" s="447"/>
      <c r="S378"/>
      <c r="T378"/>
      <c r="U378" s="447"/>
      <c r="V378"/>
      <c r="W378"/>
      <c r="X378" s="447"/>
      <c r="Y378"/>
      <c r="Z378"/>
      <c r="AA378" s="447"/>
      <c r="AB378"/>
      <c r="AC378"/>
      <c r="AE378"/>
      <c r="AF378" s="447"/>
      <c r="AG378"/>
      <c r="AH378"/>
      <c r="AI378" s="447"/>
      <c r="AJ378"/>
      <c r="AK378"/>
      <c r="AL378" s="447"/>
      <c r="AM378"/>
      <c r="AN378"/>
      <c r="AO378" s="447"/>
      <c r="AP378"/>
      <c r="AQ378"/>
      <c r="AS378"/>
      <c r="AT378" s="447"/>
      <c r="AU378"/>
      <c r="AV378"/>
      <c r="AW378" s="447"/>
      <c r="AX378"/>
      <c r="AY378"/>
      <c r="AZ378" s="447"/>
      <c r="BA378"/>
      <c r="BB378"/>
      <c r="BC378" s="447"/>
      <c r="BD378"/>
      <c r="BE378"/>
    </row>
    <row r="379" spans="4:57">
      <c r="D379" s="447"/>
      <c r="G379" s="447"/>
      <c r="J379" s="447"/>
      <c r="M379" s="447"/>
      <c r="R379" s="447"/>
      <c r="S379"/>
      <c r="T379"/>
      <c r="U379" s="447"/>
      <c r="V379"/>
      <c r="W379"/>
      <c r="X379" s="447"/>
      <c r="Y379"/>
      <c r="Z379"/>
      <c r="AA379" s="447"/>
      <c r="AB379"/>
      <c r="AC379"/>
      <c r="AE379"/>
      <c r="AF379" s="447"/>
      <c r="AG379"/>
      <c r="AH379"/>
      <c r="AI379" s="447"/>
      <c r="AJ379"/>
      <c r="AK379"/>
      <c r="AL379" s="447"/>
      <c r="AM379"/>
      <c r="AN379"/>
      <c r="AO379" s="447"/>
      <c r="AP379"/>
      <c r="AQ379"/>
      <c r="AS379"/>
      <c r="AT379" s="447"/>
      <c r="AU379"/>
      <c r="AV379"/>
      <c r="AW379" s="447"/>
      <c r="AX379"/>
      <c r="AY379"/>
      <c r="AZ379" s="447"/>
      <c r="BA379"/>
      <c r="BB379"/>
      <c r="BC379" s="447"/>
      <c r="BD379"/>
      <c r="BE379"/>
    </row>
    <row r="380" spans="4:57">
      <c r="D380" s="447"/>
      <c r="G380" s="447"/>
      <c r="J380" s="447"/>
      <c r="M380" s="447"/>
      <c r="R380" s="447"/>
      <c r="S380"/>
      <c r="T380"/>
      <c r="U380" s="447"/>
      <c r="V380"/>
      <c r="W380"/>
      <c r="X380" s="447"/>
      <c r="Y380"/>
      <c r="Z380"/>
      <c r="AA380" s="447"/>
      <c r="AB380"/>
      <c r="AC380"/>
      <c r="AE380"/>
      <c r="AF380" s="447"/>
      <c r="AG380"/>
      <c r="AH380"/>
      <c r="AI380" s="447"/>
      <c r="AJ380"/>
      <c r="AK380"/>
      <c r="AL380" s="447"/>
      <c r="AM380"/>
      <c r="AN380"/>
      <c r="AO380" s="447"/>
      <c r="AP380"/>
      <c r="AQ380"/>
      <c r="AS380"/>
      <c r="AT380" s="447"/>
      <c r="AU380"/>
      <c r="AV380"/>
      <c r="AW380" s="447"/>
      <c r="AX380"/>
      <c r="AY380"/>
      <c r="AZ380" s="447"/>
      <c r="BA380"/>
      <c r="BB380"/>
      <c r="BC380" s="447"/>
      <c r="BD380"/>
      <c r="BE380"/>
    </row>
    <row r="381" spans="4:57">
      <c r="D381" s="447"/>
      <c r="G381" s="447"/>
      <c r="J381" s="447"/>
      <c r="M381" s="447"/>
      <c r="R381" s="447"/>
      <c r="S381"/>
      <c r="T381"/>
      <c r="U381" s="447"/>
      <c r="V381"/>
      <c r="W381"/>
      <c r="X381" s="447"/>
      <c r="Y381"/>
      <c r="Z381"/>
      <c r="AA381" s="447"/>
      <c r="AB381"/>
      <c r="AC381"/>
      <c r="AE381"/>
      <c r="AF381" s="447"/>
      <c r="AG381"/>
      <c r="AH381"/>
      <c r="AI381" s="447"/>
      <c r="AJ381"/>
      <c r="AK381"/>
      <c r="AL381" s="447"/>
      <c r="AM381"/>
      <c r="AN381"/>
      <c r="AO381" s="447"/>
      <c r="AP381"/>
      <c r="AQ381"/>
      <c r="AS381"/>
      <c r="AT381" s="447"/>
      <c r="AU381"/>
      <c r="AV381"/>
      <c r="AW381" s="447"/>
      <c r="AX381"/>
      <c r="AY381"/>
      <c r="AZ381" s="447"/>
      <c r="BA381"/>
      <c r="BB381"/>
      <c r="BC381" s="447"/>
      <c r="BD381"/>
      <c r="BE381"/>
    </row>
    <row r="382" spans="4:57">
      <c r="D382" s="447"/>
      <c r="G382" s="447"/>
      <c r="J382" s="447"/>
      <c r="M382" s="447"/>
      <c r="R382" s="447"/>
      <c r="S382"/>
      <c r="T382"/>
      <c r="U382" s="447"/>
      <c r="V382"/>
      <c r="W382"/>
      <c r="X382" s="447"/>
      <c r="Y382"/>
      <c r="Z382"/>
      <c r="AA382" s="447"/>
      <c r="AB382"/>
      <c r="AC382"/>
      <c r="AE382"/>
      <c r="AF382" s="447"/>
      <c r="AG382"/>
      <c r="AH382"/>
      <c r="AI382" s="447"/>
      <c r="AJ382"/>
      <c r="AK382"/>
      <c r="AL382" s="447"/>
      <c r="AM382"/>
      <c r="AN382"/>
      <c r="AO382" s="447"/>
      <c r="AP382"/>
      <c r="AQ382"/>
      <c r="AS382"/>
      <c r="AT382" s="447"/>
      <c r="AU382"/>
      <c r="AV382"/>
      <c r="AW382" s="447"/>
      <c r="AX382"/>
      <c r="AY382"/>
      <c r="AZ382" s="447"/>
      <c r="BA382"/>
      <c r="BB382"/>
      <c r="BC382" s="447"/>
      <c r="BD382"/>
      <c r="BE382"/>
    </row>
    <row r="383" spans="4:57">
      <c r="D383" s="447"/>
      <c r="G383" s="447"/>
      <c r="J383" s="447"/>
      <c r="M383" s="447"/>
      <c r="R383" s="447"/>
      <c r="S383"/>
      <c r="T383"/>
      <c r="U383" s="447"/>
      <c r="V383"/>
      <c r="W383"/>
      <c r="X383" s="447"/>
      <c r="Y383"/>
      <c r="Z383"/>
      <c r="AA383" s="447"/>
      <c r="AB383"/>
      <c r="AC383"/>
      <c r="AE383"/>
      <c r="AF383" s="447"/>
      <c r="AG383"/>
      <c r="AH383"/>
      <c r="AI383" s="447"/>
      <c r="AJ383"/>
      <c r="AK383"/>
      <c r="AL383" s="447"/>
      <c r="AM383"/>
      <c r="AN383"/>
      <c r="AO383" s="447"/>
      <c r="AP383"/>
      <c r="AQ383"/>
      <c r="AS383"/>
      <c r="AT383" s="447"/>
      <c r="AU383"/>
      <c r="AV383"/>
      <c r="AW383" s="447"/>
      <c r="AX383"/>
      <c r="AY383"/>
      <c r="AZ383" s="447"/>
      <c r="BA383"/>
      <c r="BB383"/>
      <c r="BC383" s="447"/>
      <c r="BD383"/>
      <c r="BE383"/>
    </row>
    <row r="384" spans="4:57">
      <c r="D384" s="447"/>
      <c r="G384" s="447"/>
      <c r="J384" s="447"/>
      <c r="M384" s="447"/>
      <c r="R384" s="447"/>
      <c r="S384"/>
      <c r="T384"/>
      <c r="U384" s="447"/>
      <c r="V384"/>
      <c r="W384"/>
      <c r="X384" s="447"/>
      <c r="Y384"/>
      <c r="Z384"/>
      <c r="AA384" s="447"/>
      <c r="AB384"/>
      <c r="AC384"/>
      <c r="AE384"/>
      <c r="AF384" s="447"/>
      <c r="AG384"/>
      <c r="AH384"/>
      <c r="AI384" s="447"/>
      <c r="AJ384"/>
      <c r="AK384"/>
      <c r="AL384" s="447"/>
      <c r="AM384"/>
      <c r="AN384"/>
      <c r="AO384" s="447"/>
      <c r="AP384"/>
      <c r="AQ384"/>
      <c r="AS384"/>
      <c r="AT384" s="447"/>
      <c r="AU384"/>
      <c r="AV384"/>
      <c r="AW384" s="447"/>
      <c r="AX384"/>
      <c r="AY384"/>
      <c r="AZ384" s="447"/>
      <c r="BA384"/>
      <c r="BB384"/>
      <c r="BC384" s="447"/>
      <c r="BD384"/>
      <c r="BE384"/>
    </row>
    <row r="385" spans="4:57">
      <c r="D385" s="447"/>
      <c r="G385" s="447"/>
      <c r="J385" s="447"/>
      <c r="M385" s="447"/>
      <c r="R385" s="447"/>
      <c r="S385"/>
      <c r="T385"/>
      <c r="U385" s="447"/>
      <c r="V385"/>
      <c r="W385"/>
      <c r="X385" s="447"/>
      <c r="Y385"/>
      <c r="Z385"/>
      <c r="AA385" s="447"/>
      <c r="AB385"/>
      <c r="AC385"/>
      <c r="AE385"/>
      <c r="AF385" s="447"/>
      <c r="AG385"/>
      <c r="AH385"/>
      <c r="AI385" s="447"/>
      <c r="AJ385"/>
      <c r="AK385"/>
      <c r="AL385" s="447"/>
      <c r="AM385"/>
      <c r="AN385"/>
      <c r="AO385" s="447"/>
      <c r="AP385"/>
      <c r="AQ385"/>
      <c r="AS385"/>
      <c r="AT385" s="447"/>
      <c r="AU385"/>
      <c r="AV385"/>
      <c r="AW385" s="447"/>
      <c r="AX385"/>
      <c r="AY385"/>
      <c r="AZ385" s="447"/>
      <c r="BA385"/>
      <c r="BB385"/>
      <c r="BC385" s="447"/>
      <c r="BD385"/>
      <c r="BE385"/>
    </row>
    <row r="386" spans="4:57">
      <c r="D386" s="447"/>
      <c r="G386" s="447"/>
      <c r="J386" s="447"/>
      <c r="M386" s="447"/>
      <c r="R386" s="447"/>
      <c r="S386"/>
      <c r="T386"/>
      <c r="U386" s="447"/>
      <c r="V386"/>
      <c r="W386"/>
      <c r="X386" s="447"/>
      <c r="Y386"/>
      <c r="Z386"/>
      <c r="AA386" s="447"/>
      <c r="AB386"/>
      <c r="AC386"/>
      <c r="AE386"/>
      <c r="AF386" s="447"/>
      <c r="AG386"/>
      <c r="AH386"/>
      <c r="AI386" s="447"/>
      <c r="AJ386"/>
      <c r="AK386"/>
      <c r="AL386" s="447"/>
      <c r="AM386"/>
      <c r="AN386"/>
      <c r="AO386" s="447"/>
      <c r="AP386"/>
      <c r="AQ386"/>
      <c r="AS386"/>
      <c r="AT386" s="447"/>
      <c r="AU386"/>
      <c r="AV386"/>
      <c r="AW386" s="447"/>
      <c r="AX386"/>
      <c r="AY386"/>
      <c r="AZ386" s="447"/>
      <c r="BA386"/>
      <c r="BB386"/>
      <c r="BC386" s="447"/>
      <c r="BD386"/>
      <c r="BE386"/>
    </row>
    <row r="387" spans="4:57">
      <c r="D387" s="447"/>
      <c r="G387" s="447"/>
      <c r="J387" s="447"/>
      <c r="M387" s="447"/>
      <c r="R387" s="447"/>
      <c r="S387"/>
      <c r="T387"/>
      <c r="U387" s="447"/>
      <c r="V387"/>
      <c r="W387"/>
      <c r="X387" s="447"/>
      <c r="Y387"/>
      <c r="Z387"/>
      <c r="AA387" s="447"/>
      <c r="AB387"/>
      <c r="AC387"/>
      <c r="AE387"/>
      <c r="AF387" s="447"/>
      <c r="AG387"/>
      <c r="AH387"/>
      <c r="AI387" s="447"/>
      <c r="AJ387"/>
      <c r="AK387"/>
      <c r="AL387" s="447"/>
      <c r="AM387"/>
      <c r="AN387"/>
      <c r="AO387" s="447"/>
      <c r="AP387"/>
      <c r="AQ387"/>
      <c r="AS387"/>
      <c r="AT387" s="447"/>
      <c r="AU387"/>
      <c r="AV387"/>
      <c r="AW387" s="447"/>
      <c r="AX387"/>
      <c r="AY387"/>
      <c r="AZ387" s="447"/>
      <c r="BA387"/>
      <c r="BB387"/>
      <c r="BC387" s="447"/>
      <c r="BD387"/>
      <c r="BE387"/>
    </row>
    <row r="388" spans="4:57">
      <c r="D388" s="447"/>
      <c r="G388" s="447"/>
      <c r="J388" s="447"/>
      <c r="M388" s="447"/>
      <c r="R388" s="447"/>
      <c r="S388"/>
      <c r="T388"/>
      <c r="U388" s="447"/>
      <c r="V388"/>
      <c r="W388"/>
      <c r="X388" s="447"/>
      <c r="Y388"/>
      <c r="Z388"/>
      <c r="AA388" s="447"/>
      <c r="AB388"/>
      <c r="AC388"/>
      <c r="AE388"/>
      <c r="AF388" s="447"/>
      <c r="AG388"/>
      <c r="AH388"/>
      <c r="AI388" s="447"/>
      <c r="AJ388"/>
      <c r="AK388"/>
      <c r="AL388" s="447"/>
      <c r="AM388"/>
      <c r="AN388"/>
      <c r="AO388" s="447"/>
      <c r="AP388"/>
      <c r="AQ388"/>
      <c r="AS388"/>
      <c r="AT388" s="447"/>
      <c r="AU388"/>
      <c r="AV388"/>
      <c r="AW388" s="447"/>
      <c r="AX388"/>
      <c r="AY388"/>
      <c r="AZ388" s="447"/>
      <c r="BA388"/>
      <c r="BB388"/>
      <c r="BC388" s="447"/>
      <c r="BD388"/>
      <c r="BE388"/>
    </row>
    <row r="389" spans="4:57">
      <c r="D389" s="447"/>
      <c r="G389" s="447"/>
      <c r="J389" s="447"/>
      <c r="M389" s="447"/>
      <c r="R389" s="447"/>
      <c r="S389"/>
      <c r="T389"/>
      <c r="U389" s="447"/>
      <c r="V389"/>
      <c r="W389"/>
      <c r="X389" s="447"/>
      <c r="Y389"/>
      <c r="Z389"/>
      <c r="AA389" s="447"/>
      <c r="AB389"/>
      <c r="AC389"/>
      <c r="AE389"/>
      <c r="AF389" s="447"/>
      <c r="AG389"/>
      <c r="AH389"/>
      <c r="AI389" s="447"/>
      <c r="AJ389"/>
      <c r="AK389"/>
      <c r="AL389" s="447"/>
      <c r="AM389"/>
      <c r="AN389"/>
      <c r="AO389" s="447"/>
      <c r="AP389"/>
      <c r="AQ389"/>
      <c r="AS389"/>
      <c r="AT389" s="447"/>
      <c r="AU389"/>
      <c r="AV389"/>
      <c r="AW389" s="447"/>
      <c r="AX389"/>
      <c r="AY389"/>
      <c r="AZ389" s="447"/>
      <c r="BA389"/>
      <c r="BB389"/>
      <c r="BC389" s="447"/>
      <c r="BD389"/>
      <c r="BE389"/>
    </row>
    <row r="390" spans="4:57">
      <c r="D390" s="447"/>
      <c r="G390" s="447"/>
      <c r="J390" s="447"/>
      <c r="M390" s="447"/>
      <c r="R390" s="447"/>
      <c r="S390"/>
      <c r="T390"/>
      <c r="U390" s="447"/>
      <c r="V390"/>
      <c r="W390"/>
      <c r="X390" s="447"/>
      <c r="Y390"/>
      <c r="Z390"/>
      <c r="AA390" s="447"/>
      <c r="AB390"/>
      <c r="AC390"/>
      <c r="AE390"/>
      <c r="AF390" s="447"/>
      <c r="AG390"/>
      <c r="AH390"/>
      <c r="AI390" s="447"/>
      <c r="AJ390"/>
      <c r="AK390"/>
      <c r="AL390" s="447"/>
      <c r="AM390"/>
      <c r="AN390"/>
      <c r="AO390" s="447"/>
      <c r="AP390"/>
      <c r="AQ390"/>
      <c r="AS390"/>
      <c r="AT390" s="447"/>
      <c r="AU390"/>
      <c r="AV390"/>
      <c r="AW390" s="447"/>
      <c r="AX390"/>
      <c r="AY390"/>
      <c r="AZ390" s="447"/>
      <c r="BA390"/>
      <c r="BB390"/>
      <c r="BC390" s="447"/>
      <c r="BD390"/>
      <c r="BE390"/>
    </row>
    <row r="391" spans="4:57">
      <c r="D391" s="447"/>
      <c r="G391" s="447"/>
      <c r="J391" s="447"/>
      <c r="M391" s="447"/>
      <c r="R391" s="447"/>
      <c r="S391"/>
      <c r="T391"/>
      <c r="U391" s="447"/>
      <c r="V391"/>
      <c r="W391"/>
      <c r="X391" s="447"/>
      <c r="Y391"/>
      <c r="Z391"/>
      <c r="AA391" s="447"/>
      <c r="AB391"/>
      <c r="AC391"/>
      <c r="AE391"/>
      <c r="AF391" s="447"/>
      <c r="AG391"/>
      <c r="AH391"/>
      <c r="AI391" s="447"/>
      <c r="AJ391"/>
      <c r="AK391"/>
      <c r="AL391" s="447"/>
      <c r="AM391"/>
      <c r="AN391"/>
      <c r="AO391" s="447"/>
      <c r="AP391"/>
      <c r="AQ391"/>
      <c r="AS391"/>
      <c r="AT391" s="447"/>
      <c r="AU391"/>
      <c r="AV391"/>
      <c r="AW391" s="447"/>
      <c r="AX391"/>
      <c r="AY391"/>
      <c r="AZ391" s="447"/>
      <c r="BA391"/>
      <c r="BB391"/>
      <c r="BC391" s="447"/>
      <c r="BD391"/>
      <c r="BE391"/>
    </row>
    <row r="392" spans="4:57">
      <c r="D392" s="447"/>
      <c r="G392" s="447"/>
      <c r="J392" s="447"/>
      <c r="M392" s="447"/>
      <c r="R392" s="447"/>
      <c r="S392"/>
      <c r="T392"/>
      <c r="U392" s="447"/>
      <c r="V392"/>
      <c r="W392"/>
      <c r="X392" s="447"/>
      <c r="Y392"/>
      <c r="Z392"/>
      <c r="AA392" s="447"/>
      <c r="AB392"/>
      <c r="AC392"/>
      <c r="AE392"/>
      <c r="AF392" s="447"/>
      <c r="AG392"/>
      <c r="AH392"/>
      <c r="AI392" s="447"/>
      <c r="AJ392"/>
      <c r="AK392"/>
      <c r="AL392" s="447"/>
      <c r="AM392"/>
      <c r="AN392"/>
      <c r="AO392" s="447"/>
      <c r="AP392"/>
      <c r="AQ392"/>
      <c r="AS392"/>
      <c r="AT392" s="447"/>
      <c r="AU392"/>
      <c r="AV392"/>
      <c r="AW392" s="447"/>
      <c r="AX392"/>
      <c r="AY392"/>
      <c r="AZ392" s="447"/>
      <c r="BA392"/>
      <c r="BB392"/>
      <c r="BC392" s="447"/>
      <c r="BD392"/>
      <c r="BE392"/>
    </row>
    <row r="393" spans="4:57">
      <c r="D393" s="447"/>
      <c r="G393" s="447"/>
      <c r="J393" s="447"/>
      <c r="M393" s="447"/>
      <c r="R393" s="447"/>
      <c r="S393"/>
      <c r="T393"/>
      <c r="U393" s="447"/>
      <c r="V393"/>
      <c r="W393"/>
      <c r="X393" s="447"/>
      <c r="Y393"/>
      <c r="Z393"/>
      <c r="AA393" s="447"/>
      <c r="AB393"/>
      <c r="AC393"/>
      <c r="AE393"/>
      <c r="AF393" s="447"/>
      <c r="AG393"/>
      <c r="AH393"/>
      <c r="AI393" s="447"/>
      <c r="AJ393"/>
      <c r="AK393"/>
      <c r="AL393" s="447"/>
      <c r="AM393"/>
      <c r="AN393"/>
      <c r="AO393" s="447"/>
      <c r="AP393"/>
      <c r="AQ393"/>
      <c r="AS393"/>
      <c r="AT393" s="447"/>
      <c r="AU393"/>
      <c r="AV393"/>
      <c r="AW393" s="447"/>
      <c r="AX393"/>
      <c r="AY393"/>
      <c r="AZ393" s="447"/>
      <c r="BA393"/>
      <c r="BB393"/>
      <c r="BC393" s="447"/>
      <c r="BD393"/>
      <c r="BE393"/>
    </row>
    <row r="394" spans="4:57">
      <c r="D394" s="447"/>
      <c r="G394" s="447"/>
      <c r="J394" s="447"/>
      <c r="M394" s="447"/>
      <c r="R394" s="447"/>
      <c r="S394"/>
      <c r="T394"/>
      <c r="U394" s="447"/>
      <c r="V394"/>
      <c r="W394"/>
      <c r="X394" s="447"/>
      <c r="Y394"/>
      <c r="Z394"/>
      <c r="AA394" s="447"/>
      <c r="AB394"/>
      <c r="AC394"/>
      <c r="AE394"/>
      <c r="AF394" s="447"/>
      <c r="AG394"/>
      <c r="AH394"/>
      <c r="AI394" s="447"/>
      <c r="AJ394"/>
      <c r="AK394"/>
      <c r="AL394" s="447"/>
      <c r="AM394"/>
      <c r="AN394"/>
      <c r="AO394" s="447"/>
      <c r="AP394"/>
      <c r="AQ394"/>
      <c r="AS394"/>
      <c r="AT394" s="447"/>
      <c r="AU394"/>
      <c r="AV394"/>
      <c r="AW394" s="447"/>
      <c r="AX394"/>
      <c r="AY394"/>
      <c r="AZ394" s="447"/>
      <c r="BA394"/>
      <c r="BB394"/>
      <c r="BC394" s="447"/>
      <c r="BD394"/>
      <c r="BE394"/>
    </row>
    <row r="395" spans="4:57">
      <c r="D395" s="447"/>
      <c r="G395" s="447"/>
      <c r="J395" s="447"/>
      <c r="M395" s="447"/>
      <c r="R395" s="447"/>
      <c r="S395"/>
      <c r="T395"/>
      <c r="U395" s="447"/>
      <c r="V395"/>
      <c r="W395"/>
      <c r="X395" s="447"/>
      <c r="Y395"/>
      <c r="Z395"/>
      <c r="AA395" s="447"/>
      <c r="AB395"/>
      <c r="AC395"/>
      <c r="AE395"/>
      <c r="AF395" s="447"/>
      <c r="AG395"/>
      <c r="AH395"/>
      <c r="AI395" s="447"/>
      <c r="AJ395"/>
      <c r="AK395"/>
      <c r="AL395" s="447"/>
      <c r="AM395"/>
      <c r="AN395"/>
      <c r="AO395" s="447"/>
      <c r="AP395"/>
      <c r="AQ395"/>
      <c r="AS395"/>
      <c r="AT395" s="447"/>
      <c r="AU395"/>
      <c r="AV395"/>
      <c r="AW395" s="447"/>
      <c r="AX395"/>
      <c r="AY395"/>
      <c r="AZ395" s="447"/>
      <c r="BA395"/>
      <c r="BB395"/>
      <c r="BC395" s="447"/>
      <c r="BD395"/>
      <c r="BE395"/>
    </row>
    <row r="396" spans="4:57">
      <c r="D396" s="447"/>
      <c r="G396" s="447"/>
      <c r="J396" s="447"/>
      <c r="M396" s="447"/>
      <c r="R396" s="447"/>
      <c r="S396"/>
      <c r="T396"/>
      <c r="U396" s="447"/>
      <c r="V396"/>
      <c r="W396"/>
      <c r="X396" s="447"/>
      <c r="Y396"/>
      <c r="Z396"/>
      <c r="AA396" s="447"/>
      <c r="AB396"/>
      <c r="AC396"/>
      <c r="AE396"/>
      <c r="AF396" s="447"/>
      <c r="AG396"/>
      <c r="AH396"/>
      <c r="AI396" s="447"/>
      <c r="AJ396"/>
      <c r="AK396"/>
      <c r="AL396" s="447"/>
      <c r="AM396"/>
      <c r="AN396"/>
      <c r="AO396" s="447"/>
      <c r="AP396"/>
      <c r="AQ396"/>
      <c r="AS396"/>
      <c r="AT396" s="447"/>
      <c r="AU396"/>
      <c r="AV396"/>
      <c r="AW396" s="447"/>
      <c r="AX396"/>
      <c r="AY396"/>
      <c r="AZ396" s="447"/>
      <c r="BA396"/>
      <c r="BB396"/>
      <c r="BC396" s="447"/>
      <c r="BD396"/>
      <c r="BE396"/>
    </row>
    <row r="397" spans="4:57">
      <c r="D397" s="447"/>
      <c r="G397" s="447"/>
      <c r="J397" s="447"/>
      <c r="M397" s="447"/>
      <c r="R397" s="447"/>
      <c r="S397"/>
      <c r="T397"/>
      <c r="U397" s="447"/>
      <c r="V397"/>
      <c r="W397"/>
      <c r="X397" s="447"/>
      <c r="Y397"/>
      <c r="Z397"/>
      <c r="AA397" s="447"/>
      <c r="AB397"/>
      <c r="AC397"/>
      <c r="AE397"/>
      <c r="AF397" s="447"/>
      <c r="AG397"/>
      <c r="AH397"/>
      <c r="AI397" s="447"/>
      <c r="AJ397"/>
      <c r="AK397"/>
      <c r="AL397" s="447"/>
      <c r="AM397"/>
      <c r="AN397"/>
      <c r="AO397" s="447"/>
      <c r="AP397"/>
      <c r="AQ397"/>
      <c r="AS397"/>
      <c r="AT397" s="447"/>
      <c r="AU397"/>
      <c r="AV397"/>
      <c r="AW397" s="447"/>
      <c r="AX397"/>
      <c r="AY397"/>
      <c r="AZ397" s="447"/>
      <c r="BA397"/>
      <c r="BB397"/>
      <c r="BC397" s="447"/>
      <c r="BD397"/>
      <c r="BE397"/>
    </row>
    <row r="398" spans="4:57">
      <c r="D398" s="447"/>
      <c r="G398" s="447"/>
      <c r="J398" s="447"/>
      <c r="M398" s="447"/>
      <c r="R398" s="447"/>
      <c r="S398"/>
      <c r="T398"/>
      <c r="U398" s="447"/>
      <c r="V398"/>
      <c r="W398"/>
      <c r="X398" s="447"/>
      <c r="Y398"/>
      <c r="Z398"/>
      <c r="AA398" s="447"/>
      <c r="AB398"/>
      <c r="AC398"/>
      <c r="AE398"/>
      <c r="AF398" s="447"/>
      <c r="AG398"/>
      <c r="AH398"/>
      <c r="AI398" s="447"/>
      <c r="AJ398"/>
      <c r="AK398"/>
      <c r="AL398" s="447"/>
      <c r="AM398"/>
      <c r="AN398"/>
      <c r="AO398" s="447"/>
      <c r="AP398"/>
      <c r="AQ398"/>
      <c r="AS398"/>
      <c r="AT398" s="447"/>
      <c r="AU398"/>
      <c r="AV398"/>
      <c r="AW398" s="447"/>
      <c r="AX398"/>
      <c r="AY398"/>
      <c r="AZ398" s="447"/>
      <c r="BA398"/>
      <c r="BB398"/>
      <c r="BC398" s="447"/>
      <c r="BD398"/>
      <c r="BE398"/>
    </row>
    <row r="399" spans="4:57">
      <c r="D399" s="447"/>
      <c r="G399" s="447"/>
      <c r="J399" s="447"/>
      <c r="M399" s="447"/>
      <c r="R399" s="447"/>
      <c r="S399"/>
      <c r="T399"/>
      <c r="U399" s="447"/>
      <c r="V399"/>
      <c r="W399"/>
      <c r="X399" s="447"/>
      <c r="Y399"/>
      <c r="Z399"/>
      <c r="AA399" s="447"/>
      <c r="AB399"/>
      <c r="AC399"/>
      <c r="AE399"/>
      <c r="AF399" s="447"/>
      <c r="AG399"/>
      <c r="AH399"/>
      <c r="AI399" s="447"/>
      <c r="AJ399"/>
      <c r="AK399"/>
      <c r="AL399" s="447"/>
      <c r="AM399"/>
      <c r="AN399"/>
      <c r="AO399" s="447"/>
      <c r="AP399"/>
      <c r="AQ399"/>
      <c r="AS399"/>
      <c r="AT399" s="447"/>
      <c r="AU399"/>
      <c r="AV399"/>
      <c r="AW399" s="447"/>
      <c r="AX399"/>
      <c r="AY399"/>
      <c r="AZ399" s="447"/>
      <c r="BA399"/>
      <c r="BB399"/>
      <c r="BC399" s="447"/>
      <c r="BD399"/>
      <c r="BE399"/>
    </row>
    <row r="400" spans="4:57">
      <c r="D400" s="447"/>
      <c r="G400" s="447"/>
      <c r="J400" s="447"/>
      <c r="M400" s="447"/>
      <c r="R400" s="447"/>
      <c r="S400"/>
      <c r="T400"/>
      <c r="U400" s="447"/>
      <c r="V400"/>
      <c r="W400"/>
      <c r="X400" s="447"/>
      <c r="Y400"/>
      <c r="Z400"/>
      <c r="AA400" s="447"/>
      <c r="AB400"/>
      <c r="AC400"/>
      <c r="AE400"/>
      <c r="AF400" s="447"/>
      <c r="AG400"/>
      <c r="AH400"/>
      <c r="AI400" s="447"/>
      <c r="AJ400"/>
      <c r="AK400"/>
      <c r="AL400" s="447"/>
      <c r="AM400"/>
      <c r="AN400"/>
      <c r="AO400" s="447"/>
      <c r="AP400"/>
      <c r="AQ400"/>
      <c r="AS400"/>
      <c r="AT400" s="447"/>
      <c r="AU400"/>
      <c r="AV400"/>
      <c r="AW400" s="447"/>
      <c r="AX400"/>
      <c r="AY400"/>
      <c r="AZ400" s="447"/>
      <c r="BA400"/>
      <c r="BB400"/>
      <c r="BC400" s="447"/>
      <c r="BD400"/>
      <c r="BE400"/>
    </row>
    <row r="401" spans="4:57">
      <c r="D401" s="447"/>
      <c r="G401" s="447"/>
      <c r="J401" s="447"/>
      <c r="M401" s="447"/>
      <c r="R401" s="447"/>
      <c r="S401"/>
      <c r="T401"/>
      <c r="U401" s="447"/>
      <c r="V401"/>
      <c r="W401"/>
      <c r="X401" s="447"/>
      <c r="Y401"/>
      <c r="Z401"/>
      <c r="AA401" s="447"/>
      <c r="AB401"/>
      <c r="AC401"/>
      <c r="AE401"/>
      <c r="AF401" s="447"/>
      <c r="AG401"/>
      <c r="AH401"/>
      <c r="AI401" s="447"/>
      <c r="AJ401"/>
      <c r="AK401"/>
      <c r="AL401" s="447"/>
      <c r="AM401"/>
      <c r="AN401"/>
      <c r="AO401" s="447"/>
      <c r="AP401"/>
      <c r="AQ401"/>
      <c r="AS401"/>
      <c r="AT401" s="447"/>
      <c r="AU401"/>
      <c r="AV401"/>
      <c r="AW401" s="447"/>
      <c r="AX401"/>
      <c r="AY401"/>
      <c r="AZ401" s="447"/>
      <c r="BA401"/>
      <c r="BB401"/>
      <c r="BC401" s="447"/>
      <c r="BD401"/>
      <c r="BE401"/>
    </row>
    <row r="402" spans="4:57">
      <c r="D402" s="447"/>
      <c r="G402" s="447"/>
      <c r="J402" s="447"/>
      <c r="M402" s="447"/>
      <c r="R402" s="447"/>
      <c r="S402"/>
      <c r="T402"/>
      <c r="U402" s="447"/>
      <c r="V402"/>
      <c r="W402"/>
      <c r="X402" s="447"/>
      <c r="Y402"/>
      <c r="Z402"/>
      <c r="AA402" s="447"/>
      <c r="AB402"/>
      <c r="AC402"/>
      <c r="AE402"/>
      <c r="AF402" s="447"/>
      <c r="AG402"/>
      <c r="AH402"/>
      <c r="AI402" s="447"/>
      <c r="AJ402"/>
      <c r="AK402"/>
      <c r="AL402" s="447"/>
      <c r="AM402"/>
      <c r="AN402"/>
      <c r="AO402" s="447"/>
      <c r="AP402"/>
      <c r="AQ402"/>
      <c r="AS402"/>
      <c r="AT402" s="447"/>
      <c r="AU402"/>
      <c r="AV402"/>
      <c r="AW402" s="447"/>
      <c r="AX402"/>
      <c r="AY402"/>
      <c r="AZ402" s="447"/>
      <c r="BA402"/>
      <c r="BB402"/>
      <c r="BC402" s="447"/>
      <c r="BD402"/>
      <c r="BE402"/>
    </row>
    <row r="403" spans="4:57">
      <c r="D403" s="447"/>
      <c r="G403" s="447"/>
      <c r="J403" s="447"/>
      <c r="M403" s="447"/>
      <c r="R403" s="447"/>
      <c r="S403"/>
      <c r="T403"/>
      <c r="U403" s="447"/>
      <c r="V403"/>
      <c r="W403"/>
      <c r="X403" s="447"/>
      <c r="Y403"/>
      <c r="Z403"/>
      <c r="AA403" s="447"/>
      <c r="AB403"/>
      <c r="AC403"/>
      <c r="AE403"/>
      <c r="AF403" s="447"/>
      <c r="AG403"/>
      <c r="AH403"/>
      <c r="AI403" s="447"/>
      <c r="AJ403"/>
      <c r="AK403"/>
      <c r="AL403" s="447"/>
      <c r="AM403"/>
      <c r="AN403"/>
      <c r="AO403" s="447"/>
      <c r="AP403"/>
      <c r="AQ403"/>
      <c r="AS403"/>
      <c r="AT403" s="447"/>
      <c r="AU403"/>
      <c r="AV403"/>
      <c r="AW403" s="447"/>
      <c r="AX403"/>
      <c r="AY403"/>
      <c r="AZ403" s="447"/>
      <c r="BA403"/>
      <c r="BB403"/>
      <c r="BC403" s="447"/>
      <c r="BD403"/>
      <c r="BE403"/>
    </row>
    <row r="404" spans="4:57">
      <c r="D404" s="447"/>
      <c r="G404" s="447"/>
      <c r="J404" s="447"/>
      <c r="M404" s="447"/>
      <c r="R404" s="447"/>
      <c r="S404"/>
      <c r="T404"/>
      <c r="U404" s="447"/>
      <c r="V404"/>
      <c r="W404"/>
      <c r="X404" s="447"/>
      <c r="Y404"/>
      <c r="Z404"/>
      <c r="AA404" s="447"/>
      <c r="AB404"/>
      <c r="AC404"/>
      <c r="AE404"/>
      <c r="AF404" s="447"/>
      <c r="AG404"/>
      <c r="AH404"/>
      <c r="AI404" s="447"/>
      <c r="AJ404"/>
      <c r="AK404"/>
      <c r="AL404" s="447"/>
      <c r="AM404"/>
      <c r="AN404"/>
      <c r="AO404" s="447"/>
      <c r="AP404"/>
      <c r="AQ404"/>
      <c r="AS404"/>
      <c r="AT404" s="447"/>
      <c r="AU404"/>
      <c r="AV404"/>
      <c r="AW404" s="447"/>
      <c r="AX404"/>
      <c r="AY404"/>
      <c r="AZ404" s="447"/>
      <c r="BA404"/>
      <c r="BB404"/>
      <c r="BC404" s="447"/>
      <c r="BD404"/>
      <c r="BE404"/>
    </row>
    <row r="405" spans="4:57">
      <c r="D405" s="447"/>
      <c r="G405" s="447"/>
      <c r="J405" s="447"/>
      <c r="M405" s="447"/>
      <c r="R405" s="447"/>
      <c r="S405"/>
      <c r="T405"/>
      <c r="U405" s="447"/>
      <c r="V405"/>
      <c r="W405"/>
      <c r="X405" s="447"/>
      <c r="Y405"/>
      <c r="Z405"/>
      <c r="AA405" s="447"/>
      <c r="AB405"/>
      <c r="AC405"/>
      <c r="AE405"/>
      <c r="AF405" s="447"/>
      <c r="AG405"/>
      <c r="AH405"/>
      <c r="AI405" s="447"/>
      <c r="AJ405"/>
      <c r="AK405"/>
      <c r="AL405" s="447"/>
      <c r="AM405"/>
      <c r="AN405"/>
      <c r="AO405" s="447"/>
      <c r="AP405"/>
      <c r="AQ405"/>
      <c r="AS405"/>
      <c r="AT405" s="447"/>
      <c r="AU405"/>
      <c r="AV405"/>
      <c r="AW405" s="447"/>
      <c r="AX405"/>
      <c r="AY405"/>
      <c r="AZ405" s="447"/>
      <c r="BA405"/>
      <c r="BB405"/>
      <c r="BC405" s="447"/>
      <c r="BD405"/>
      <c r="BE405"/>
    </row>
    <row r="406" spans="4:57">
      <c r="D406" s="447"/>
      <c r="G406" s="447"/>
      <c r="J406" s="447"/>
      <c r="M406" s="447"/>
      <c r="R406" s="447"/>
      <c r="S406"/>
      <c r="T406"/>
      <c r="U406" s="447"/>
      <c r="V406"/>
      <c r="W406"/>
      <c r="X406" s="447"/>
      <c r="Y406"/>
      <c r="Z406"/>
      <c r="AA406" s="447"/>
      <c r="AB406"/>
      <c r="AC406"/>
      <c r="AE406"/>
      <c r="AF406" s="447"/>
      <c r="AG406"/>
      <c r="AH406"/>
      <c r="AI406" s="447"/>
      <c r="AJ406"/>
      <c r="AK406"/>
      <c r="AL406" s="447"/>
      <c r="AM406"/>
      <c r="AN406"/>
      <c r="AO406" s="447"/>
      <c r="AP406"/>
      <c r="AQ406"/>
      <c r="AS406"/>
      <c r="AT406" s="447"/>
      <c r="AU406"/>
      <c r="AV406"/>
      <c r="AW406" s="447"/>
      <c r="AX406"/>
      <c r="AY406"/>
      <c r="AZ406" s="447"/>
      <c r="BA406"/>
      <c r="BB406"/>
      <c r="BC406" s="447"/>
      <c r="BD406"/>
      <c r="BE406"/>
    </row>
    <row r="407" spans="4:57">
      <c r="D407" s="447"/>
      <c r="G407" s="447"/>
      <c r="J407" s="447"/>
      <c r="M407" s="447"/>
      <c r="R407" s="447"/>
      <c r="S407"/>
      <c r="T407"/>
      <c r="U407" s="447"/>
      <c r="V407"/>
      <c r="W407"/>
      <c r="X407" s="447"/>
      <c r="Y407"/>
      <c r="Z407"/>
      <c r="AA407" s="447"/>
      <c r="AB407"/>
      <c r="AC407"/>
      <c r="AE407"/>
      <c r="AF407" s="447"/>
      <c r="AG407"/>
      <c r="AH407"/>
      <c r="AI407" s="447"/>
      <c r="AJ407"/>
      <c r="AK407"/>
      <c r="AL407" s="447"/>
      <c r="AM407"/>
      <c r="AN407"/>
      <c r="AO407" s="447"/>
      <c r="AP407"/>
      <c r="AQ407"/>
      <c r="AS407"/>
      <c r="AT407" s="447"/>
      <c r="AU407"/>
      <c r="AV407"/>
      <c r="AW407" s="447"/>
      <c r="AX407"/>
      <c r="AY407"/>
      <c r="AZ407" s="447"/>
      <c r="BA407"/>
      <c r="BB407"/>
      <c r="BC407" s="447"/>
      <c r="BD407"/>
      <c r="BE407"/>
    </row>
    <row r="408" spans="4:57">
      <c r="D408" s="447"/>
      <c r="G408" s="447"/>
      <c r="J408" s="447"/>
      <c r="M408" s="447"/>
      <c r="R408" s="447"/>
      <c r="S408"/>
      <c r="T408"/>
      <c r="U408" s="447"/>
      <c r="V408"/>
      <c r="W408"/>
      <c r="X408" s="447"/>
      <c r="Y408"/>
      <c r="Z408"/>
      <c r="AA408" s="447"/>
      <c r="AB408"/>
      <c r="AC408"/>
      <c r="AE408"/>
      <c r="AF408" s="447"/>
      <c r="AG408"/>
      <c r="AH408"/>
      <c r="AI408" s="447"/>
      <c r="AJ408"/>
      <c r="AK408"/>
      <c r="AL408" s="447"/>
      <c r="AM408"/>
      <c r="AN408"/>
      <c r="AO408" s="447"/>
      <c r="AP408"/>
      <c r="AQ408"/>
      <c r="AS408"/>
      <c r="AT408" s="447"/>
      <c r="AU408"/>
      <c r="AV408"/>
      <c r="AW408" s="447"/>
      <c r="AX408"/>
      <c r="AY408"/>
      <c r="AZ408" s="447"/>
      <c r="BA408"/>
      <c r="BB408"/>
      <c r="BC408" s="447"/>
      <c r="BD408"/>
      <c r="BE408"/>
    </row>
    <row r="409" spans="4:57">
      <c r="D409" s="447"/>
      <c r="G409" s="447"/>
      <c r="J409" s="447"/>
      <c r="M409" s="447"/>
      <c r="R409" s="447"/>
      <c r="S409"/>
      <c r="T409"/>
      <c r="U409" s="447"/>
      <c r="V409"/>
      <c r="W409"/>
      <c r="X409" s="447"/>
      <c r="Y409"/>
      <c r="Z409"/>
      <c r="AA409" s="447"/>
      <c r="AB409"/>
      <c r="AC409"/>
      <c r="AE409"/>
      <c r="AF409" s="447"/>
      <c r="AG409"/>
      <c r="AH409"/>
      <c r="AI409" s="447"/>
      <c r="AJ409"/>
      <c r="AK409"/>
      <c r="AL409" s="447"/>
      <c r="AM409"/>
      <c r="AN409"/>
      <c r="AO409" s="447"/>
      <c r="AP409"/>
      <c r="AQ409"/>
      <c r="AS409"/>
      <c r="AT409" s="447"/>
      <c r="AU409"/>
      <c r="AV409"/>
      <c r="AW409" s="447"/>
      <c r="AX409"/>
      <c r="AY409"/>
      <c r="AZ409" s="447"/>
      <c r="BA409"/>
      <c r="BB409"/>
      <c r="BC409" s="447"/>
      <c r="BD409"/>
      <c r="BE409"/>
    </row>
    <row r="410" spans="4:57">
      <c r="D410" s="447"/>
      <c r="G410" s="447"/>
      <c r="J410" s="447"/>
      <c r="M410" s="447"/>
      <c r="R410" s="447"/>
      <c r="S410"/>
      <c r="T410"/>
      <c r="U410" s="447"/>
      <c r="V410"/>
      <c r="W410"/>
      <c r="X410" s="447"/>
      <c r="Y410"/>
      <c r="Z410"/>
      <c r="AA410" s="447"/>
      <c r="AB410"/>
      <c r="AC410"/>
      <c r="AE410"/>
      <c r="AF410" s="447"/>
      <c r="AG410"/>
      <c r="AH410"/>
      <c r="AI410" s="447"/>
      <c r="AJ410"/>
      <c r="AK410"/>
      <c r="AL410" s="447"/>
      <c r="AM410"/>
      <c r="AN410"/>
      <c r="AO410" s="447"/>
      <c r="AP410"/>
      <c r="AQ410"/>
      <c r="AS410"/>
      <c r="AT410" s="447"/>
      <c r="AU410"/>
      <c r="AV410"/>
      <c r="AW410" s="447"/>
      <c r="AX410"/>
      <c r="AY410"/>
      <c r="AZ410" s="447"/>
      <c r="BA410"/>
      <c r="BB410"/>
      <c r="BC410" s="447"/>
      <c r="BD410"/>
      <c r="BE410"/>
    </row>
    <row r="411" spans="4:57">
      <c r="D411" s="447"/>
      <c r="G411" s="447"/>
      <c r="J411" s="447"/>
      <c r="M411" s="447"/>
      <c r="R411" s="447"/>
      <c r="S411"/>
      <c r="T411"/>
      <c r="U411" s="447"/>
      <c r="V411"/>
      <c r="W411"/>
      <c r="X411" s="447"/>
      <c r="Y411"/>
      <c r="Z411"/>
      <c r="AA411" s="447"/>
      <c r="AB411"/>
      <c r="AC411"/>
      <c r="AE411"/>
      <c r="AF411" s="447"/>
      <c r="AG411"/>
      <c r="AH411"/>
      <c r="AI411" s="447"/>
      <c r="AJ411"/>
      <c r="AK411"/>
      <c r="AL411" s="447"/>
      <c r="AM411"/>
      <c r="AN411"/>
      <c r="AO411" s="447"/>
      <c r="AP411"/>
      <c r="AQ411"/>
      <c r="AS411"/>
      <c r="AT411" s="447"/>
      <c r="AU411"/>
      <c r="AV411"/>
      <c r="AW411" s="447"/>
      <c r="AX411"/>
      <c r="AY411"/>
      <c r="AZ411" s="447"/>
      <c r="BA411"/>
      <c r="BB411"/>
      <c r="BC411" s="447"/>
      <c r="BD411"/>
      <c r="BE411"/>
    </row>
    <row r="412" spans="4:57">
      <c r="D412" s="447"/>
      <c r="G412" s="447"/>
      <c r="J412" s="447"/>
      <c r="M412" s="447"/>
      <c r="R412" s="447"/>
      <c r="S412"/>
      <c r="T412"/>
      <c r="U412" s="447"/>
      <c r="V412"/>
      <c r="W412"/>
      <c r="X412" s="447"/>
      <c r="Y412"/>
      <c r="Z412"/>
      <c r="AA412" s="447"/>
      <c r="AB412"/>
      <c r="AC412"/>
      <c r="AE412"/>
      <c r="AF412" s="447"/>
      <c r="AG412"/>
      <c r="AH412"/>
      <c r="AI412" s="447"/>
      <c r="AJ412"/>
      <c r="AK412"/>
      <c r="AL412" s="447"/>
      <c r="AM412"/>
      <c r="AN412"/>
      <c r="AO412" s="447"/>
      <c r="AP412"/>
      <c r="AQ412"/>
      <c r="AS412"/>
      <c r="AT412" s="447"/>
      <c r="AU412"/>
      <c r="AV412"/>
      <c r="AW412" s="447"/>
      <c r="AX412"/>
      <c r="AY412"/>
      <c r="AZ412" s="447"/>
      <c r="BA412"/>
      <c r="BB412"/>
      <c r="BC412" s="447"/>
      <c r="BD412"/>
      <c r="BE412"/>
    </row>
    <row r="413" spans="4:57">
      <c r="D413" s="447"/>
      <c r="G413" s="447"/>
      <c r="J413" s="447"/>
      <c r="M413" s="447"/>
      <c r="R413" s="447"/>
      <c r="S413"/>
      <c r="T413"/>
      <c r="U413" s="447"/>
      <c r="V413"/>
      <c r="W413"/>
      <c r="X413" s="447"/>
      <c r="Y413"/>
      <c r="Z413"/>
      <c r="AA413" s="447"/>
      <c r="AB413"/>
      <c r="AC413"/>
      <c r="AE413"/>
      <c r="AF413" s="447"/>
      <c r="AG413"/>
      <c r="AH413"/>
      <c r="AI413" s="447"/>
      <c r="AJ413"/>
      <c r="AK413"/>
      <c r="AL413" s="447"/>
      <c r="AM413"/>
      <c r="AN413"/>
      <c r="AO413" s="447"/>
      <c r="AP413"/>
      <c r="AQ413"/>
      <c r="AS413"/>
      <c r="AT413" s="447"/>
      <c r="AU413"/>
      <c r="AV413"/>
      <c r="AW413" s="447"/>
      <c r="AX413"/>
      <c r="AY413"/>
      <c r="AZ413" s="447"/>
      <c r="BA413"/>
      <c r="BB413"/>
      <c r="BC413" s="447"/>
      <c r="BD413"/>
      <c r="BE413"/>
    </row>
    <row r="414" spans="4:57">
      <c r="D414" s="447"/>
      <c r="G414" s="447"/>
      <c r="J414" s="447"/>
      <c r="M414" s="447"/>
      <c r="R414" s="447"/>
      <c r="S414"/>
      <c r="T414"/>
      <c r="U414" s="447"/>
      <c r="V414"/>
      <c r="W414"/>
      <c r="X414" s="447"/>
      <c r="Y414"/>
      <c r="Z414"/>
      <c r="AA414" s="447"/>
      <c r="AB414"/>
      <c r="AC414"/>
      <c r="AE414"/>
      <c r="AF414" s="447"/>
      <c r="AG414"/>
      <c r="AH414"/>
      <c r="AI414" s="447"/>
      <c r="AJ414"/>
      <c r="AK414"/>
      <c r="AL414" s="447"/>
      <c r="AM414"/>
      <c r="AN414"/>
      <c r="AO414" s="447"/>
      <c r="AP414"/>
      <c r="AQ414"/>
      <c r="AS414"/>
      <c r="AT414" s="447"/>
      <c r="AU414"/>
      <c r="AV414"/>
      <c r="AW414" s="447"/>
      <c r="AX414"/>
      <c r="AY414"/>
      <c r="AZ414" s="447"/>
      <c r="BA414"/>
      <c r="BB414"/>
      <c r="BC414" s="447"/>
      <c r="BD414"/>
      <c r="BE414"/>
    </row>
    <row r="415" spans="4:57">
      <c r="D415" s="447"/>
      <c r="G415" s="447"/>
      <c r="J415" s="447"/>
      <c r="M415" s="447"/>
      <c r="R415" s="447"/>
      <c r="S415"/>
      <c r="T415"/>
      <c r="U415" s="447"/>
      <c r="V415"/>
      <c r="W415"/>
      <c r="X415" s="447"/>
      <c r="Y415"/>
      <c r="Z415"/>
      <c r="AA415" s="447"/>
      <c r="AB415"/>
      <c r="AC415"/>
      <c r="AE415"/>
      <c r="AF415" s="447"/>
      <c r="AG415"/>
      <c r="AH415"/>
      <c r="AI415" s="447"/>
      <c r="AJ415"/>
      <c r="AK415"/>
      <c r="AL415" s="447"/>
      <c r="AM415"/>
      <c r="AN415"/>
      <c r="AO415" s="447"/>
      <c r="AP415"/>
      <c r="AQ415"/>
      <c r="AS415"/>
      <c r="AT415" s="447"/>
      <c r="AU415"/>
      <c r="AV415"/>
      <c r="AW415" s="447"/>
      <c r="AX415"/>
      <c r="AY415"/>
      <c r="AZ415" s="447"/>
      <c r="BA415"/>
      <c r="BB415"/>
      <c r="BC415" s="447"/>
      <c r="BD415"/>
      <c r="BE415"/>
    </row>
    <row r="416" spans="4:57">
      <c r="D416" s="447"/>
      <c r="G416" s="447"/>
      <c r="J416" s="447"/>
      <c r="M416" s="447"/>
      <c r="R416" s="447"/>
      <c r="S416"/>
      <c r="T416"/>
      <c r="U416" s="447"/>
      <c r="V416"/>
      <c r="W416"/>
      <c r="X416" s="447"/>
      <c r="Y416"/>
      <c r="Z416"/>
      <c r="AA416" s="447"/>
      <c r="AB416"/>
      <c r="AC416"/>
      <c r="AE416"/>
      <c r="AF416" s="447"/>
      <c r="AG416"/>
      <c r="AH416"/>
      <c r="AI416" s="447"/>
      <c r="AJ416"/>
      <c r="AK416"/>
      <c r="AL416" s="447"/>
      <c r="AM416"/>
      <c r="AN416"/>
      <c r="AO416" s="447"/>
      <c r="AP416"/>
      <c r="AQ416"/>
      <c r="AS416"/>
      <c r="AT416" s="447"/>
      <c r="AU416"/>
      <c r="AV416"/>
      <c r="AW416" s="447"/>
      <c r="AX416"/>
      <c r="AY416"/>
      <c r="AZ416" s="447"/>
      <c r="BA416"/>
      <c r="BB416"/>
      <c r="BC416" s="447"/>
      <c r="BD416"/>
      <c r="BE416"/>
    </row>
    <row r="417" spans="4:57">
      <c r="D417" s="447"/>
      <c r="G417" s="447"/>
      <c r="J417" s="447"/>
      <c r="M417" s="447"/>
      <c r="R417" s="447"/>
      <c r="S417"/>
      <c r="T417"/>
      <c r="U417" s="447"/>
      <c r="V417"/>
      <c r="W417"/>
      <c r="X417" s="447"/>
      <c r="Y417"/>
      <c r="Z417"/>
      <c r="AA417" s="447"/>
      <c r="AB417"/>
      <c r="AC417"/>
      <c r="AE417"/>
      <c r="AF417" s="447"/>
      <c r="AG417"/>
      <c r="AH417"/>
      <c r="AI417" s="447"/>
      <c r="AJ417"/>
      <c r="AK417"/>
      <c r="AL417" s="447"/>
      <c r="AM417"/>
      <c r="AN417"/>
      <c r="AO417" s="447"/>
      <c r="AP417"/>
      <c r="AQ417"/>
      <c r="AS417"/>
      <c r="AT417" s="447"/>
      <c r="AU417"/>
      <c r="AV417"/>
      <c r="AW417" s="447"/>
      <c r="AX417"/>
      <c r="AY417"/>
      <c r="AZ417" s="447"/>
      <c r="BA417"/>
      <c r="BB417"/>
      <c r="BC417" s="447"/>
      <c r="BD417"/>
      <c r="BE417"/>
    </row>
    <row r="418" spans="4:57">
      <c r="D418" s="447"/>
      <c r="G418" s="447"/>
      <c r="J418" s="447"/>
      <c r="M418" s="447"/>
      <c r="R418" s="447"/>
      <c r="S418"/>
      <c r="T418"/>
      <c r="U418" s="447"/>
      <c r="V418"/>
      <c r="W418"/>
      <c r="X418" s="447"/>
      <c r="Y418"/>
      <c r="Z418"/>
      <c r="AA418" s="447"/>
      <c r="AB418"/>
      <c r="AC418"/>
      <c r="AE418"/>
      <c r="AF418" s="447"/>
      <c r="AG418"/>
      <c r="AH418"/>
      <c r="AI418" s="447"/>
      <c r="AJ418"/>
      <c r="AK418"/>
      <c r="AL418" s="447"/>
      <c r="AM418"/>
      <c r="AN418"/>
      <c r="AO418" s="447"/>
      <c r="AP418"/>
      <c r="AQ418"/>
      <c r="AS418"/>
      <c r="AT418" s="447"/>
      <c r="AU418"/>
      <c r="AV418"/>
      <c r="AW418" s="447"/>
      <c r="AX418"/>
      <c r="AY418"/>
      <c r="AZ418" s="447"/>
      <c r="BA418"/>
      <c r="BB418"/>
      <c r="BC418" s="447"/>
      <c r="BD418"/>
      <c r="BE418"/>
    </row>
    <row r="419" spans="4:57">
      <c r="D419" s="447"/>
      <c r="G419" s="447"/>
      <c r="J419" s="447"/>
      <c r="M419" s="447"/>
      <c r="R419" s="447"/>
      <c r="S419"/>
      <c r="T419"/>
      <c r="U419" s="447"/>
      <c r="V419"/>
      <c r="W419"/>
      <c r="X419" s="447"/>
      <c r="Y419"/>
      <c r="Z419"/>
      <c r="AA419" s="447"/>
      <c r="AB419"/>
      <c r="AC419"/>
      <c r="AE419"/>
      <c r="AF419" s="447"/>
      <c r="AG419"/>
      <c r="AH419"/>
      <c r="AI419" s="447"/>
      <c r="AJ419"/>
      <c r="AK419"/>
      <c r="AL419" s="447"/>
      <c r="AM419"/>
      <c r="AN419"/>
      <c r="AO419" s="447"/>
      <c r="AP419"/>
      <c r="AQ419"/>
      <c r="AS419"/>
      <c r="AT419" s="447"/>
      <c r="AU419"/>
      <c r="AV419"/>
      <c r="AW419" s="447"/>
      <c r="AX419"/>
      <c r="AY419"/>
      <c r="AZ419" s="447"/>
      <c r="BA419"/>
      <c r="BB419"/>
      <c r="BC419" s="447"/>
      <c r="BD419"/>
      <c r="BE419"/>
    </row>
    <row r="420" spans="4:57">
      <c r="D420" s="447"/>
      <c r="G420" s="447"/>
      <c r="J420" s="447"/>
      <c r="M420" s="447"/>
      <c r="R420" s="447"/>
      <c r="S420"/>
      <c r="T420"/>
      <c r="U420" s="447"/>
      <c r="V420"/>
      <c r="W420"/>
      <c r="X420" s="447"/>
      <c r="Y420"/>
      <c r="Z420"/>
      <c r="AA420" s="447"/>
      <c r="AB420"/>
      <c r="AC420"/>
      <c r="AE420"/>
      <c r="AF420" s="447"/>
      <c r="AG420"/>
      <c r="AH420"/>
      <c r="AI420" s="447"/>
      <c r="AJ420"/>
      <c r="AK420"/>
      <c r="AL420" s="447"/>
      <c r="AM420"/>
      <c r="AN420"/>
      <c r="AO420" s="447"/>
      <c r="AP420"/>
      <c r="AQ420"/>
      <c r="AS420"/>
      <c r="AT420" s="447"/>
      <c r="AU420"/>
      <c r="AV420"/>
      <c r="AW420" s="447"/>
      <c r="AX420"/>
      <c r="AY420"/>
      <c r="AZ420" s="447"/>
      <c r="BA420"/>
      <c r="BB420"/>
      <c r="BC420" s="447"/>
      <c r="BD420"/>
      <c r="BE420"/>
    </row>
    <row r="421" spans="4:57">
      <c r="D421" s="447"/>
      <c r="G421" s="447"/>
      <c r="J421" s="447"/>
      <c r="M421" s="447"/>
      <c r="R421" s="447"/>
      <c r="S421"/>
      <c r="T421"/>
      <c r="U421" s="447"/>
      <c r="V421"/>
      <c r="W421"/>
      <c r="X421" s="447"/>
      <c r="Y421"/>
      <c r="Z421"/>
      <c r="AA421" s="447"/>
      <c r="AB421"/>
      <c r="AC421"/>
      <c r="AE421"/>
      <c r="AF421" s="447"/>
      <c r="AG421"/>
      <c r="AH421"/>
      <c r="AI421" s="447"/>
      <c r="AJ421"/>
      <c r="AK421"/>
      <c r="AL421" s="447"/>
      <c r="AM421"/>
      <c r="AN421"/>
      <c r="AO421" s="447"/>
      <c r="AP421"/>
      <c r="AQ421"/>
      <c r="AS421"/>
      <c r="AT421" s="447"/>
      <c r="AU421"/>
      <c r="AV421"/>
      <c r="AW421" s="447"/>
      <c r="AX421"/>
      <c r="AY421"/>
      <c r="AZ421" s="447"/>
      <c r="BA421"/>
      <c r="BB421"/>
      <c r="BC421" s="447"/>
      <c r="BD421"/>
      <c r="BE421"/>
    </row>
    <row r="422" spans="4:57">
      <c r="D422" s="447"/>
      <c r="G422" s="447"/>
      <c r="J422" s="447"/>
      <c r="M422" s="447"/>
      <c r="R422" s="447"/>
      <c r="S422"/>
      <c r="T422"/>
      <c r="U422" s="447"/>
      <c r="V422"/>
      <c r="W422"/>
      <c r="X422" s="447"/>
      <c r="Y422"/>
      <c r="Z422"/>
      <c r="AA422" s="447"/>
      <c r="AB422"/>
      <c r="AC422"/>
      <c r="AE422"/>
      <c r="AF422" s="447"/>
      <c r="AG422"/>
      <c r="AH422"/>
      <c r="AI422" s="447"/>
      <c r="AJ422"/>
      <c r="AK422"/>
      <c r="AL422" s="447"/>
      <c r="AM422"/>
      <c r="AN422"/>
      <c r="AO422" s="447"/>
      <c r="AP422"/>
      <c r="AQ422"/>
      <c r="AS422"/>
      <c r="AT422" s="447"/>
      <c r="AU422"/>
      <c r="AV422"/>
      <c r="AW422" s="447"/>
      <c r="AX422"/>
      <c r="AY422"/>
      <c r="AZ422" s="447"/>
      <c r="BA422"/>
      <c r="BB422"/>
      <c r="BC422" s="447"/>
      <c r="BD422"/>
      <c r="BE422"/>
    </row>
    <row r="423" spans="4:57">
      <c r="D423" s="447"/>
      <c r="G423" s="447"/>
      <c r="J423" s="447"/>
      <c r="M423" s="447"/>
      <c r="R423" s="447"/>
      <c r="S423"/>
      <c r="T423"/>
      <c r="U423" s="447"/>
      <c r="V423"/>
      <c r="W423"/>
      <c r="X423" s="447"/>
      <c r="Y423"/>
      <c r="Z423"/>
      <c r="AA423" s="447"/>
      <c r="AB423"/>
      <c r="AC423"/>
      <c r="AE423"/>
      <c r="AF423" s="447"/>
      <c r="AG423"/>
      <c r="AH423"/>
      <c r="AI423" s="447"/>
      <c r="AJ423"/>
      <c r="AK423"/>
      <c r="AL423" s="447"/>
      <c r="AM423"/>
      <c r="AN423"/>
      <c r="AO423" s="447"/>
      <c r="AP423"/>
      <c r="AQ423"/>
      <c r="AS423"/>
      <c r="AT423" s="447"/>
      <c r="AU423"/>
      <c r="AV423"/>
      <c r="AW423" s="447"/>
      <c r="AX423"/>
      <c r="AY423"/>
      <c r="AZ423" s="447"/>
      <c r="BA423"/>
      <c r="BB423"/>
      <c r="BC423" s="447"/>
      <c r="BD423"/>
      <c r="BE423"/>
    </row>
    <row r="424" spans="4:57">
      <c r="D424" s="447"/>
      <c r="G424" s="447"/>
      <c r="J424" s="447"/>
      <c r="M424" s="447"/>
      <c r="R424" s="447"/>
      <c r="S424"/>
      <c r="T424"/>
      <c r="U424" s="447"/>
      <c r="V424"/>
      <c r="W424"/>
      <c r="X424" s="447"/>
      <c r="Y424"/>
      <c r="Z424"/>
      <c r="AA424" s="447"/>
      <c r="AB424"/>
      <c r="AC424"/>
      <c r="AE424"/>
      <c r="AF424" s="447"/>
      <c r="AG424"/>
      <c r="AH424"/>
      <c r="AI424" s="447"/>
      <c r="AJ424"/>
      <c r="AK424"/>
      <c r="AL424" s="447"/>
      <c r="AM424"/>
      <c r="AN424"/>
      <c r="AO424" s="447"/>
      <c r="AP424"/>
      <c r="AQ424"/>
      <c r="AS424"/>
      <c r="AT424" s="447"/>
      <c r="AU424"/>
      <c r="AV424"/>
      <c r="AW424" s="447"/>
      <c r="AX424"/>
      <c r="AY424"/>
      <c r="AZ424" s="447"/>
      <c r="BA424"/>
      <c r="BB424"/>
      <c r="BC424" s="447"/>
      <c r="BD424"/>
      <c r="BE424"/>
    </row>
    <row r="425" spans="4:57">
      <c r="D425" s="447"/>
      <c r="G425" s="447"/>
      <c r="J425" s="447"/>
      <c r="M425" s="447"/>
      <c r="R425" s="447"/>
      <c r="S425"/>
      <c r="T425"/>
      <c r="U425" s="447"/>
      <c r="V425"/>
      <c r="W425"/>
      <c r="X425" s="447"/>
      <c r="Y425"/>
      <c r="Z425"/>
      <c r="AA425" s="447"/>
      <c r="AB425"/>
      <c r="AC425"/>
      <c r="AE425"/>
      <c r="AF425" s="447"/>
      <c r="AG425"/>
      <c r="AH425"/>
      <c r="AI425" s="447"/>
      <c r="AJ425"/>
      <c r="AK425"/>
      <c r="AL425" s="447"/>
      <c r="AM425"/>
      <c r="AN425"/>
      <c r="AO425" s="447"/>
      <c r="AP425"/>
      <c r="AQ425"/>
      <c r="AS425"/>
      <c r="AT425" s="447"/>
      <c r="AU425"/>
      <c r="AV425"/>
      <c r="AW425" s="447"/>
      <c r="AX425"/>
      <c r="AY425"/>
      <c r="AZ425" s="447"/>
      <c r="BA425"/>
      <c r="BB425"/>
      <c r="BC425" s="447"/>
      <c r="BD425"/>
      <c r="BE425"/>
    </row>
    <row r="426" spans="4:57">
      <c r="D426" s="447"/>
      <c r="G426" s="447"/>
      <c r="J426" s="447"/>
      <c r="M426" s="447"/>
      <c r="R426" s="447"/>
      <c r="S426"/>
      <c r="T426"/>
      <c r="U426" s="447"/>
      <c r="V426"/>
      <c r="W426"/>
      <c r="X426" s="447"/>
      <c r="Y426"/>
      <c r="Z426"/>
      <c r="AA426" s="447"/>
      <c r="AB426"/>
      <c r="AC426"/>
      <c r="AE426"/>
      <c r="AF426" s="447"/>
      <c r="AG426"/>
      <c r="AH426"/>
      <c r="AI426" s="447"/>
      <c r="AJ426"/>
      <c r="AK426"/>
      <c r="AL426" s="447"/>
      <c r="AM426"/>
      <c r="AN426"/>
      <c r="AO426" s="447"/>
      <c r="AP426"/>
      <c r="AQ426"/>
      <c r="AS426"/>
      <c r="AT426" s="447"/>
      <c r="AU426"/>
      <c r="AV426"/>
      <c r="AW426" s="447"/>
      <c r="AX426"/>
      <c r="AY426"/>
      <c r="AZ426" s="447"/>
      <c r="BA426"/>
      <c r="BB426"/>
      <c r="BC426" s="447"/>
      <c r="BD426"/>
      <c r="BE426"/>
    </row>
    <row r="427" spans="4:57">
      <c r="D427" s="447"/>
      <c r="G427" s="447"/>
      <c r="J427" s="447"/>
      <c r="M427" s="447"/>
      <c r="R427" s="447"/>
      <c r="S427"/>
      <c r="T427"/>
      <c r="U427" s="447"/>
      <c r="V427"/>
      <c r="W427"/>
      <c r="X427" s="447"/>
      <c r="Y427"/>
      <c r="Z427"/>
      <c r="AA427" s="447"/>
      <c r="AB427"/>
      <c r="AC427"/>
      <c r="AE427"/>
      <c r="AF427" s="447"/>
      <c r="AG427"/>
      <c r="AH427"/>
      <c r="AI427" s="447"/>
      <c r="AJ427"/>
      <c r="AK427"/>
      <c r="AL427" s="447"/>
      <c r="AM427"/>
      <c r="AN427"/>
      <c r="AO427" s="447"/>
      <c r="AP427"/>
      <c r="AQ427"/>
      <c r="AS427"/>
      <c r="AT427" s="447"/>
      <c r="AU427"/>
      <c r="AV427"/>
      <c r="AW427" s="447"/>
      <c r="AX427"/>
      <c r="AY427"/>
      <c r="AZ427" s="447"/>
      <c r="BA427"/>
      <c r="BB427"/>
      <c r="BC427" s="447"/>
      <c r="BD427"/>
      <c r="BE427"/>
    </row>
    <row r="428" spans="4:57">
      <c r="D428" s="447"/>
      <c r="G428" s="447"/>
      <c r="J428" s="447"/>
      <c r="M428" s="447"/>
      <c r="R428" s="447"/>
      <c r="S428"/>
      <c r="T428"/>
      <c r="U428" s="447"/>
      <c r="V428"/>
      <c r="W428"/>
      <c r="X428" s="447"/>
      <c r="Y428"/>
      <c r="Z428"/>
      <c r="AA428" s="447"/>
      <c r="AB428"/>
      <c r="AC428"/>
      <c r="AE428"/>
      <c r="AF428" s="447"/>
      <c r="AG428"/>
      <c r="AH428"/>
      <c r="AI428" s="447"/>
      <c r="AJ428"/>
      <c r="AK428"/>
      <c r="AL428" s="447"/>
      <c r="AM428"/>
      <c r="AN428"/>
      <c r="AO428" s="447"/>
      <c r="AP428"/>
      <c r="AQ428"/>
      <c r="AS428"/>
      <c r="AT428" s="447"/>
      <c r="AU428"/>
      <c r="AV428"/>
      <c r="AW428" s="447"/>
      <c r="AX428"/>
      <c r="AY428"/>
      <c r="AZ428" s="447"/>
      <c r="BA428"/>
      <c r="BB428"/>
      <c r="BC428" s="447"/>
      <c r="BD428"/>
      <c r="BE428"/>
    </row>
    <row r="429" spans="4:57">
      <c r="D429" s="447"/>
      <c r="G429" s="447"/>
      <c r="J429" s="447"/>
      <c r="M429" s="447"/>
      <c r="R429" s="447"/>
      <c r="S429"/>
      <c r="T429"/>
      <c r="U429" s="447"/>
      <c r="V429"/>
      <c r="W429"/>
      <c r="X429" s="447"/>
      <c r="Y429"/>
      <c r="Z429"/>
      <c r="AA429" s="447"/>
      <c r="AB429"/>
      <c r="AC429"/>
      <c r="AE429"/>
      <c r="AF429" s="447"/>
      <c r="AG429"/>
      <c r="AH429"/>
      <c r="AI429" s="447"/>
      <c r="AJ429"/>
      <c r="AK429"/>
      <c r="AL429" s="447"/>
      <c r="AM429"/>
      <c r="AN429"/>
      <c r="AO429" s="447"/>
      <c r="AP429"/>
      <c r="AQ429"/>
      <c r="AS429"/>
      <c r="AT429" s="447"/>
      <c r="AU429"/>
      <c r="AV429"/>
      <c r="AW429" s="447"/>
      <c r="AX429"/>
      <c r="AY429"/>
      <c r="AZ429" s="447"/>
      <c r="BA429"/>
      <c r="BB429"/>
      <c r="BC429" s="447"/>
      <c r="BD429"/>
      <c r="BE429"/>
    </row>
    <row r="430" spans="4:57">
      <c r="D430" s="447"/>
      <c r="G430" s="447"/>
      <c r="J430" s="447"/>
      <c r="M430" s="447"/>
      <c r="R430" s="447"/>
      <c r="S430"/>
      <c r="T430"/>
      <c r="U430" s="447"/>
      <c r="V430"/>
      <c r="W430"/>
      <c r="X430" s="447"/>
      <c r="Y430"/>
      <c r="Z430"/>
      <c r="AA430" s="447"/>
      <c r="AB430"/>
      <c r="AC430"/>
      <c r="AE430"/>
      <c r="AF430" s="447"/>
      <c r="AG430"/>
      <c r="AH430"/>
      <c r="AI430" s="447"/>
      <c r="AJ430"/>
      <c r="AK430"/>
      <c r="AL430" s="447"/>
      <c r="AM430"/>
      <c r="AN430"/>
      <c r="AO430" s="447"/>
      <c r="AP430"/>
      <c r="AQ430"/>
      <c r="AS430"/>
      <c r="AT430" s="447"/>
      <c r="AU430"/>
      <c r="AV430"/>
      <c r="AW430" s="447"/>
      <c r="AX430"/>
      <c r="AY430"/>
      <c r="AZ430" s="447"/>
      <c r="BA430"/>
      <c r="BB430"/>
      <c r="BC430" s="447"/>
      <c r="BD430"/>
      <c r="BE430"/>
    </row>
    <row r="431" spans="4:57">
      <c r="D431" s="447"/>
      <c r="G431" s="447"/>
      <c r="J431" s="447"/>
      <c r="M431" s="447"/>
      <c r="R431" s="447"/>
      <c r="S431"/>
      <c r="T431"/>
      <c r="U431" s="447"/>
      <c r="V431"/>
      <c r="W431"/>
      <c r="X431" s="447"/>
      <c r="Y431"/>
      <c r="Z431"/>
      <c r="AA431" s="447"/>
      <c r="AB431"/>
      <c r="AC431"/>
      <c r="AE431"/>
      <c r="AF431" s="447"/>
      <c r="AG431"/>
      <c r="AH431"/>
      <c r="AI431" s="447"/>
      <c r="AJ431"/>
      <c r="AK431"/>
      <c r="AL431" s="447"/>
      <c r="AM431"/>
      <c r="AN431"/>
      <c r="AO431" s="447"/>
      <c r="AP431"/>
      <c r="AQ431"/>
      <c r="AS431"/>
      <c r="AT431" s="447"/>
      <c r="AU431"/>
      <c r="AV431"/>
      <c r="AW431" s="447"/>
      <c r="AX431"/>
      <c r="AY431"/>
      <c r="AZ431" s="447"/>
      <c r="BA431"/>
      <c r="BB431"/>
      <c r="BC431" s="447"/>
      <c r="BD431"/>
      <c r="BE431"/>
    </row>
    <row r="432" spans="4:57">
      <c r="D432" s="447"/>
      <c r="G432" s="447"/>
      <c r="J432" s="447"/>
      <c r="M432" s="447"/>
      <c r="R432" s="447"/>
      <c r="S432"/>
      <c r="T432"/>
      <c r="U432" s="447"/>
      <c r="V432"/>
      <c r="W432"/>
      <c r="X432" s="447"/>
      <c r="Y432"/>
      <c r="Z432"/>
      <c r="AA432" s="447"/>
      <c r="AB432"/>
      <c r="AC432"/>
      <c r="AE432"/>
      <c r="AF432" s="447"/>
      <c r="AG432"/>
      <c r="AH432"/>
      <c r="AI432" s="447"/>
      <c r="AJ432"/>
      <c r="AK432"/>
      <c r="AL432" s="447"/>
      <c r="AM432"/>
      <c r="AN432"/>
      <c r="AO432" s="447"/>
      <c r="AP432"/>
      <c r="AQ432"/>
      <c r="AS432"/>
      <c r="AT432" s="447"/>
      <c r="AU432"/>
      <c r="AV432"/>
      <c r="AW432" s="447"/>
      <c r="AX432"/>
      <c r="AY432"/>
      <c r="AZ432" s="447"/>
      <c r="BA432"/>
      <c r="BB432"/>
      <c r="BC432" s="447"/>
      <c r="BD432"/>
      <c r="BE432"/>
    </row>
    <row r="433" spans="4:57">
      <c r="D433" s="447"/>
      <c r="G433" s="447"/>
      <c r="J433" s="447"/>
      <c r="M433" s="447"/>
      <c r="R433" s="447"/>
      <c r="S433"/>
      <c r="T433"/>
      <c r="U433" s="447"/>
      <c r="V433"/>
      <c r="W433"/>
      <c r="X433" s="447"/>
      <c r="Y433"/>
      <c r="Z433"/>
      <c r="AA433" s="447"/>
      <c r="AB433"/>
      <c r="AC433"/>
      <c r="AE433"/>
      <c r="AF433" s="447"/>
      <c r="AG433"/>
      <c r="AH433"/>
      <c r="AI433" s="447"/>
      <c r="AJ433"/>
      <c r="AK433"/>
      <c r="AL433" s="447"/>
      <c r="AM433"/>
      <c r="AN433"/>
      <c r="AO433" s="447"/>
      <c r="AP433"/>
      <c r="AQ433"/>
      <c r="AS433"/>
      <c r="AT433" s="447"/>
      <c r="AU433"/>
      <c r="AV433"/>
      <c r="AW433" s="447"/>
      <c r="AX433"/>
      <c r="AY433"/>
      <c r="AZ433" s="447"/>
      <c r="BA433"/>
      <c r="BB433"/>
      <c r="BC433" s="447"/>
      <c r="BD433"/>
      <c r="BE433"/>
    </row>
    <row r="434" spans="4:57">
      <c r="D434" s="447"/>
      <c r="G434" s="447"/>
      <c r="J434" s="447"/>
      <c r="M434" s="447"/>
      <c r="R434" s="447"/>
      <c r="S434"/>
      <c r="T434"/>
      <c r="U434" s="447"/>
      <c r="V434"/>
      <c r="W434"/>
      <c r="X434" s="447"/>
      <c r="Y434"/>
      <c r="Z434"/>
      <c r="AA434" s="447"/>
      <c r="AB434"/>
      <c r="AC434"/>
      <c r="AE434"/>
      <c r="AF434" s="447"/>
      <c r="AG434"/>
      <c r="AH434"/>
      <c r="AI434" s="447"/>
      <c r="AJ434"/>
      <c r="AK434"/>
      <c r="AL434" s="447"/>
      <c r="AM434"/>
      <c r="AN434"/>
      <c r="AO434" s="447"/>
      <c r="AP434"/>
      <c r="AQ434"/>
      <c r="AS434"/>
      <c r="AT434" s="447"/>
      <c r="AU434"/>
      <c r="AV434"/>
      <c r="AW434" s="447"/>
      <c r="AX434"/>
      <c r="AY434"/>
      <c r="AZ434" s="447"/>
      <c r="BA434"/>
      <c r="BB434"/>
      <c r="BC434" s="447"/>
      <c r="BD434"/>
      <c r="BE434"/>
    </row>
    <row r="435" spans="4:57">
      <c r="D435" s="447"/>
      <c r="G435" s="447"/>
      <c r="J435" s="447"/>
      <c r="M435" s="447"/>
      <c r="R435" s="447"/>
      <c r="S435"/>
      <c r="T435"/>
      <c r="U435" s="447"/>
      <c r="V435"/>
      <c r="W435"/>
      <c r="X435" s="447"/>
      <c r="Y435"/>
      <c r="Z435"/>
      <c r="AA435" s="447"/>
      <c r="AB435"/>
      <c r="AC435"/>
      <c r="AE435"/>
      <c r="AF435" s="447"/>
      <c r="AG435"/>
      <c r="AH435"/>
      <c r="AI435" s="447"/>
      <c r="AJ435"/>
      <c r="AK435"/>
      <c r="AL435" s="447"/>
      <c r="AM435"/>
      <c r="AN435"/>
      <c r="AO435" s="447"/>
      <c r="AP435"/>
      <c r="AQ435"/>
      <c r="AS435"/>
      <c r="AT435" s="447"/>
      <c r="AU435"/>
      <c r="AV435"/>
      <c r="AW435" s="447"/>
      <c r="AX435"/>
      <c r="AY435"/>
      <c r="AZ435" s="447"/>
      <c r="BA435"/>
      <c r="BB435"/>
      <c r="BC435" s="447"/>
      <c r="BD435"/>
      <c r="BE435"/>
    </row>
    <row r="436" spans="4:57">
      <c r="D436" s="447"/>
      <c r="G436" s="447"/>
      <c r="J436" s="447"/>
      <c r="M436" s="447"/>
      <c r="R436" s="447"/>
      <c r="S436"/>
      <c r="T436"/>
      <c r="U436" s="447"/>
      <c r="V436"/>
      <c r="W436"/>
      <c r="X436" s="447"/>
      <c r="Y436"/>
      <c r="Z436"/>
      <c r="AA436" s="447"/>
      <c r="AB436"/>
      <c r="AC436"/>
      <c r="AE436"/>
      <c r="AF436" s="447"/>
      <c r="AG436"/>
      <c r="AH436"/>
      <c r="AI436" s="447"/>
      <c r="AJ436"/>
      <c r="AK436"/>
      <c r="AL436" s="447"/>
      <c r="AM436"/>
      <c r="AN436"/>
      <c r="AO436" s="447"/>
      <c r="AP436"/>
      <c r="AQ436"/>
      <c r="AS436"/>
      <c r="AT436" s="447"/>
      <c r="AU436"/>
      <c r="AV436"/>
      <c r="AW436" s="447"/>
      <c r="AX436"/>
      <c r="AY436"/>
      <c r="AZ436" s="447"/>
      <c r="BA436"/>
      <c r="BB436"/>
      <c r="BC436" s="447"/>
      <c r="BD436"/>
      <c r="BE436"/>
    </row>
    <row r="437" spans="4:57">
      <c r="D437" s="447"/>
      <c r="G437" s="447"/>
      <c r="J437" s="447"/>
      <c r="M437" s="447"/>
      <c r="R437" s="447"/>
      <c r="S437"/>
      <c r="T437"/>
      <c r="U437" s="447"/>
      <c r="V437"/>
      <c r="W437"/>
      <c r="X437" s="447"/>
      <c r="Y437"/>
      <c r="Z437"/>
      <c r="AA437" s="447"/>
      <c r="AB437"/>
      <c r="AC437"/>
      <c r="AE437"/>
      <c r="AF437" s="447"/>
      <c r="AG437"/>
      <c r="AH437"/>
      <c r="AI437" s="447"/>
      <c r="AJ437"/>
      <c r="AK437"/>
      <c r="AL437" s="447"/>
      <c r="AM437"/>
      <c r="AN437"/>
      <c r="AO437" s="447"/>
      <c r="AP437"/>
      <c r="AQ437"/>
      <c r="AS437"/>
      <c r="AT437" s="447"/>
      <c r="AU437"/>
      <c r="AV437"/>
      <c r="AW437" s="447"/>
      <c r="AX437"/>
      <c r="AY437"/>
      <c r="AZ437" s="447"/>
      <c r="BA437"/>
      <c r="BB437"/>
      <c r="BC437" s="447"/>
      <c r="BD437"/>
      <c r="BE437"/>
    </row>
    <row r="438" spans="4:57">
      <c r="D438" s="447"/>
      <c r="G438" s="447"/>
      <c r="J438" s="447"/>
      <c r="M438" s="447"/>
      <c r="R438" s="447"/>
      <c r="S438"/>
      <c r="T438"/>
      <c r="U438" s="447"/>
      <c r="V438"/>
      <c r="W438"/>
      <c r="X438" s="447"/>
      <c r="Y438"/>
      <c r="Z438"/>
      <c r="AA438" s="447"/>
      <c r="AB438"/>
      <c r="AC438"/>
      <c r="AE438"/>
      <c r="AF438" s="447"/>
      <c r="AG438"/>
      <c r="AH438"/>
      <c r="AI438" s="447"/>
      <c r="AJ438"/>
      <c r="AK438"/>
      <c r="AL438" s="447"/>
      <c r="AM438"/>
      <c r="AN438"/>
      <c r="AO438" s="447"/>
      <c r="AP438"/>
      <c r="AQ438"/>
      <c r="AS438"/>
      <c r="AT438" s="447"/>
      <c r="AU438"/>
      <c r="AV438"/>
      <c r="AW438" s="447"/>
      <c r="AX438"/>
      <c r="AY438"/>
      <c r="AZ438" s="447"/>
      <c r="BA438"/>
      <c r="BB438"/>
      <c r="BC438" s="447"/>
      <c r="BD438"/>
      <c r="BE438"/>
    </row>
    <row r="439" spans="4:57">
      <c r="D439" s="447"/>
      <c r="G439" s="447"/>
      <c r="J439" s="447"/>
      <c r="M439" s="447"/>
      <c r="R439" s="447"/>
      <c r="S439"/>
      <c r="T439"/>
      <c r="U439" s="447"/>
      <c r="V439"/>
      <c r="W439"/>
      <c r="X439" s="447"/>
      <c r="Y439"/>
      <c r="Z439"/>
      <c r="AA439" s="447"/>
      <c r="AB439"/>
      <c r="AC439"/>
      <c r="AE439"/>
      <c r="AF439" s="447"/>
      <c r="AG439"/>
      <c r="AH439"/>
      <c r="AI439" s="447"/>
      <c r="AJ439"/>
      <c r="AK439"/>
      <c r="AL439" s="447"/>
      <c r="AM439"/>
      <c r="AN439"/>
      <c r="AO439" s="447"/>
      <c r="AP439"/>
      <c r="AQ439"/>
      <c r="AS439"/>
      <c r="AT439" s="447"/>
      <c r="AU439"/>
      <c r="AV439"/>
      <c r="AW439" s="447"/>
      <c r="AX439"/>
      <c r="AY439"/>
      <c r="AZ439" s="447"/>
      <c r="BA439"/>
      <c r="BB439"/>
      <c r="BC439" s="447"/>
      <c r="BD439"/>
      <c r="BE439"/>
    </row>
    <row r="440" spans="4:57">
      <c r="D440" s="447"/>
      <c r="G440" s="447"/>
      <c r="J440" s="447"/>
      <c r="M440" s="447"/>
      <c r="R440" s="447"/>
      <c r="S440"/>
      <c r="T440"/>
      <c r="U440" s="447"/>
      <c r="V440"/>
      <c r="W440"/>
      <c r="X440" s="447"/>
      <c r="Y440"/>
      <c r="Z440"/>
      <c r="AA440" s="447"/>
      <c r="AB440"/>
      <c r="AC440"/>
      <c r="AE440"/>
      <c r="AF440" s="447"/>
      <c r="AG440"/>
      <c r="AH440"/>
      <c r="AI440" s="447"/>
      <c r="AJ440"/>
      <c r="AK440"/>
      <c r="AL440" s="447"/>
      <c r="AM440"/>
      <c r="AN440"/>
      <c r="AO440" s="447"/>
      <c r="AP440"/>
      <c r="AQ440"/>
      <c r="AS440"/>
      <c r="AT440" s="447"/>
      <c r="AU440"/>
      <c r="AV440"/>
      <c r="AW440" s="447"/>
      <c r="AX440"/>
      <c r="AY440"/>
      <c r="AZ440" s="447"/>
      <c r="BA440"/>
      <c r="BB440"/>
      <c r="BC440" s="447"/>
      <c r="BD440"/>
      <c r="BE440"/>
    </row>
    <row r="441" spans="4:57">
      <c r="D441" s="447"/>
      <c r="G441" s="447"/>
      <c r="J441" s="447"/>
      <c r="M441" s="447"/>
      <c r="R441" s="447"/>
      <c r="S441"/>
      <c r="T441"/>
      <c r="U441" s="447"/>
      <c r="V441"/>
      <c r="W441"/>
      <c r="X441" s="447"/>
      <c r="Y441"/>
      <c r="Z441"/>
      <c r="AA441" s="447"/>
      <c r="AB441"/>
      <c r="AC441"/>
      <c r="AE441"/>
      <c r="AF441" s="447"/>
      <c r="AG441"/>
      <c r="AH441"/>
      <c r="AI441" s="447"/>
      <c r="AJ441"/>
      <c r="AK441"/>
      <c r="AL441" s="447"/>
      <c r="AM441"/>
      <c r="AN441"/>
      <c r="AO441" s="447"/>
      <c r="AP441"/>
      <c r="AQ441"/>
      <c r="AS441"/>
      <c r="AT441" s="447"/>
      <c r="AU441"/>
      <c r="AV441"/>
      <c r="AW441" s="447"/>
      <c r="AX441"/>
      <c r="AY441"/>
      <c r="AZ441" s="447"/>
      <c r="BA441"/>
      <c r="BB441"/>
      <c r="BC441" s="447"/>
      <c r="BD441"/>
      <c r="BE441"/>
    </row>
    <row r="442" spans="4:57">
      <c r="D442" s="447"/>
      <c r="G442" s="447"/>
      <c r="J442" s="447"/>
      <c r="M442" s="447"/>
      <c r="R442" s="447"/>
      <c r="S442"/>
      <c r="T442"/>
      <c r="U442" s="447"/>
      <c r="V442"/>
      <c r="W442"/>
      <c r="X442" s="447"/>
      <c r="Y442"/>
      <c r="Z442"/>
      <c r="AA442" s="447"/>
      <c r="AB442"/>
      <c r="AC442"/>
      <c r="AE442"/>
      <c r="AF442" s="447"/>
      <c r="AG442"/>
      <c r="AH442"/>
      <c r="AI442" s="447"/>
      <c r="AJ442"/>
      <c r="AK442"/>
      <c r="AL442" s="447"/>
      <c r="AM442"/>
      <c r="AN442"/>
      <c r="AO442" s="447"/>
      <c r="AP442"/>
      <c r="AQ442"/>
      <c r="AS442"/>
      <c r="AT442" s="447"/>
      <c r="AU442"/>
      <c r="AV442"/>
      <c r="AW442" s="447"/>
      <c r="AX442"/>
      <c r="AY442"/>
      <c r="AZ442" s="447"/>
      <c r="BA442"/>
      <c r="BB442"/>
      <c r="BC442" s="447"/>
      <c r="BD442"/>
      <c r="BE442"/>
    </row>
    <row r="443" spans="4:57">
      <c r="D443" s="447"/>
      <c r="G443" s="447"/>
      <c r="J443" s="447"/>
      <c r="M443" s="447"/>
      <c r="R443" s="447"/>
      <c r="S443"/>
      <c r="T443"/>
      <c r="U443" s="447"/>
      <c r="V443"/>
      <c r="W443"/>
      <c r="X443" s="447"/>
      <c r="Y443"/>
      <c r="Z443"/>
      <c r="AA443" s="447"/>
      <c r="AB443"/>
      <c r="AC443"/>
      <c r="AE443"/>
      <c r="AF443" s="447"/>
      <c r="AG443"/>
      <c r="AH443"/>
      <c r="AI443" s="447"/>
      <c r="AJ443"/>
      <c r="AK443"/>
      <c r="AL443" s="447"/>
      <c r="AM443"/>
      <c r="AN443"/>
      <c r="AO443" s="447"/>
      <c r="AP443"/>
      <c r="AQ443"/>
      <c r="AS443"/>
      <c r="AT443" s="447"/>
      <c r="AU443"/>
      <c r="AV443"/>
      <c r="AW443" s="447"/>
      <c r="AX443"/>
      <c r="AY443"/>
      <c r="AZ443" s="447"/>
      <c r="BA443"/>
      <c r="BB443"/>
      <c r="BC443" s="447"/>
      <c r="BD443"/>
      <c r="BE443"/>
    </row>
    <row r="444" spans="4:57">
      <c r="D444" s="447"/>
      <c r="G444" s="447"/>
      <c r="J444" s="447"/>
      <c r="M444" s="447"/>
      <c r="R444" s="447"/>
      <c r="S444"/>
      <c r="T444"/>
      <c r="U444" s="447"/>
      <c r="V444"/>
      <c r="W444"/>
      <c r="X444" s="447"/>
      <c r="Y444"/>
      <c r="Z444"/>
      <c r="AA444" s="447"/>
      <c r="AB444"/>
      <c r="AC444"/>
      <c r="AE444"/>
      <c r="AF444" s="447"/>
      <c r="AG444"/>
      <c r="AH444"/>
      <c r="AI444" s="447"/>
      <c r="AJ444"/>
      <c r="AK444"/>
      <c r="AL444" s="447"/>
      <c r="AM444"/>
      <c r="AN444"/>
      <c r="AO444" s="447"/>
      <c r="AP444"/>
      <c r="AQ444"/>
      <c r="AS444"/>
      <c r="AT444" s="447"/>
      <c r="AU444"/>
      <c r="AV444"/>
      <c r="AW444" s="447"/>
      <c r="AX444"/>
      <c r="AY444"/>
      <c r="AZ444" s="447"/>
      <c r="BA444"/>
      <c r="BB444"/>
      <c r="BC444" s="447"/>
      <c r="BD444"/>
      <c r="BE444"/>
    </row>
    <row r="445" spans="4:57">
      <c r="D445" s="447"/>
      <c r="G445" s="447"/>
      <c r="J445" s="447"/>
      <c r="M445" s="447"/>
      <c r="R445" s="447"/>
      <c r="S445"/>
      <c r="T445"/>
      <c r="U445" s="447"/>
      <c r="V445"/>
      <c r="W445"/>
      <c r="X445" s="447"/>
      <c r="Y445"/>
      <c r="Z445"/>
      <c r="AA445" s="447"/>
      <c r="AB445"/>
      <c r="AC445"/>
      <c r="AE445"/>
      <c r="AF445" s="447"/>
      <c r="AG445"/>
      <c r="AH445"/>
      <c r="AI445" s="447"/>
      <c r="AJ445"/>
      <c r="AK445"/>
      <c r="AL445" s="447"/>
      <c r="AM445"/>
      <c r="AN445"/>
      <c r="AO445" s="447"/>
      <c r="AP445"/>
      <c r="AQ445"/>
      <c r="AS445"/>
      <c r="AT445" s="447"/>
      <c r="AU445"/>
      <c r="AV445"/>
      <c r="AW445" s="447"/>
      <c r="AX445"/>
      <c r="AY445"/>
      <c r="AZ445" s="447"/>
      <c r="BA445"/>
      <c r="BB445"/>
      <c r="BC445" s="447"/>
      <c r="BD445"/>
      <c r="BE445"/>
    </row>
    <row r="446" spans="4:57">
      <c r="D446" s="447"/>
      <c r="G446" s="447"/>
      <c r="J446" s="447"/>
      <c r="M446" s="447"/>
      <c r="R446" s="447"/>
      <c r="S446"/>
      <c r="T446"/>
      <c r="U446" s="447"/>
      <c r="V446"/>
      <c r="W446"/>
      <c r="X446" s="447"/>
      <c r="Y446"/>
      <c r="Z446"/>
      <c r="AA446" s="447"/>
      <c r="AB446"/>
      <c r="AC446"/>
      <c r="AE446"/>
      <c r="AF446" s="447"/>
      <c r="AG446"/>
      <c r="AH446"/>
      <c r="AI446" s="447"/>
      <c r="AJ446"/>
      <c r="AK446"/>
      <c r="AL446" s="447"/>
      <c r="AM446"/>
      <c r="AN446"/>
      <c r="AO446" s="447"/>
      <c r="AP446"/>
      <c r="AQ446"/>
      <c r="AS446"/>
      <c r="AT446" s="447"/>
      <c r="AU446"/>
      <c r="AV446"/>
      <c r="AW446" s="447"/>
      <c r="AX446"/>
      <c r="AY446"/>
      <c r="AZ446" s="447"/>
      <c r="BA446"/>
      <c r="BB446"/>
      <c r="BC446" s="447"/>
      <c r="BD446"/>
      <c r="BE446"/>
    </row>
    <row r="447" spans="4:57">
      <c r="D447" s="447"/>
      <c r="G447" s="447"/>
      <c r="J447" s="447"/>
      <c r="M447" s="447"/>
      <c r="R447" s="447"/>
      <c r="S447"/>
      <c r="T447"/>
      <c r="U447" s="447"/>
      <c r="V447"/>
      <c r="W447"/>
      <c r="X447" s="447"/>
      <c r="Y447"/>
      <c r="Z447"/>
      <c r="AA447" s="447"/>
      <c r="AB447"/>
      <c r="AC447"/>
      <c r="AE447"/>
      <c r="AF447" s="447"/>
      <c r="AG447"/>
      <c r="AH447"/>
      <c r="AI447" s="447"/>
      <c r="AJ447"/>
      <c r="AK447"/>
      <c r="AL447" s="447"/>
      <c r="AM447"/>
      <c r="AN447"/>
      <c r="AO447" s="447"/>
      <c r="AP447"/>
      <c r="AQ447"/>
      <c r="AS447"/>
      <c r="AT447" s="447"/>
      <c r="AU447"/>
      <c r="AV447"/>
      <c r="AW447" s="447"/>
      <c r="AX447"/>
      <c r="AY447"/>
      <c r="AZ447" s="447"/>
      <c r="BA447"/>
      <c r="BB447"/>
      <c r="BC447" s="447"/>
      <c r="BD447"/>
      <c r="BE447"/>
    </row>
    <row r="448" spans="4:57">
      <c r="D448" s="447"/>
      <c r="G448" s="447"/>
      <c r="J448" s="447"/>
      <c r="M448" s="447"/>
      <c r="R448" s="447"/>
      <c r="S448"/>
      <c r="T448"/>
      <c r="U448" s="447"/>
      <c r="V448"/>
      <c r="W448"/>
      <c r="X448" s="447"/>
      <c r="Y448"/>
      <c r="Z448"/>
      <c r="AA448" s="447"/>
      <c r="AB448"/>
      <c r="AC448"/>
      <c r="AE448"/>
      <c r="AF448" s="447"/>
      <c r="AG448"/>
      <c r="AH448"/>
      <c r="AI448" s="447"/>
      <c r="AJ448"/>
      <c r="AK448"/>
      <c r="AL448" s="447"/>
      <c r="AM448"/>
      <c r="AN448"/>
      <c r="AO448" s="447"/>
      <c r="AP448"/>
      <c r="AQ448"/>
      <c r="AS448"/>
      <c r="AT448" s="447"/>
      <c r="AU448"/>
      <c r="AV448"/>
      <c r="AW448" s="447"/>
      <c r="AX448"/>
      <c r="AY448"/>
      <c r="AZ448" s="447"/>
      <c r="BA448"/>
      <c r="BB448"/>
      <c r="BC448" s="447"/>
      <c r="BD448"/>
      <c r="BE448"/>
    </row>
    <row r="449" spans="4:57">
      <c r="D449" s="447"/>
      <c r="G449" s="447"/>
      <c r="J449" s="447"/>
      <c r="M449" s="447"/>
      <c r="R449" s="447"/>
      <c r="S449"/>
      <c r="T449"/>
      <c r="U449" s="447"/>
      <c r="V449"/>
      <c r="W449"/>
      <c r="X449" s="447"/>
      <c r="Y449"/>
      <c r="Z449"/>
      <c r="AA449" s="447"/>
      <c r="AB449"/>
      <c r="AC449"/>
      <c r="AE449"/>
      <c r="AF449" s="447"/>
      <c r="AG449"/>
      <c r="AH449"/>
      <c r="AI449" s="447"/>
      <c r="AJ449"/>
      <c r="AK449"/>
      <c r="AL449" s="447"/>
      <c r="AM449"/>
      <c r="AN449"/>
      <c r="AO449" s="447"/>
      <c r="AP449"/>
      <c r="AQ449"/>
      <c r="AS449"/>
      <c r="AT449" s="447"/>
      <c r="AU449"/>
      <c r="AV449"/>
      <c r="AW449" s="447"/>
      <c r="AX449"/>
      <c r="AY449"/>
      <c r="AZ449" s="447"/>
      <c r="BA449"/>
      <c r="BB449"/>
      <c r="BC449" s="447"/>
      <c r="BD449"/>
      <c r="BE449"/>
    </row>
    <row r="450" spans="4:57">
      <c r="D450" s="447"/>
      <c r="G450" s="447"/>
      <c r="J450" s="447"/>
      <c r="M450" s="447"/>
      <c r="R450" s="447"/>
      <c r="S450"/>
      <c r="T450"/>
      <c r="U450" s="447"/>
      <c r="V450"/>
      <c r="W450"/>
      <c r="X450" s="447"/>
      <c r="Y450"/>
      <c r="Z450"/>
      <c r="AA450" s="447"/>
      <c r="AB450"/>
      <c r="AC450"/>
      <c r="AE450"/>
      <c r="AF450" s="447"/>
      <c r="AG450"/>
      <c r="AH450"/>
      <c r="AI450" s="447"/>
      <c r="AJ450"/>
      <c r="AK450"/>
      <c r="AL450" s="447"/>
      <c r="AM450"/>
      <c r="AN450"/>
      <c r="AO450" s="447"/>
      <c r="AP450"/>
      <c r="AQ450"/>
      <c r="AS450"/>
      <c r="AT450" s="447"/>
      <c r="AU450"/>
      <c r="AV450"/>
      <c r="AW450" s="447"/>
      <c r="AX450"/>
      <c r="AY450"/>
      <c r="AZ450" s="447"/>
      <c r="BA450"/>
      <c r="BB450"/>
      <c r="BC450" s="447"/>
      <c r="BD450"/>
      <c r="BE450"/>
    </row>
    <row r="451" spans="4:57">
      <c r="D451" s="447"/>
      <c r="G451" s="447"/>
      <c r="J451" s="447"/>
      <c r="M451" s="447"/>
      <c r="R451" s="447"/>
      <c r="S451"/>
      <c r="T451"/>
      <c r="U451" s="447"/>
      <c r="V451"/>
      <c r="W451"/>
      <c r="X451" s="447"/>
      <c r="Y451"/>
      <c r="Z451"/>
      <c r="AA451" s="447"/>
      <c r="AB451"/>
      <c r="AC451"/>
      <c r="AE451"/>
      <c r="AF451" s="447"/>
      <c r="AG451"/>
      <c r="AH451"/>
      <c r="AI451" s="447"/>
      <c r="AJ451"/>
      <c r="AK451"/>
      <c r="AL451" s="447"/>
      <c r="AM451"/>
      <c r="AN451"/>
      <c r="AO451" s="447"/>
      <c r="AP451"/>
      <c r="AQ451"/>
      <c r="AS451"/>
      <c r="AT451" s="447"/>
      <c r="AU451"/>
      <c r="AV451"/>
      <c r="AW451" s="447"/>
      <c r="AX451"/>
      <c r="AY451"/>
      <c r="AZ451" s="447"/>
      <c r="BA451"/>
      <c r="BB451"/>
      <c r="BC451" s="447"/>
      <c r="BD451"/>
      <c r="BE451"/>
    </row>
    <row r="452" spans="4:57">
      <c r="D452" s="447"/>
      <c r="G452" s="447"/>
      <c r="J452" s="447"/>
      <c r="M452" s="447"/>
      <c r="R452" s="447"/>
      <c r="S452"/>
      <c r="T452"/>
      <c r="U452" s="447"/>
      <c r="V452"/>
      <c r="W452"/>
      <c r="X452" s="447"/>
      <c r="Y452"/>
      <c r="Z452"/>
      <c r="AA452" s="447"/>
      <c r="AB452"/>
      <c r="AC452"/>
      <c r="AE452"/>
      <c r="AF452" s="447"/>
      <c r="AG452"/>
      <c r="AH452"/>
      <c r="AI452" s="447"/>
      <c r="AJ452"/>
      <c r="AK452"/>
      <c r="AL452" s="447"/>
      <c r="AM452"/>
      <c r="AN452"/>
      <c r="AO452" s="447"/>
      <c r="AP452"/>
      <c r="AQ452"/>
      <c r="AS452"/>
      <c r="AT452" s="447"/>
      <c r="AU452"/>
      <c r="AV452"/>
      <c r="AW452" s="447"/>
      <c r="AX452"/>
      <c r="AY452"/>
      <c r="AZ452" s="447"/>
      <c r="BA452"/>
      <c r="BB452"/>
      <c r="BC452" s="447"/>
      <c r="BD452"/>
      <c r="BE452"/>
    </row>
    <row r="453" spans="4:57">
      <c r="D453" s="447"/>
      <c r="G453" s="447"/>
      <c r="J453" s="447"/>
      <c r="M453" s="447"/>
      <c r="R453" s="447"/>
      <c r="S453"/>
      <c r="T453"/>
      <c r="U453" s="447"/>
      <c r="V453"/>
      <c r="W453"/>
      <c r="X453" s="447"/>
      <c r="Y453"/>
      <c r="Z453"/>
      <c r="AA453" s="447"/>
      <c r="AB453"/>
      <c r="AC453"/>
      <c r="AE453"/>
      <c r="AF453" s="447"/>
      <c r="AG453"/>
      <c r="AH453"/>
      <c r="AI453" s="447"/>
      <c r="AJ453"/>
      <c r="AK453"/>
      <c r="AL453" s="447"/>
      <c r="AM453"/>
      <c r="AN453"/>
      <c r="AO453" s="447"/>
      <c r="AP453"/>
      <c r="AQ453"/>
      <c r="AS453"/>
      <c r="AT453" s="447"/>
      <c r="AU453"/>
      <c r="AV453"/>
      <c r="AW453" s="447"/>
      <c r="AX453"/>
      <c r="AY453"/>
      <c r="AZ453" s="447"/>
      <c r="BA453"/>
      <c r="BB453"/>
      <c r="BC453" s="447"/>
      <c r="BD453"/>
      <c r="BE453"/>
    </row>
    <row r="454" spans="4:57">
      <c r="D454" s="447"/>
      <c r="G454" s="447"/>
      <c r="J454" s="447"/>
      <c r="M454" s="447"/>
      <c r="R454" s="447"/>
      <c r="S454"/>
      <c r="T454"/>
      <c r="U454" s="447"/>
      <c r="V454"/>
      <c r="W454"/>
      <c r="X454" s="447"/>
      <c r="Y454"/>
      <c r="Z454"/>
      <c r="AA454" s="447"/>
      <c r="AB454"/>
      <c r="AC454"/>
      <c r="AE454"/>
      <c r="AF454" s="447"/>
      <c r="AG454"/>
      <c r="AH454"/>
      <c r="AI454" s="447"/>
      <c r="AJ454"/>
      <c r="AK454"/>
      <c r="AL454" s="447"/>
      <c r="AM454"/>
      <c r="AN454"/>
      <c r="AO454" s="447"/>
      <c r="AP454"/>
      <c r="AQ454"/>
      <c r="AS454"/>
      <c r="AT454" s="447"/>
      <c r="AU454"/>
      <c r="AV454"/>
      <c r="AW454" s="447"/>
      <c r="AX454"/>
      <c r="AY454"/>
      <c r="AZ454" s="447"/>
      <c r="BA454"/>
      <c r="BB454"/>
      <c r="BC454" s="447"/>
      <c r="BD454"/>
      <c r="BE454"/>
    </row>
    <row r="455" spans="4:57">
      <c r="D455" s="447"/>
      <c r="G455" s="447"/>
      <c r="J455" s="447"/>
      <c r="M455" s="447"/>
      <c r="R455" s="447"/>
      <c r="S455"/>
      <c r="T455"/>
      <c r="U455" s="447"/>
      <c r="V455"/>
      <c r="W455"/>
      <c r="X455" s="447"/>
      <c r="Y455"/>
      <c r="Z455"/>
      <c r="AA455" s="447"/>
      <c r="AB455"/>
      <c r="AC455"/>
      <c r="AE455"/>
      <c r="AF455" s="447"/>
      <c r="AG455"/>
      <c r="AH455"/>
      <c r="AI455" s="447"/>
      <c r="AJ455"/>
      <c r="AK455"/>
      <c r="AL455" s="447"/>
      <c r="AM455"/>
      <c r="AN455"/>
      <c r="AO455" s="447"/>
      <c r="AP455"/>
      <c r="AQ455"/>
      <c r="AS455"/>
      <c r="AT455" s="447"/>
      <c r="AU455"/>
      <c r="AV455"/>
      <c r="AW455" s="447"/>
      <c r="AX455"/>
      <c r="AY455"/>
      <c r="AZ455" s="447"/>
      <c r="BA455"/>
      <c r="BB455"/>
      <c r="BC455" s="447"/>
      <c r="BD455"/>
      <c r="BE455"/>
    </row>
    <row r="456" spans="4:57">
      <c r="D456" s="447"/>
      <c r="G456" s="447"/>
      <c r="J456" s="447"/>
      <c r="M456" s="447"/>
      <c r="R456" s="447"/>
      <c r="S456"/>
      <c r="T456"/>
      <c r="U456" s="447"/>
      <c r="V456"/>
      <c r="W456"/>
      <c r="X456" s="447"/>
      <c r="Y456"/>
      <c r="Z456"/>
      <c r="AA456" s="447"/>
      <c r="AB456"/>
      <c r="AC456"/>
      <c r="AE456"/>
      <c r="AF456" s="447"/>
      <c r="AG456"/>
      <c r="AH456"/>
      <c r="AI456" s="447"/>
      <c r="AJ456"/>
      <c r="AK456"/>
      <c r="AL456" s="447"/>
      <c r="AM456"/>
      <c r="AN456"/>
      <c r="AO456" s="447"/>
      <c r="AP456"/>
      <c r="AQ456"/>
      <c r="AS456"/>
      <c r="AT456" s="447"/>
      <c r="AU456"/>
      <c r="AV456"/>
      <c r="AW456" s="447"/>
      <c r="AX456"/>
      <c r="AY456"/>
      <c r="AZ456" s="447"/>
      <c r="BA456"/>
      <c r="BB456"/>
      <c r="BC456" s="447"/>
      <c r="BD456"/>
      <c r="BE456"/>
    </row>
    <row r="457" spans="4:57">
      <c r="D457" s="447"/>
      <c r="G457" s="447"/>
      <c r="J457" s="447"/>
      <c r="M457" s="447"/>
      <c r="R457" s="447"/>
      <c r="S457"/>
      <c r="T457"/>
      <c r="U457" s="447"/>
      <c r="V457"/>
      <c r="W457"/>
      <c r="X457" s="447"/>
      <c r="Y457"/>
      <c r="Z457"/>
      <c r="AA457" s="447"/>
      <c r="AB457"/>
      <c r="AC457"/>
      <c r="AE457"/>
      <c r="AF457" s="447"/>
      <c r="AG457"/>
      <c r="AH457"/>
      <c r="AI457" s="447"/>
      <c r="AJ457"/>
      <c r="AK457"/>
      <c r="AL457" s="447"/>
      <c r="AM457"/>
      <c r="AN457"/>
      <c r="AO457" s="447"/>
      <c r="AP457"/>
      <c r="AQ457"/>
      <c r="AS457"/>
      <c r="AT457" s="447"/>
      <c r="AU457"/>
      <c r="AV457"/>
      <c r="AW457" s="447"/>
      <c r="AX457"/>
      <c r="AY457"/>
      <c r="AZ457" s="447"/>
      <c r="BA457"/>
      <c r="BB457"/>
      <c r="BC457" s="447"/>
      <c r="BD457"/>
      <c r="BE457"/>
    </row>
    <row r="458" spans="4:57">
      <c r="D458" s="447"/>
      <c r="G458" s="447"/>
      <c r="J458" s="447"/>
      <c r="M458" s="447"/>
      <c r="R458" s="447"/>
      <c r="S458"/>
      <c r="T458"/>
      <c r="U458" s="447"/>
      <c r="V458"/>
      <c r="W458"/>
      <c r="X458" s="447"/>
      <c r="Y458"/>
      <c r="Z458"/>
      <c r="AA458" s="447"/>
      <c r="AB458"/>
      <c r="AC458"/>
      <c r="AE458"/>
      <c r="AF458" s="447"/>
      <c r="AG458"/>
      <c r="AH458"/>
      <c r="AI458" s="447"/>
      <c r="AJ458"/>
      <c r="AK458"/>
      <c r="AL458" s="447"/>
      <c r="AM458"/>
      <c r="AN458"/>
      <c r="AO458" s="447"/>
      <c r="AP458"/>
      <c r="AQ458"/>
      <c r="AS458"/>
      <c r="AT458" s="447"/>
      <c r="AU458"/>
      <c r="AV458"/>
      <c r="AW458" s="447"/>
      <c r="AX458"/>
      <c r="AY458"/>
      <c r="AZ458" s="447"/>
      <c r="BA458"/>
      <c r="BB458"/>
      <c r="BC458" s="447"/>
      <c r="BD458"/>
      <c r="BE458"/>
    </row>
    <row r="459" spans="4:57">
      <c r="D459" s="447"/>
      <c r="G459" s="447"/>
      <c r="J459" s="447"/>
      <c r="M459" s="447"/>
      <c r="R459" s="447"/>
      <c r="S459"/>
      <c r="T459"/>
      <c r="U459" s="447"/>
      <c r="V459"/>
      <c r="W459"/>
      <c r="X459" s="447"/>
      <c r="Y459"/>
      <c r="Z459"/>
      <c r="AA459" s="447"/>
      <c r="AB459"/>
      <c r="AC459"/>
      <c r="AE459"/>
      <c r="AF459" s="447"/>
      <c r="AG459"/>
      <c r="AH459"/>
      <c r="AI459" s="447"/>
      <c r="AJ459"/>
      <c r="AK459"/>
      <c r="AL459" s="447"/>
      <c r="AM459"/>
      <c r="AN459"/>
      <c r="AO459" s="447"/>
      <c r="AP459"/>
      <c r="AQ459"/>
      <c r="AS459"/>
      <c r="AT459" s="447"/>
      <c r="AU459"/>
      <c r="AV459"/>
      <c r="AW459" s="447"/>
      <c r="AX459"/>
      <c r="AY459"/>
      <c r="AZ459" s="447"/>
      <c r="BA459"/>
      <c r="BB459"/>
      <c r="BC459" s="447"/>
      <c r="BD459"/>
      <c r="BE459"/>
    </row>
    <row r="460" spans="4:57">
      <c r="D460" s="447"/>
      <c r="G460" s="447"/>
      <c r="J460" s="447"/>
      <c r="M460" s="447"/>
      <c r="R460" s="447"/>
      <c r="S460"/>
      <c r="T460"/>
      <c r="U460" s="447"/>
      <c r="V460"/>
      <c r="W460"/>
      <c r="X460" s="447"/>
      <c r="Y460"/>
      <c r="Z460"/>
      <c r="AA460" s="447"/>
      <c r="AB460"/>
      <c r="AC460"/>
      <c r="AE460"/>
      <c r="AF460" s="447"/>
      <c r="AG460"/>
      <c r="AH460"/>
      <c r="AI460" s="447"/>
      <c r="AJ460"/>
      <c r="AK460"/>
      <c r="AL460" s="447"/>
      <c r="AM460"/>
      <c r="AN460"/>
      <c r="AO460" s="447"/>
      <c r="AP460"/>
      <c r="AQ460"/>
      <c r="AS460"/>
      <c r="AT460" s="447"/>
      <c r="AU460"/>
      <c r="AV460"/>
      <c r="AW460" s="447"/>
      <c r="AX460"/>
      <c r="AY460"/>
      <c r="AZ460" s="447"/>
      <c r="BA460"/>
      <c r="BB460"/>
      <c r="BC460" s="447"/>
      <c r="BD460"/>
      <c r="BE460"/>
    </row>
    <row r="461" spans="4:57">
      <c r="D461" s="447"/>
      <c r="G461" s="447"/>
      <c r="J461" s="447"/>
      <c r="M461" s="447"/>
      <c r="R461" s="447"/>
      <c r="S461"/>
      <c r="T461"/>
      <c r="U461" s="447"/>
      <c r="V461"/>
      <c r="W461"/>
      <c r="X461" s="447"/>
      <c r="Y461"/>
      <c r="Z461"/>
      <c r="AA461" s="447"/>
      <c r="AB461"/>
      <c r="AC461"/>
      <c r="AE461"/>
      <c r="AF461" s="447"/>
      <c r="AG461"/>
      <c r="AH461"/>
      <c r="AI461" s="447"/>
      <c r="AJ461"/>
      <c r="AK461"/>
      <c r="AL461" s="447"/>
      <c r="AM461"/>
      <c r="AN461"/>
      <c r="AO461" s="447"/>
      <c r="AP461"/>
      <c r="AQ461"/>
      <c r="AS461"/>
      <c r="AT461" s="447"/>
      <c r="AU461"/>
      <c r="AV461"/>
      <c r="AW461" s="447"/>
      <c r="AX461"/>
      <c r="AY461"/>
      <c r="AZ461" s="447"/>
      <c r="BA461"/>
      <c r="BB461"/>
      <c r="BC461" s="447"/>
      <c r="BD461"/>
      <c r="BE461"/>
    </row>
    <row r="462" spans="4:57">
      <c r="D462" s="447"/>
      <c r="G462" s="447"/>
      <c r="J462" s="447"/>
      <c r="M462" s="447"/>
      <c r="R462" s="447"/>
      <c r="S462"/>
      <c r="T462"/>
      <c r="U462" s="447"/>
      <c r="V462"/>
      <c r="W462"/>
      <c r="X462" s="447"/>
      <c r="Y462"/>
      <c r="Z462"/>
      <c r="AA462" s="447"/>
      <c r="AB462"/>
      <c r="AC462"/>
      <c r="AE462"/>
      <c r="AF462" s="447"/>
      <c r="AG462"/>
      <c r="AH462"/>
      <c r="AI462" s="447"/>
      <c r="AJ462"/>
      <c r="AK462"/>
      <c r="AL462" s="447"/>
      <c r="AM462"/>
      <c r="AN462"/>
      <c r="AO462" s="447"/>
      <c r="AP462"/>
      <c r="AQ462"/>
      <c r="AS462"/>
      <c r="AT462" s="447"/>
      <c r="AU462"/>
      <c r="AV462"/>
      <c r="AW462" s="447"/>
      <c r="AX462"/>
      <c r="AY462"/>
      <c r="AZ462" s="447"/>
      <c r="BA462"/>
      <c r="BB462"/>
      <c r="BC462" s="447"/>
      <c r="BD462"/>
      <c r="BE462"/>
    </row>
    <row r="463" spans="4:57">
      <c r="D463" s="447"/>
      <c r="G463" s="447"/>
      <c r="J463" s="447"/>
      <c r="M463" s="447"/>
      <c r="R463" s="447"/>
      <c r="S463"/>
      <c r="T463"/>
      <c r="U463" s="447"/>
      <c r="V463"/>
      <c r="W463"/>
      <c r="X463" s="447"/>
      <c r="Y463"/>
      <c r="Z463"/>
      <c r="AA463" s="447"/>
      <c r="AB463"/>
      <c r="AC463"/>
      <c r="AE463"/>
      <c r="AF463" s="447"/>
      <c r="AG463"/>
      <c r="AH463"/>
      <c r="AI463" s="447"/>
      <c r="AJ463"/>
      <c r="AK463"/>
      <c r="AL463" s="447"/>
      <c r="AM463"/>
      <c r="AN463"/>
      <c r="AO463" s="447"/>
      <c r="AP463"/>
      <c r="AQ463"/>
      <c r="AS463"/>
      <c r="AT463" s="447"/>
      <c r="AU463"/>
      <c r="AV463"/>
      <c r="AW463" s="447"/>
      <c r="AX463"/>
      <c r="AY463"/>
      <c r="AZ463" s="447"/>
      <c r="BA463"/>
      <c r="BB463"/>
      <c r="BC463" s="447"/>
      <c r="BD463"/>
      <c r="BE463"/>
    </row>
    <row r="464" spans="4:57">
      <c r="D464" s="447"/>
      <c r="G464" s="447"/>
      <c r="J464" s="447"/>
      <c r="M464" s="447"/>
      <c r="R464" s="447"/>
      <c r="S464"/>
      <c r="T464"/>
      <c r="U464" s="447"/>
      <c r="V464"/>
      <c r="W464"/>
      <c r="X464" s="447"/>
      <c r="Y464"/>
      <c r="Z464"/>
      <c r="AA464" s="447"/>
      <c r="AB464"/>
      <c r="AC464"/>
      <c r="AE464"/>
      <c r="AF464" s="447"/>
      <c r="AG464"/>
      <c r="AH464"/>
      <c r="AI464" s="447"/>
      <c r="AJ464"/>
      <c r="AK464"/>
      <c r="AL464" s="447"/>
      <c r="AM464"/>
      <c r="AN464"/>
      <c r="AO464" s="447"/>
      <c r="AP464"/>
      <c r="AQ464"/>
      <c r="AS464"/>
      <c r="AT464" s="447"/>
      <c r="AU464"/>
      <c r="AV464"/>
      <c r="AW464" s="447"/>
      <c r="AX464"/>
      <c r="AY464"/>
      <c r="AZ464" s="447"/>
      <c r="BA464"/>
      <c r="BB464"/>
      <c r="BC464" s="447"/>
      <c r="BD464"/>
      <c r="BE464"/>
    </row>
    <row r="465" spans="4:57">
      <c r="D465" s="447"/>
      <c r="G465" s="447"/>
      <c r="J465" s="447"/>
      <c r="M465" s="447"/>
      <c r="R465" s="447"/>
      <c r="S465"/>
      <c r="T465"/>
      <c r="U465" s="447"/>
      <c r="V465"/>
      <c r="W465"/>
      <c r="X465" s="447"/>
      <c r="Y465"/>
      <c r="Z465"/>
      <c r="AA465" s="447"/>
      <c r="AB465"/>
      <c r="AC465"/>
      <c r="AE465"/>
      <c r="AF465" s="447"/>
      <c r="AG465"/>
      <c r="AH465"/>
      <c r="AI465" s="447"/>
      <c r="AJ465"/>
      <c r="AK465"/>
      <c r="AL465" s="447"/>
      <c r="AM465"/>
      <c r="AN465"/>
      <c r="AO465" s="447"/>
      <c r="AP465"/>
      <c r="AQ465"/>
      <c r="AS465"/>
      <c r="AT465" s="447"/>
      <c r="AU465"/>
      <c r="AV465"/>
      <c r="AW465" s="447"/>
      <c r="AX465"/>
      <c r="AY465"/>
      <c r="AZ465" s="447"/>
      <c r="BA465"/>
      <c r="BB465"/>
      <c r="BC465" s="447"/>
      <c r="BD465"/>
      <c r="BE465"/>
    </row>
    <row r="466" spans="4:57">
      <c r="D466" s="447"/>
      <c r="G466" s="447"/>
      <c r="J466" s="447"/>
      <c r="M466" s="447"/>
      <c r="R466" s="447"/>
      <c r="S466"/>
      <c r="T466"/>
      <c r="U466" s="447"/>
      <c r="V466"/>
      <c r="W466"/>
      <c r="X466" s="447"/>
      <c r="Y466"/>
      <c r="Z466"/>
      <c r="AA466" s="447"/>
      <c r="AB466"/>
      <c r="AC466"/>
      <c r="AE466"/>
      <c r="AF466" s="447"/>
      <c r="AG466"/>
      <c r="AH466"/>
      <c r="AI466" s="447"/>
      <c r="AJ466"/>
      <c r="AK466"/>
      <c r="AL466" s="447"/>
      <c r="AM466"/>
      <c r="AN466"/>
      <c r="AO466" s="447"/>
      <c r="AP466"/>
      <c r="AQ466"/>
      <c r="AS466"/>
      <c r="AT466" s="447"/>
      <c r="AU466"/>
      <c r="AV466"/>
      <c r="AW466" s="447"/>
      <c r="AX466"/>
      <c r="AY466"/>
      <c r="AZ466" s="447"/>
      <c r="BA466"/>
      <c r="BB466"/>
      <c r="BC466" s="447"/>
      <c r="BD466"/>
      <c r="BE466"/>
    </row>
    <row r="467" spans="4:57">
      <c r="D467" s="447"/>
      <c r="G467" s="447"/>
      <c r="J467" s="447"/>
      <c r="M467" s="447"/>
      <c r="R467" s="447"/>
      <c r="S467"/>
      <c r="T467"/>
      <c r="U467" s="447"/>
      <c r="V467"/>
      <c r="W467"/>
      <c r="X467" s="447"/>
      <c r="Y467"/>
      <c r="Z467"/>
      <c r="AA467" s="447"/>
      <c r="AB467"/>
      <c r="AC467"/>
      <c r="AE467"/>
      <c r="AF467" s="447"/>
      <c r="AG467"/>
      <c r="AH467"/>
      <c r="AI467" s="447"/>
      <c r="AJ467"/>
      <c r="AK467"/>
      <c r="AL467" s="447"/>
      <c r="AM467"/>
      <c r="AN467"/>
      <c r="AO467" s="447"/>
      <c r="AP467"/>
      <c r="AQ467"/>
      <c r="AS467"/>
      <c r="AT467" s="447"/>
      <c r="AU467"/>
      <c r="AV467"/>
      <c r="AW467" s="447"/>
      <c r="AX467"/>
      <c r="AY467"/>
      <c r="AZ467" s="447"/>
      <c r="BA467"/>
      <c r="BB467"/>
      <c r="BC467" s="447"/>
      <c r="BD467"/>
      <c r="BE467"/>
    </row>
    <row r="468" spans="4:57">
      <c r="D468" s="447"/>
      <c r="G468" s="447"/>
      <c r="J468" s="447"/>
      <c r="M468" s="447"/>
      <c r="R468" s="447"/>
      <c r="S468"/>
      <c r="T468"/>
      <c r="U468" s="447"/>
      <c r="V468"/>
      <c r="W468"/>
      <c r="X468" s="447"/>
      <c r="Y468"/>
      <c r="Z468"/>
      <c r="AA468" s="447"/>
      <c r="AB468"/>
      <c r="AC468"/>
      <c r="AE468"/>
      <c r="AF468" s="447"/>
      <c r="AG468"/>
      <c r="AH468"/>
      <c r="AI468" s="447"/>
      <c r="AJ468"/>
      <c r="AK468"/>
      <c r="AL468" s="447"/>
      <c r="AM468"/>
      <c r="AN468"/>
      <c r="AO468" s="447"/>
      <c r="AP468"/>
      <c r="AQ468"/>
      <c r="AS468"/>
      <c r="AT468" s="447"/>
      <c r="AU468"/>
      <c r="AV468"/>
      <c r="AW468" s="447"/>
      <c r="AX468"/>
      <c r="AY468"/>
      <c r="AZ468" s="447"/>
      <c r="BA468"/>
      <c r="BB468"/>
      <c r="BC468" s="447"/>
      <c r="BD468"/>
      <c r="BE468"/>
    </row>
    <row r="469" spans="4:57">
      <c r="D469" s="447"/>
      <c r="G469" s="447"/>
      <c r="J469" s="447"/>
      <c r="M469" s="447"/>
      <c r="R469" s="447"/>
      <c r="S469"/>
      <c r="T469"/>
      <c r="U469" s="447"/>
      <c r="V469"/>
      <c r="W469"/>
      <c r="X469" s="447"/>
      <c r="Y469"/>
      <c r="Z469"/>
      <c r="AA469" s="447"/>
      <c r="AB469"/>
      <c r="AC469"/>
      <c r="AE469"/>
      <c r="AF469" s="447"/>
      <c r="AG469"/>
      <c r="AH469"/>
      <c r="AI469" s="447"/>
      <c r="AJ469"/>
      <c r="AK469"/>
      <c r="AL469" s="447"/>
      <c r="AM469"/>
      <c r="AN469"/>
      <c r="AO469" s="447"/>
      <c r="AP469"/>
      <c r="AQ469"/>
      <c r="AS469"/>
      <c r="AT469" s="447"/>
      <c r="AU469"/>
      <c r="AV469"/>
      <c r="AW469" s="447"/>
      <c r="AX469"/>
      <c r="AY469"/>
      <c r="AZ469" s="447"/>
      <c r="BA469"/>
      <c r="BB469"/>
      <c r="BC469" s="447"/>
      <c r="BD469"/>
      <c r="BE469"/>
    </row>
    <row r="470" spans="4:57">
      <c r="D470" s="447"/>
      <c r="G470" s="447"/>
      <c r="J470" s="447"/>
      <c r="M470" s="447"/>
      <c r="R470" s="447"/>
      <c r="S470"/>
      <c r="T470"/>
      <c r="U470" s="447"/>
      <c r="V470"/>
      <c r="W470"/>
      <c r="X470" s="447"/>
      <c r="Y470"/>
      <c r="Z470"/>
      <c r="AA470" s="447"/>
      <c r="AB470"/>
      <c r="AC470"/>
      <c r="AE470"/>
      <c r="AF470" s="447"/>
      <c r="AG470"/>
      <c r="AH470"/>
      <c r="AI470" s="447"/>
      <c r="AJ470"/>
      <c r="AK470"/>
      <c r="AL470" s="447"/>
      <c r="AM470"/>
      <c r="AN470"/>
      <c r="AO470" s="447"/>
      <c r="AP470"/>
      <c r="AQ470"/>
      <c r="AS470"/>
      <c r="AT470" s="447"/>
      <c r="AU470"/>
      <c r="AV470"/>
      <c r="AW470" s="447"/>
      <c r="AX470"/>
      <c r="AY470"/>
      <c r="AZ470" s="447"/>
      <c r="BA470"/>
      <c r="BB470"/>
      <c r="BC470" s="447"/>
      <c r="BD470"/>
      <c r="BE470"/>
    </row>
    <row r="471" spans="4:57">
      <c r="D471" s="447"/>
      <c r="G471" s="447"/>
      <c r="J471" s="447"/>
      <c r="M471" s="447"/>
      <c r="R471" s="447"/>
      <c r="S471"/>
      <c r="T471"/>
      <c r="U471" s="447"/>
      <c r="V471"/>
      <c r="W471"/>
      <c r="X471" s="447"/>
      <c r="Y471"/>
      <c r="Z471"/>
      <c r="AA471" s="447"/>
      <c r="AB471"/>
      <c r="AC471"/>
      <c r="AE471"/>
      <c r="AF471" s="447"/>
      <c r="AG471"/>
      <c r="AH471"/>
      <c r="AI471" s="447"/>
      <c r="AJ471"/>
      <c r="AK471"/>
      <c r="AL471" s="447"/>
      <c r="AM471"/>
      <c r="AN471"/>
      <c r="AO471" s="447"/>
      <c r="AP471"/>
      <c r="AQ471"/>
      <c r="AS471"/>
      <c r="AT471" s="447"/>
      <c r="AU471"/>
      <c r="AV471"/>
      <c r="AW471" s="447"/>
      <c r="AX471"/>
      <c r="AY471"/>
      <c r="AZ471" s="447"/>
      <c r="BA471"/>
      <c r="BB471"/>
      <c r="BC471" s="447"/>
      <c r="BD471"/>
      <c r="BE471"/>
    </row>
    <row r="472" spans="4:57">
      <c r="D472" s="447"/>
      <c r="G472" s="447"/>
      <c r="J472" s="447"/>
      <c r="M472" s="447"/>
      <c r="R472" s="447"/>
      <c r="S472"/>
      <c r="T472"/>
      <c r="U472" s="447"/>
      <c r="V472"/>
      <c r="W472"/>
      <c r="X472" s="447"/>
      <c r="Y472"/>
      <c r="Z472"/>
      <c r="AA472" s="447"/>
      <c r="AB472"/>
      <c r="AC472"/>
      <c r="AE472"/>
      <c r="AF472" s="447"/>
      <c r="AG472"/>
      <c r="AH472"/>
      <c r="AI472" s="447"/>
      <c r="AJ472"/>
      <c r="AK472"/>
      <c r="AL472" s="447"/>
      <c r="AM472"/>
      <c r="AN472"/>
      <c r="AO472" s="447"/>
      <c r="AP472"/>
      <c r="AQ472"/>
      <c r="AS472"/>
      <c r="AT472" s="447"/>
      <c r="AU472"/>
      <c r="AV472"/>
      <c r="AW472" s="447"/>
      <c r="AX472"/>
      <c r="AY472"/>
      <c r="AZ472" s="447"/>
      <c r="BA472"/>
      <c r="BB472"/>
      <c r="BC472" s="447"/>
      <c r="BD472"/>
      <c r="BE472"/>
    </row>
    <row r="473" spans="4:57">
      <c r="D473" s="447"/>
      <c r="G473" s="447"/>
      <c r="J473" s="447"/>
      <c r="M473" s="447"/>
      <c r="R473" s="447"/>
      <c r="S473"/>
      <c r="T473"/>
      <c r="U473" s="447"/>
      <c r="V473"/>
      <c r="W473"/>
      <c r="X473" s="447"/>
      <c r="Y473"/>
      <c r="Z473"/>
      <c r="AA473" s="447"/>
      <c r="AB473"/>
      <c r="AC473"/>
      <c r="AE473"/>
      <c r="AF473" s="447"/>
      <c r="AG473"/>
      <c r="AH473"/>
      <c r="AI473" s="447"/>
      <c r="AJ473"/>
      <c r="AK473"/>
      <c r="AL473" s="447"/>
      <c r="AM473"/>
      <c r="AN473"/>
      <c r="AO473" s="447"/>
      <c r="AP473"/>
      <c r="AQ473"/>
      <c r="AS473"/>
      <c r="AT473" s="447"/>
      <c r="AU473"/>
      <c r="AV473"/>
      <c r="AW473" s="447"/>
      <c r="AX473"/>
      <c r="AY473"/>
      <c r="AZ473" s="447"/>
      <c r="BA473"/>
      <c r="BB473"/>
      <c r="BC473" s="447"/>
      <c r="BD473"/>
      <c r="BE473"/>
    </row>
    <row r="474" spans="4:57">
      <c r="D474" s="447"/>
      <c r="G474" s="447"/>
      <c r="J474" s="447"/>
      <c r="M474" s="447"/>
      <c r="R474" s="447"/>
      <c r="S474"/>
      <c r="T474"/>
      <c r="U474" s="447"/>
      <c r="V474"/>
      <c r="W474"/>
      <c r="X474" s="447"/>
      <c r="Y474"/>
      <c r="Z474"/>
      <c r="AA474" s="447"/>
      <c r="AB474"/>
      <c r="AC474"/>
      <c r="AE474"/>
      <c r="AF474" s="447"/>
      <c r="AG474"/>
      <c r="AH474"/>
      <c r="AI474" s="447"/>
      <c r="AJ474"/>
      <c r="AK474"/>
      <c r="AL474" s="447"/>
      <c r="AM474"/>
      <c r="AN474"/>
      <c r="AO474" s="447"/>
      <c r="AP474"/>
      <c r="AQ474"/>
      <c r="AS474"/>
      <c r="AT474" s="447"/>
      <c r="AU474"/>
      <c r="AV474"/>
      <c r="AW474" s="447"/>
      <c r="AX474"/>
      <c r="AY474"/>
      <c r="AZ474" s="447"/>
      <c r="BA474"/>
      <c r="BB474"/>
      <c r="BC474" s="447"/>
      <c r="BD474"/>
      <c r="BE474"/>
    </row>
    <row r="475" spans="4:57">
      <c r="D475" s="447"/>
      <c r="G475" s="447"/>
      <c r="J475" s="447"/>
      <c r="M475" s="447"/>
      <c r="R475" s="447"/>
      <c r="S475"/>
      <c r="T475"/>
      <c r="U475" s="447"/>
      <c r="V475"/>
      <c r="W475"/>
      <c r="X475" s="447"/>
      <c r="Y475"/>
      <c r="Z475"/>
      <c r="AA475" s="447"/>
      <c r="AB475"/>
      <c r="AC475"/>
      <c r="AE475"/>
      <c r="AF475" s="447"/>
      <c r="AG475"/>
      <c r="AH475"/>
      <c r="AI475" s="447"/>
      <c r="AJ475"/>
      <c r="AK475"/>
      <c r="AL475" s="447"/>
      <c r="AM475"/>
      <c r="AN475"/>
      <c r="AO475" s="447"/>
      <c r="AP475"/>
      <c r="AQ475"/>
      <c r="AS475"/>
      <c r="AT475" s="447"/>
      <c r="AU475"/>
      <c r="AV475"/>
      <c r="AW475" s="447"/>
      <c r="AX475"/>
      <c r="AY475"/>
      <c r="AZ475" s="447"/>
      <c r="BA475"/>
      <c r="BB475"/>
      <c r="BC475" s="447"/>
      <c r="BD475"/>
      <c r="BE475"/>
    </row>
    <row r="476" spans="4:57">
      <c r="D476" s="447"/>
      <c r="G476" s="447"/>
      <c r="J476" s="447"/>
      <c r="M476" s="447"/>
      <c r="R476" s="447"/>
      <c r="S476"/>
      <c r="T476"/>
      <c r="U476" s="447"/>
      <c r="V476"/>
      <c r="W476"/>
      <c r="X476" s="447"/>
      <c r="Y476"/>
      <c r="Z476"/>
      <c r="AA476" s="447"/>
      <c r="AB476"/>
      <c r="AC476"/>
      <c r="AE476"/>
      <c r="AF476" s="447"/>
      <c r="AG476"/>
      <c r="AH476"/>
      <c r="AI476" s="447"/>
      <c r="AJ476"/>
      <c r="AK476"/>
      <c r="AL476" s="447"/>
      <c r="AM476"/>
      <c r="AN476"/>
      <c r="AO476" s="447"/>
      <c r="AP476"/>
      <c r="AQ476"/>
      <c r="AS476"/>
      <c r="AT476" s="447"/>
      <c r="AU476"/>
      <c r="AV476"/>
      <c r="AW476" s="447"/>
      <c r="AX476"/>
      <c r="AY476"/>
      <c r="AZ476" s="447"/>
      <c r="BA476"/>
      <c r="BB476"/>
      <c r="BC476" s="447"/>
      <c r="BD476"/>
      <c r="BE476"/>
    </row>
    <row r="477" spans="4:57">
      <c r="D477" s="447"/>
      <c r="G477" s="447"/>
      <c r="J477" s="447"/>
      <c r="M477" s="447"/>
      <c r="R477" s="447"/>
      <c r="S477"/>
      <c r="T477"/>
      <c r="U477" s="447"/>
      <c r="V477"/>
      <c r="W477"/>
      <c r="X477" s="447"/>
      <c r="Y477"/>
      <c r="Z477"/>
      <c r="AA477" s="447"/>
      <c r="AB477"/>
      <c r="AC477"/>
      <c r="AE477"/>
      <c r="AF477" s="447"/>
      <c r="AG477"/>
      <c r="AH477"/>
      <c r="AI477" s="447"/>
      <c r="AJ477"/>
      <c r="AK477"/>
      <c r="AL477" s="447"/>
      <c r="AM477"/>
      <c r="AN477"/>
      <c r="AO477" s="447"/>
      <c r="AP477"/>
      <c r="AQ477"/>
      <c r="AS477"/>
      <c r="AT477" s="447"/>
      <c r="AU477"/>
      <c r="AV477"/>
      <c r="AW477" s="447"/>
      <c r="AX477"/>
      <c r="AY477"/>
      <c r="AZ477" s="447"/>
      <c r="BA477"/>
      <c r="BB477"/>
      <c r="BC477" s="447"/>
      <c r="BD477"/>
      <c r="BE477"/>
    </row>
    <row r="478" spans="4:57">
      <c r="D478" s="447"/>
      <c r="G478" s="447"/>
      <c r="J478" s="447"/>
      <c r="M478" s="447"/>
      <c r="R478" s="447"/>
      <c r="S478"/>
      <c r="T478"/>
      <c r="U478" s="447"/>
      <c r="V478"/>
      <c r="W478"/>
      <c r="X478" s="447"/>
      <c r="Y478"/>
      <c r="Z478"/>
      <c r="AA478" s="447"/>
      <c r="AB478"/>
      <c r="AC478"/>
      <c r="AE478"/>
      <c r="AF478" s="447"/>
      <c r="AG478"/>
      <c r="AH478"/>
      <c r="AI478" s="447"/>
      <c r="AJ478"/>
      <c r="AK478"/>
      <c r="AL478" s="447"/>
      <c r="AM478"/>
      <c r="AN478"/>
      <c r="AO478" s="447"/>
      <c r="AP478"/>
      <c r="AQ478"/>
      <c r="AS478"/>
      <c r="AT478" s="447"/>
      <c r="AU478"/>
      <c r="AV478"/>
      <c r="AW478" s="447"/>
      <c r="AX478"/>
      <c r="AY478"/>
      <c r="AZ478" s="447"/>
      <c r="BA478"/>
      <c r="BB478"/>
      <c r="BC478" s="447"/>
      <c r="BD478"/>
      <c r="BE478"/>
    </row>
    <row r="479" spans="4:57">
      <c r="D479" s="447"/>
      <c r="G479" s="447"/>
      <c r="J479" s="447"/>
      <c r="M479" s="447"/>
      <c r="R479" s="447"/>
      <c r="S479"/>
      <c r="T479"/>
      <c r="U479" s="447"/>
      <c r="V479"/>
      <c r="W479"/>
      <c r="X479" s="447"/>
      <c r="Y479"/>
      <c r="Z479"/>
      <c r="AA479" s="447"/>
      <c r="AB479"/>
      <c r="AC479"/>
      <c r="AE479"/>
      <c r="AF479" s="447"/>
      <c r="AG479"/>
      <c r="AH479"/>
      <c r="AI479" s="447"/>
      <c r="AJ479"/>
      <c r="AK479"/>
      <c r="AL479" s="447"/>
      <c r="AM479"/>
      <c r="AN479"/>
      <c r="AO479" s="447"/>
      <c r="AP479"/>
      <c r="AQ479"/>
      <c r="AS479"/>
      <c r="AT479" s="447"/>
      <c r="AU479"/>
      <c r="AV479"/>
      <c r="AW479" s="447"/>
      <c r="AX479"/>
      <c r="AY479"/>
      <c r="AZ479" s="447"/>
      <c r="BA479"/>
      <c r="BB479"/>
      <c r="BC479" s="447"/>
      <c r="BD479"/>
      <c r="BE479"/>
    </row>
    <row r="480" spans="4:57">
      <c r="D480" s="447"/>
      <c r="G480" s="447"/>
      <c r="J480" s="447"/>
      <c r="M480" s="447"/>
      <c r="R480" s="447"/>
      <c r="S480"/>
      <c r="T480"/>
      <c r="U480" s="447"/>
      <c r="V480"/>
      <c r="W480"/>
      <c r="X480" s="447"/>
      <c r="Y480"/>
      <c r="Z480"/>
      <c r="AA480" s="447"/>
      <c r="AB480"/>
      <c r="AC480"/>
      <c r="AE480"/>
      <c r="AF480" s="447"/>
      <c r="AG480"/>
      <c r="AH480"/>
      <c r="AI480" s="447"/>
      <c r="AJ480"/>
      <c r="AK480"/>
      <c r="AL480" s="447"/>
      <c r="AM480"/>
      <c r="AN480"/>
      <c r="AO480" s="447"/>
      <c r="AP480"/>
      <c r="AQ480"/>
      <c r="AS480"/>
      <c r="AT480" s="447"/>
      <c r="AU480"/>
      <c r="AV480"/>
      <c r="AW480" s="447"/>
      <c r="AX480"/>
      <c r="AY480"/>
      <c r="AZ480" s="447"/>
      <c r="BA480"/>
      <c r="BB480"/>
      <c r="BC480" s="447"/>
      <c r="BD480"/>
      <c r="BE480"/>
    </row>
    <row r="481" spans="4:57">
      <c r="D481" s="447"/>
      <c r="G481" s="447"/>
      <c r="J481" s="447"/>
      <c r="M481" s="447"/>
      <c r="R481" s="447"/>
      <c r="S481"/>
      <c r="T481"/>
      <c r="U481" s="447"/>
      <c r="V481"/>
      <c r="W481"/>
      <c r="X481" s="447"/>
      <c r="Y481"/>
      <c r="Z481"/>
      <c r="AA481" s="447"/>
      <c r="AB481"/>
      <c r="AC481"/>
      <c r="AE481"/>
      <c r="AF481" s="447"/>
      <c r="AG481"/>
      <c r="AH481"/>
      <c r="AI481" s="447"/>
      <c r="AJ481"/>
      <c r="AK481"/>
      <c r="AL481" s="447"/>
      <c r="AM481"/>
      <c r="AN481"/>
      <c r="AO481" s="447"/>
      <c r="AP481"/>
      <c r="AQ481"/>
      <c r="AS481"/>
      <c r="AT481" s="447"/>
      <c r="AU481"/>
      <c r="AV481"/>
      <c r="AW481" s="447"/>
      <c r="AX481"/>
      <c r="AY481"/>
      <c r="AZ481" s="447"/>
      <c r="BA481"/>
      <c r="BB481"/>
      <c r="BC481" s="447"/>
      <c r="BD481"/>
      <c r="BE481"/>
    </row>
    <row r="482" spans="4:57">
      <c r="D482" s="447"/>
      <c r="G482" s="447"/>
      <c r="J482" s="447"/>
      <c r="M482" s="447"/>
      <c r="R482" s="447"/>
      <c r="S482"/>
      <c r="T482"/>
      <c r="U482" s="447"/>
      <c r="V482"/>
      <c r="W482"/>
      <c r="X482" s="447"/>
      <c r="Y482"/>
      <c r="Z482"/>
      <c r="AA482" s="447"/>
      <c r="AB482"/>
      <c r="AC482"/>
      <c r="AE482"/>
      <c r="AF482" s="447"/>
      <c r="AG482"/>
      <c r="AH482"/>
      <c r="AI482" s="447"/>
      <c r="AJ482"/>
      <c r="AK482"/>
      <c r="AL482" s="447"/>
      <c r="AM482"/>
      <c r="AN482"/>
      <c r="AO482" s="447"/>
      <c r="AP482"/>
      <c r="AQ482"/>
      <c r="AS482"/>
      <c r="AT482" s="447"/>
      <c r="AU482"/>
      <c r="AV482"/>
      <c r="AW482" s="447"/>
      <c r="AX482"/>
      <c r="AY482"/>
      <c r="AZ482" s="447"/>
      <c r="BA482"/>
      <c r="BB482"/>
      <c r="BC482" s="447"/>
      <c r="BD482"/>
      <c r="BE482"/>
    </row>
    <row r="483" spans="4:57">
      <c r="D483" s="447"/>
      <c r="G483" s="447"/>
      <c r="J483" s="447"/>
      <c r="M483" s="447"/>
      <c r="R483" s="447"/>
      <c r="S483"/>
      <c r="T483"/>
      <c r="U483" s="447"/>
      <c r="V483"/>
      <c r="W483"/>
      <c r="X483" s="447"/>
      <c r="Y483"/>
      <c r="Z483"/>
      <c r="AA483" s="447"/>
      <c r="AB483"/>
      <c r="AC483"/>
      <c r="AE483"/>
      <c r="AF483" s="447"/>
      <c r="AG483"/>
      <c r="AH483"/>
      <c r="AI483" s="447"/>
      <c r="AJ483"/>
      <c r="AK483"/>
      <c r="AL483" s="447"/>
      <c r="AM483"/>
      <c r="AN483"/>
      <c r="AO483" s="447"/>
      <c r="AP483"/>
      <c r="AQ483"/>
      <c r="AS483"/>
      <c r="AT483" s="447"/>
      <c r="AU483"/>
      <c r="AV483"/>
      <c r="AW483" s="447"/>
      <c r="AX483"/>
      <c r="AY483"/>
      <c r="AZ483" s="447"/>
      <c r="BA483"/>
      <c r="BB483"/>
      <c r="BC483" s="447"/>
      <c r="BD483"/>
      <c r="BE483"/>
    </row>
    <row r="484" spans="4:57">
      <c r="D484" s="447"/>
      <c r="G484" s="447"/>
      <c r="J484" s="447"/>
      <c r="M484" s="447"/>
      <c r="R484" s="447"/>
      <c r="S484"/>
      <c r="T484"/>
      <c r="U484" s="447"/>
      <c r="V484"/>
      <c r="W484"/>
      <c r="X484" s="447"/>
      <c r="Y484"/>
      <c r="Z484"/>
      <c r="AA484" s="447"/>
      <c r="AB484"/>
      <c r="AC484"/>
      <c r="AE484"/>
      <c r="AF484" s="447"/>
      <c r="AG484"/>
      <c r="AH484"/>
      <c r="AI484" s="447"/>
      <c r="AJ484"/>
      <c r="AK484"/>
      <c r="AL484" s="447"/>
      <c r="AM484"/>
      <c r="AN484"/>
      <c r="AO484" s="447"/>
      <c r="AP484"/>
      <c r="AQ484"/>
      <c r="AS484"/>
      <c r="AT484" s="447"/>
      <c r="AU484"/>
      <c r="AV484"/>
      <c r="AW484" s="447"/>
      <c r="AX484"/>
      <c r="AY484"/>
      <c r="AZ484" s="447"/>
      <c r="BA484"/>
      <c r="BB484"/>
      <c r="BC484" s="447"/>
      <c r="BD484"/>
      <c r="BE484"/>
    </row>
    <row r="485" spans="4:57">
      <c r="D485" s="447"/>
      <c r="G485" s="447"/>
      <c r="J485" s="447"/>
      <c r="M485" s="447"/>
      <c r="R485" s="447"/>
      <c r="S485"/>
      <c r="T485"/>
      <c r="U485" s="447"/>
      <c r="V485"/>
      <c r="W485"/>
      <c r="X485" s="447"/>
      <c r="Y485"/>
      <c r="Z485"/>
      <c r="AA485" s="447"/>
      <c r="AB485"/>
      <c r="AC485"/>
      <c r="AE485"/>
      <c r="AF485" s="447"/>
      <c r="AG485"/>
      <c r="AH485"/>
      <c r="AI485" s="447"/>
      <c r="AJ485"/>
      <c r="AK485"/>
      <c r="AL485" s="447"/>
      <c r="AM485"/>
      <c r="AN485"/>
      <c r="AO485" s="447"/>
      <c r="AP485"/>
      <c r="AQ485"/>
      <c r="AS485"/>
      <c r="AT485" s="447"/>
      <c r="AU485"/>
      <c r="AV485"/>
      <c r="AW485" s="447"/>
      <c r="AX485"/>
      <c r="AY485"/>
      <c r="AZ485" s="447"/>
      <c r="BA485"/>
      <c r="BB485"/>
      <c r="BC485" s="447"/>
      <c r="BD485"/>
      <c r="BE485"/>
    </row>
    <row r="486" spans="4:57">
      <c r="D486" s="447"/>
      <c r="G486" s="447"/>
      <c r="J486" s="447"/>
      <c r="M486" s="447"/>
      <c r="R486" s="447"/>
      <c r="S486"/>
      <c r="T486"/>
      <c r="U486" s="447"/>
      <c r="V486"/>
      <c r="W486"/>
      <c r="X486" s="447"/>
      <c r="Y486"/>
      <c r="Z486"/>
      <c r="AA486" s="447"/>
      <c r="AB486"/>
      <c r="AC486"/>
      <c r="AE486"/>
      <c r="AF486" s="447"/>
      <c r="AG486"/>
      <c r="AH486"/>
      <c r="AI486" s="447"/>
      <c r="AJ486"/>
      <c r="AK486"/>
      <c r="AL486" s="447"/>
      <c r="AM486"/>
      <c r="AN486"/>
      <c r="AO486" s="447"/>
      <c r="AP486"/>
      <c r="AQ486"/>
      <c r="AS486"/>
      <c r="AT486" s="447"/>
      <c r="AU486"/>
      <c r="AV486"/>
      <c r="AW486" s="447"/>
      <c r="AX486"/>
      <c r="AY486"/>
      <c r="AZ486" s="447"/>
      <c r="BA486"/>
      <c r="BB486"/>
      <c r="BC486" s="447"/>
      <c r="BD486"/>
      <c r="BE486"/>
    </row>
    <row r="487" spans="4:57">
      <c r="D487" s="447"/>
      <c r="G487" s="447"/>
      <c r="J487" s="447"/>
      <c r="M487" s="447"/>
      <c r="R487" s="447"/>
      <c r="S487"/>
      <c r="T487"/>
      <c r="U487" s="447"/>
      <c r="V487"/>
      <c r="W487"/>
      <c r="X487" s="447"/>
      <c r="Y487"/>
      <c r="Z487"/>
      <c r="AA487" s="447"/>
      <c r="AB487"/>
      <c r="AC487"/>
      <c r="AE487"/>
      <c r="AF487" s="447"/>
      <c r="AG487"/>
      <c r="AH487"/>
      <c r="AI487" s="447"/>
      <c r="AJ487"/>
      <c r="AK487"/>
      <c r="AL487" s="447"/>
      <c r="AM487"/>
      <c r="AN487"/>
      <c r="AO487" s="447"/>
      <c r="AP487"/>
      <c r="AQ487"/>
      <c r="AS487"/>
      <c r="AT487" s="447"/>
      <c r="AU487"/>
      <c r="AV487"/>
      <c r="AW487" s="447"/>
      <c r="AX487"/>
      <c r="AY487"/>
      <c r="AZ487" s="447"/>
      <c r="BA487"/>
      <c r="BB487"/>
      <c r="BC487" s="447"/>
      <c r="BD487"/>
      <c r="BE487"/>
    </row>
    <row r="488" spans="4:57">
      <c r="D488" s="447"/>
      <c r="G488" s="447"/>
      <c r="J488" s="447"/>
      <c r="M488" s="447"/>
      <c r="R488" s="447"/>
      <c r="S488"/>
      <c r="T488"/>
      <c r="U488" s="447"/>
      <c r="V488"/>
      <c r="W488"/>
      <c r="X488" s="447"/>
      <c r="Y488"/>
      <c r="Z488"/>
      <c r="AA488" s="447"/>
      <c r="AB488"/>
      <c r="AC488"/>
      <c r="AE488"/>
      <c r="AF488" s="447"/>
      <c r="AG488"/>
      <c r="AH488"/>
      <c r="AI488" s="447"/>
      <c r="AJ488"/>
      <c r="AK488"/>
      <c r="AL488" s="447"/>
      <c r="AM488"/>
      <c r="AN488"/>
      <c r="AO488" s="447"/>
      <c r="AP488"/>
      <c r="AQ488"/>
      <c r="AS488"/>
      <c r="AT488" s="447"/>
      <c r="AU488"/>
      <c r="AV488"/>
      <c r="AW488" s="447"/>
      <c r="AX488"/>
      <c r="AY488"/>
      <c r="AZ488" s="447"/>
      <c r="BA488"/>
      <c r="BB488"/>
      <c r="BC488" s="447"/>
      <c r="BD488"/>
      <c r="BE488"/>
    </row>
    <row r="489" spans="4:57">
      <c r="D489" s="447"/>
      <c r="G489" s="447"/>
      <c r="J489" s="447"/>
      <c r="M489" s="447"/>
      <c r="R489" s="447"/>
      <c r="S489"/>
      <c r="T489"/>
      <c r="U489" s="447"/>
      <c r="V489"/>
      <c r="W489"/>
      <c r="X489" s="447"/>
      <c r="Y489"/>
      <c r="Z489"/>
      <c r="AA489" s="447"/>
      <c r="AB489"/>
      <c r="AC489"/>
      <c r="AE489"/>
      <c r="AF489" s="447"/>
      <c r="AG489"/>
      <c r="AH489"/>
      <c r="AI489" s="447"/>
      <c r="AJ489"/>
      <c r="AK489"/>
      <c r="AL489" s="447"/>
      <c r="AM489"/>
      <c r="AN489"/>
      <c r="AO489" s="447"/>
      <c r="AP489"/>
      <c r="AQ489"/>
      <c r="AS489"/>
      <c r="AT489" s="447"/>
      <c r="AU489"/>
      <c r="AV489"/>
      <c r="AW489" s="447"/>
      <c r="AX489"/>
      <c r="AY489"/>
      <c r="AZ489" s="447"/>
      <c r="BA489"/>
      <c r="BB489"/>
      <c r="BC489" s="447"/>
      <c r="BD489"/>
      <c r="BE489"/>
    </row>
    <row r="490" spans="4:57">
      <c r="D490" s="447"/>
      <c r="G490" s="447"/>
      <c r="J490" s="447"/>
      <c r="M490" s="447"/>
      <c r="R490" s="447"/>
      <c r="S490"/>
      <c r="T490"/>
      <c r="U490" s="447"/>
      <c r="V490"/>
      <c r="W490"/>
      <c r="X490" s="447"/>
      <c r="Y490"/>
      <c r="Z490"/>
      <c r="AA490" s="447"/>
      <c r="AB490"/>
      <c r="AC490"/>
      <c r="AE490"/>
      <c r="AF490" s="447"/>
      <c r="AG490"/>
      <c r="AH490"/>
      <c r="AI490" s="447"/>
      <c r="AJ490"/>
      <c r="AK490"/>
      <c r="AL490" s="447"/>
      <c r="AM490"/>
      <c r="AN490"/>
      <c r="AO490" s="447"/>
      <c r="AP490"/>
      <c r="AQ490"/>
      <c r="AS490"/>
      <c r="AT490" s="447"/>
      <c r="AU490"/>
      <c r="AV490"/>
      <c r="AW490" s="447"/>
      <c r="AX490"/>
      <c r="AY490"/>
      <c r="AZ490" s="447"/>
      <c r="BA490"/>
      <c r="BB490"/>
      <c r="BC490" s="447"/>
      <c r="BD490"/>
      <c r="BE490"/>
    </row>
    <row r="491" spans="4:57">
      <c r="D491" s="447"/>
      <c r="G491" s="447"/>
      <c r="J491" s="447"/>
      <c r="M491" s="447"/>
      <c r="R491" s="447"/>
      <c r="S491"/>
      <c r="T491"/>
      <c r="U491" s="447"/>
      <c r="V491"/>
      <c r="W491"/>
      <c r="X491" s="447"/>
      <c r="Y491"/>
      <c r="Z491"/>
      <c r="AA491" s="447"/>
      <c r="AB491"/>
      <c r="AC491"/>
      <c r="AE491"/>
      <c r="AF491" s="447"/>
      <c r="AG491"/>
      <c r="AH491"/>
      <c r="AI491" s="447"/>
      <c r="AJ491"/>
      <c r="AK491"/>
      <c r="AL491" s="447"/>
      <c r="AM491"/>
      <c r="AN491"/>
      <c r="AO491" s="447"/>
      <c r="AP491"/>
      <c r="AQ491"/>
      <c r="AS491"/>
      <c r="AT491" s="447"/>
      <c r="AU491"/>
      <c r="AV491"/>
      <c r="AW491" s="447"/>
      <c r="AX491"/>
      <c r="AY491"/>
      <c r="AZ491" s="447"/>
      <c r="BA491"/>
      <c r="BB491"/>
      <c r="BC491" s="447"/>
      <c r="BD491"/>
      <c r="BE491"/>
    </row>
    <row r="492" spans="4:57">
      <c r="D492" s="447"/>
      <c r="G492" s="447"/>
      <c r="J492" s="447"/>
      <c r="M492" s="447"/>
      <c r="R492" s="447"/>
      <c r="S492"/>
      <c r="T492"/>
      <c r="U492" s="447"/>
      <c r="V492"/>
      <c r="W492"/>
      <c r="X492" s="447"/>
      <c r="Y492"/>
      <c r="Z492"/>
      <c r="AA492" s="447"/>
      <c r="AB492"/>
      <c r="AC492"/>
      <c r="AE492"/>
      <c r="AF492" s="447"/>
      <c r="AG492"/>
      <c r="AH492"/>
      <c r="AI492" s="447"/>
      <c r="AJ492"/>
      <c r="AK492"/>
      <c r="AL492" s="447"/>
      <c r="AM492"/>
      <c r="AN492"/>
      <c r="AO492" s="447"/>
      <c r="AP492"/>
      <c r="AQ492"/>
      <c r="AS492"/>
      <c r="AT492" s="447"/>
      <c r="AU492"/>
      <c r="AV492"/>
      <c r="AW492" s="447"/>
      <c r="AX492"/>
      <c r="AY492"/>
      <c r="AZ492" s="447"/>
      <c r="BA492"/>
      <c r="BB492"/>
      <c r="BC492" s="447"/>
      <c r="BD492"/>
      <c r="BE492"/>
    </row>
    <row r="493" spans="4:57">
      <c r="D493" s="447"/>
      <c r="G493" s="447"/>
      <c r="J493" s="447"/>
      <c r="M493" s="447"/>
      <c r="R493" s="447"/>
      <c r="S493"/>
      <c r="T493"/>
      <c r="U493" s="447"/>
      <c r="V493"/>
      <c r="W493"/>
      <c r="X493" s="447"/>
      <c r="Y493"/>
      <c r="Z493"/>
      <c r="AA493" s="447"/>
      <c r="AB493"/>
      <c r="AC493"/>
      <c r="AE493"/>
      <c r="AF493" s="447"/>
      <c r="AG493"/>
      <c r="AH493"/>
      <c r="AI493" s="447"/>
      <c r="AJ493"/>
      <c r="AK493"/>
      <c r="AL493" s="447"/>
      <c r="AM493"/>
      <c r="AN493"/>
      <c r="AO493" s="447"/>
      <c r="AP493"/>
      <c r="AQ493"/>
      <c r="AS493"/>
      <c r="AT493" s="447"/>
      <c r="AU493"/>
      <c r="AV493"/>
      <c r="AW493" s="447"/>
      <c r="AX493"/>
      <c r="AY493"/>
      <c r="AZ493" s="447"/>
      <c r="BA493"/>
      <c r="BB493"/>
      <c r="BC493" s="447"/>
      <c r="BD493"/>
      <c r="BE493"/>
    </row>
    <row r="494" spans="4:57">
      <c r="D494" s="447"/>
      <c r="G494" s="447"/>
      <c r="J494" s="447"/>
      <c r="M494" s="447"/>
      <c r="R494" s="447"/>
      <c r="S494"/>
      <c r="T494"/>
      <c r="U494" s="447"/>
      <c r="V494"/>
      <c r="W494"/>
      <c r="X494" s="447"/>
      <c r="Y494"/>
      <c r="Z494"/>
      <c r="AA494" s="447"/>
      <c r="AB494"/>
      <c r="AC494"/>
      <c r="AE494"/>
      <c r="AF494" s="447"/>
      <c r="AG494"/>
      <c r="AH494"/>
      <c r="AI494" s="447"/>
      <c r="AJ494"/>
      <c r="AK494"/>
      <c r="AL494" s="447"/>
      <c r="AM494"/>
      <c r="AN494"/>
      <c r="AO494" s="447"/>
      <c r="AP494"/>
      <c r="AQ494"/>
      <c r="AS494"/>
      <c r="AT494" s="447"/>
      <c r="AU494"/>
      <c r="AV494"/>
      <c r="AW494" s="447"/>
      <c r="AX494"/>
      <c r="AY494"/>
      <c r="AZ494" s="447"/>
      <c r="BA494"/>
      <c r="BB494"/>
      <c r="BC494" s="447"/>
      <c r="BD494"/>
      <c r="BE494"/>
    </row>
    <row r="495" spans="4:57">
      <c r="D495" s="447"/>
      <c r="G495" s="447"/>
      <c r="J495" s="447"/>
      <c r="M495" s="447"/>
      <c r="R495" s="447"/>
      <c r="S495"/>
      <c r="T495"/>
      <c r="U495" s="447"/>
      <c r="V495"/>
      <c r="W495"/>
      <c r="X495" s="447"/>
      <c r="Y495"/>
      <c r="Z495"/>
      <c r="AA495" s="447"/>
      <c r="AB495"/>
      <c r="AC495"/>
      <c r="AE495"/>
      <c r="AF495" s="447"/>
      <c r="AG495"/>
      <c r="AH495"/>
      <c r="AI495" s="447"/>
      <c r="AJ495"/>
      <c r="AK495"/>
      <c r="AL495" s="447"/>
      <c r="AM495"/>
      <c r="AN495"/>
      <c r="AO495" s="447"/>
      <c r="AP495"/>
      <c r="AQ495"/>
      <c r="AS495"/>
      <c r="AT495" s="447"/>
      <c r="AU495"/>
      <c r="AV495"/>
      <c r="AW495" s="447"/>
      <c r="AX495"/>
      <c r="AY495"/>
      <c r="AZ495" s="447"/>
      <c r="BA495"/>
      <c r="BB495"/>
      <c r="BC495" s="447"/>
      <c r="BD495"/>
      <c r="BE495"/>
    </row>
    <row r="496" spans="4:57">
      <c r="D496" s="447"/>
      <c r="G496" s="447"/>
      <c r="J496" s="447"/>
      <c r="M496" s="447"/>
      <c r="R496" s="447"/>
      <c r="S496"/>
      <c r="T496"/>
      <c r="U496" s="447"/>
      <c r="V496"/>
      <c r="W496"/>
      <c r="X496" s="447"/>
      <c r="Y496"/>
      <c r="Z496"/>
      <c r="AA496" s="447"/>
      <c r="AB496"/>
      <c r="AC496"/>
      <c r="AE496"/>
      <c r="AF496" s="447"/>
      <c r="AG496"/>
      <c r="AH496"/>
      <c r="AI496" s="447"/>
      <c r="AJ496"/>
      <c r="AK496"/>
      <c r="AL496" s="447"/>
      <c r="AM496"/>
      <c r="AN496"/>
      <c r="AO496" s="447"/>
      <c r="AP496"/>
      <c r="AQ496"/>
      <c r="AS496"/>
      <c r="AT496" s="447"/>
      <c r="AU496"/>
      <c r="AV496"/>
      <c r="AW496" s="447"/>
      <c r="AX496"/>
      <c r="AY496"/>
      <c r="AZ496" s="447"/>
      <c r="BA496"/>
      <c r="BB496"/>
      <c r="BC496" s="447"/>
      <c r="BD496"/>
      <c r="BE496"/>
    </row>
    <row r="497" spans="4:57">
      <c r="D497" s="447"/>
      <c r="G497" s="447"/>
      <c r="J497" s="447"/>
      <c r="M497" s="447"/>
      <c r="R497" s="447"/>
      <c r="S497"/>
      <c r="T497"/>
      <c r="U497" s="447"/>
      <c r="V497"/>
      <c r="W497"/>
      <c r="X497" s="447"/>
      <c r="Y497"/>
      <c r="Z497"/>
      <c r="AA497" s="447"/>
      <c r="AB497"/>
      <c r="AC497"/>
      <c r="AE497"/>
      <c r="AF497" s="447"/>
      <c r="AG497"/>
      <c r="AH497"/>
      <c r="AI497" s="447"/>
      <c r="AJ497"/>
      <c r="AK497"/>
      <c r="AL497" s="447"/>
      <c r="AM497"/>
      <c r="AN497"/>
      <c r="AO497" s="447"/>
      <c r="AP497"/>
      <c r="AQ497"/>
      <c r="AS497"/>
      <c r="AT497" s="447"/>
      <c r="AU497"/>
      <c r="AV497"/>
      <c r="AW497" s="447"/>
      <c r="AX497"/>
      <c r="AY497"/>
      <c r="AZ497" s="447"/>
      <c r="BA497"/>
      <c r="BB497"/>
      <c r="BC497" s="447"/>
      <c r="BD497"/>
      <c r="BE497"/>
    </row>
    <row r="498" spans="4:57">
      <c r="D498" s="447"/>
      <c r="G498" s="447"/>
      <c r="J498" s="447"/>
      <c r="M498" s="447"/>
      <c r="R498" s="447"/>
      <c r="S498"/>
      <c r="T498"/>
      <c r="U498" s="447"/>
      <c r="V498"/>
      <c r="W498"/>
      <c r="X498" s="447"/>
      <c r="Y498"/>
      <c r="Z498"/>
      <c r="AA498" s="447"/>
      <c r="AB498"/>
      <c r="AC498"/>
      <c r="AE498"/>
      <c r="AF498" s="447"/>
      <c r="AG498"/>
      <c r="AH498"/>
      <c r="AI498" s="447"/>
      <c r="AJ498"/>
      <c r="AK498"/>
      <c r="AL498" s="447"/>
      <c r="AM498"/>
      <c r="AN498"/>
      <c r="AO498" s="447"/>
      <c r="AP498"/>
      <c r="AQ498"/>
      <c r="AS498"/>
      <c r="AT498" s="447"/>
      <c r="AU498"/>
      <c r="AV498"/>
      <c r="AW498" s="447"/>
      <c r="AX498"/>
      <c r="AY498"/>
      <c r="AZ498" s="447"/>
      <c r="BA498"/>
      <c r="BB498"/>
      <c r="BC498" s="447"/>
      <c r="BD498"/>
      <c r="BE498"/>
    </row>
    <row r="499" spans="4:57">
      <c r="D499" s="447"/>
      <c r="G499" s="447"/>
      <c r="J499" s="447"/>
      <c r="M499" s="447"/>
      <c r="R499" s="447"/>
      <c r="S499"/>
      <c r="T499"/>
      <c r="U499" s="447"/>
      <c r="V499"/>
      <c r="W499"/>
      <c r="X499" s="447"/>
      <c r="Y499"/>
      <c r="Z499"/>
      <c r="AA499" s="447"/>
      <c r="AB499"/>
      <c r="AC499"/>
      <c r="AE499"/>
      <c r="AF499" s="447"/>
      <c r="AG499"/>
      <c r="AH499"/>
      <c r="AI499" s="447"/>
      <c r="AJ499"/>
      <c r="AK499"/>
      <c r="AL499" s="447"/>
      <c r="AM499"/>
      <c r="AN499"/>
      <c r="AO499" s="447"/>
      <c r="AP499"/>
      <c r="AQ499"/>
      <c r="AS499"/>
      <c r="AT499" s="447"/>
      <c r="AU499"/>
      <c r="AV499"/>
      <c r="AW499" s="447"/>
      <c r="AX499"/>
      <c r="AY499"/>
      <c r="AZ499" s="447"/>
      <c r="BA499"/>
      <c r="BB499"/>
      <c r="BC499" s="447"/>
      <c r="BD499"/>
      <c r="BE499"/>
    </row>
    <row r="500" spans="4:57">
      <c r="D500" s="447"/>
      <c r="G500" s="447"/>
      <c r="J500" s="447"/>
      <c r="M500" s="447"/>
      <c r="R500" s="447"/>
      <c r="S500"/>
      <c r="T500"/>
      <c r="U500" s="447"/>
      <c r="V500"/>
      <c r="W500"/>
      <c r="X500" s="447"/>
      <c r="Y500"/>
      <c r="Z500"/>
      <c r="AA500" s="447"/>
      <c r="AB500"/>
      <c r="AC500"/>
      <c r="AE500"/>
      <c r="AF500" s="447"/>
      <c r="AG500"/>
      <c r="AH500"/>
      <c r="AI500" s="447"/>
      <c r="AJ500"/>
      <c r="AK500"/>
      <c r="AL500" s="447"/>
      <c r="AM500"/>
      <c r="AN500"/>
      <c r="AO500" s="447"/>
      <c r="AP500"/>
      <c r="AQ500"/>
      <c r="AS500"/>
      <c r="AT500" s="447"/>
      <c r="AU500"/>
      <c r="AV500"/>
      <c r="AW500" s="447"/>
      <c r="AX500"/>
      <c r="AY500"/>
      <c r="AZ500" s="447"/>
      <c r="BA500"/>
      <c r="BB500"/>
      <c r="BC500" s="447"/>
      <c r="BD500"/>
      <c r="BE500"/>
    </row>
    <row r="501" spans="4:57">
      <c r="D501" s="447"/>
      <c r="G501" s="447"/>
      <c r="J501" s="447"/>
      <c r="M501" s="447"/>
      <c r="R501" s="447"/>
      <c r="S501"/>
      <c r="T501"/>
      <c r="U501" s="447"/>
      <c r="V501"/>
      <c r="W501"/>
      <c r="X501" s="447"/>
      <c r="Y501"/>
      <c r="Z501"/>
      <c r="AA501" s="447"/>
      <c r="AB501"/>
      <c r="AC501"/>
      <c r="AE501"/>
      <c r="AF501" s="447"/>
      <c r="AG501"/>
      <c r="AH501"/>
      <c r="AI501" s="447"/>
      <c r="AJ501"/>
      <c r="AK501"/>
      <c r="AL501" s="447"/>
      <c r="AM501"/>
      <c r="AN501"/>
      <c r="AO501" s="447"/>
      <c r="AP501"/>
      <c r="AQ501"/>
      <c r="AS501"/>
      <c r="AT501" s="447"/>
      <c r="AU501"/>
      <c r="AV501"/>
      <c r="AW501" s="447"/>
      <c r="AX501"/>
      <c r="AY501"/>
      <c r="AZ501" s="447"/>
      <c r="BA501"/>
      <c r="BB501"/>
      <c r="BC501" s="447"/>
      <c r="BD501"/>
      <c r="BE501"/>
    </row>
    <row r="502" spans="4:57">
      <c r="D502" s="447"/>
      <c r="G502" s="447"/>
      <c r="J502" s="447"/>
      <c r="M502" s="447"/>
      <c r="R502" s="447"/>
      <c r="S502"/>
      <c r="T502"/>
      <c r="U502" s="447"/>
      <c r="V502"/>
      <c r="W502"/>
      <c r="X502" s="447"/>
      <c r="Y502"/>
      <c r="Z502"/>
      <c r="AA502" s="447"/>
      <c r="AB502"/>
      <c r="AC502"/>
      <c r="AE502"/>
      <c r="AF502" s="447"/>
      <c r="AG502"/>
      <c r="AH502"/>
      <c r="AI502" s="447"/>
      <c r="AJ502"/>
      <c r="AK502"/>
      <c r="AL502" s="447"/>
      <c r="AM502"/>
      <c r="AN502"/>
      <c r="AO502" s="447"/>
      <c r="AP502"/>
      <c r="AQ502"/>
      <c r="AS502"/>
      <c r="AT502" s="447"/>
      <c r="AU502"/>
      <c r="AV502"/>
      <c r="AW502" s="447"/>
      <c r="AX502"/>
      <c r="AY502"/>
      <c r="AZ502" s="447"/>
      <c r="BA502"/>
      <c r="BB502"/>
      <c r="BC502" s="447"/>
      <c r="BD502"/>
      <c r="BE502"/>
    </row>
    <row r="503" spans="4:57">
      <c r="D503" s="447"/>
      <c r="G503" s="447"/>
      <c r="J503" s="447"/>
      <c r="M503" s="447"/>
      <c r="R503" s="447"/>
      <c r="S503"/>
      <c r="T503"/>
      <c r="U503" s="447"/>
      <c r="V503"/>
      <c r="W503"/>
      <c r="X503" s="447"/>
      <c r="Y503"/>
      <c r="Z503"/>
      <c r="AA503" s="447"/>
      <c r="AB503"/>
      <c r="AC503"/>
      <c r="AE503"/>
      <c r="AF503" s="447"/>
      <c r="AG503"/>
      <c r="AH503"/>
      <c r="AI503" s="447"/>
      <c r="AJ503"/>
      <c r="AK503"/>
      <c r="AL503" s="447"/>
      <c r="AM503"/>
      <c r="AN503"/>
      <c r="AO503" s="447"/>
      <c r="AP503"/>
      <c r="AQ503"/>
      <c r="AS503"/>
      <c r="AT503" s="447"/>
      <c r="AU503"/>
      <c r="AV503"/>
      <c r="AW503" s="447"/>
      <c r="AX503"/>
      <c r="AY503"/>
      <c r="AZ503" s="447"/>
      <c r="BA503"/>
      <c r="BB503"/>
      <c r="BC503" s="447"/>
      <c r="BD503"/>
      <c r="BE503"/>
    </row>
    <row r="504" spans="4:57">
      <c r="D504" s="447"/>
      <c r="G504" s="447"/>
      <c r="J504" s="447"/>
      <c r="M504" s="447"/>
      <c r="R504" s="447"/>
      <c r="S504"/>
      <c r="T504"/>
      <c r="U504" s="447"/>
      <c r="V504"/>
      <c r="W504"/>
      <c r="X504" s="447"/>
      <c r="Y504"/>
      <c r="Z504"/>
      <c r="AA504" s="447"/>
      <c r="AB504"/>
      <c r="AC504"/>
      <c r="AE504"/>
      <c r="AF504" s="447"/>
      <c r="AG504"/>
      <c r="AH504"/>
      <c r="AI504" s="447"/>
      <c r="AJ504"/>
      <c r="AK504"/>
      <c r="AL504" s="447"/>
      <c r="AM504"/>
      <c r="AN504"/>
      <c r="AO504" s="447"/>
      <c r="AP504"/>
      <c r="AQ504"/>
      <c r="AS504"/>
      <c r="AT504" s="447"/>
      <c r="AU504"/>
      <c r="AV504"/>
      <c r="AW504" s="447"/>
      <c r="AX504"/>
      <c r="AY504"/>
      <c r="AZ504" s="447"/>
      <c r="BA504"/>
      <c r="BB504"/>
      <c r="BC504" s="447"/>
      <c r="BD504"/>
      <c r="BE504"/>
    </row>
    <row r="505" spans="4:57">
      <c r="D505" s="447"/>
      <c r="G505" s="447"/>
      <c r="J505" s="447"/>
      <c r="M505" s="447"/>
      <c r="R505" s="447"/>
      <c r="S505"/>
      <c r="T505"/>
      <c r="U505" s="447"/>
      <c r="V505"/>
      <c r="W505"/>
      <c r="X505" s="447"/>
      <c r="Y505"/>
      <c r="Z505"/>
      <c r="AA505" s="447"/>
      <c r="AB505"/>
      <c r="AC505"/>
      <c r="AE505"/>
      <c r="AF505" s="447"/>
      <c r="AG505"/>
      <c r="AH505"/>
      <c r="AI505" s="447"/>
      <c r="AJ505"/>
      <c r="AK505"/>
      <c r="AL505" s="447"/>
      <c r="AM505"/>
      <c r="AN505"/>
      <c r="AO505" s="447"/>
      <c r="AP505"/>
      <c r="AQ505"/>
      <c r="AS505"/>
      <c r="AT505" s="447"/>
      <c r="AU505"/>
      <c r="AV505"/>
      <c r="AW505" s="447"/>
      <c r="AX505"/>
      <c r="AY505"/>
      <c r="AZ505" s="447"/>
      <c r="BA505"/>
      <c r="BB505"/>
      <c r="BC505" s="447"/>
      <c r="BD505"/>
      <c r="BE505"/>
    </row>
    <row r="506" spans="4:57">
      <c r="D506" s="447"/>
      <c r="G506" s="447"/>
      <c r="J506" s="447"/>
      <c r="M506" s="447"/>
      <c r="R506" s="447"/>
      <c r="S506"/>
      <c r="T506"/>
      <c r="U506" s="447"/>
      <c r="V506"/>
      <c r="W506"/>
      <c r="X506" s="447"/>
      <c r="Y506"/>
      <c r="Z506"/>
      <c r="AA506" s="447"/>
      <c r="AB506"/>
      <c r="AC506"/>
      <c r="AE506"/>
      <c r="AF506" s="447"/>
      <c r="AG506"/>
      <c r="AH506"/>
      <c r="AI506" s="447"/>
      <c r="AJ506"/>
      <c r="AK506"/>
      <c r="AL506" s="447"/>
      <c r="AM506"/>
      <c r="AN506"/>
      <c r="AO506" s="447"/>
      <c r="AP506"/>
      <c r="AQ506"/>
      <c r="AS506"/>
      <c r="AT506" s="447"/>
      <c r="AU506"/>
      <c r="AV506"/>
      <c r="AW506" s="447"/>
      <c r="AX506"/>
      <c r="AY506"/>
      <c r="AZ506" s="447"/>
      <c r="BA506"/>
      <c r="BB506"/>
      <c r="BC506" s="447"/>
      <c r="BD506"/>
      <c r="BE506"/>
    </row>
    <row r="507" spans="4:57">
      <c r="D507" s="447"/>
      <c r="G507" s="447"/>
      <c r="J507" s="447"/>
      <c r="M507" s="447"/>
      <c r="R507" s="447"/>
      <c r="S507"/>
      <c r="T507"/>
      <c r="U507" s="447"/>
      <c r="V507"/>
      <c r="W507"/>
      <c r="X507" s="447"/>
      <c r="Y507"/>
      <c r="Z507"/>
      <c r="AA507" s="447"/>
      <c r="AB507"/>
      <c r="AC507"/>
      <c r="AE507"/>
      <c r="AF507" s="447"/>
      <c r="AG507"/>
      <c r="AH507"/>
      <c r="AI507" s="447"/>
      <c r="AJ507"/>
      <c r="AK507"/>
      <c r="AL507" s="447"/>
      <c r="AM507"/>
      <c r="AN507"/>
      <c r="AO507" s="447"/>
      <c r="AP507"/>
      <c r="AQ507"/>
      <c r="AS507"/>
      <c r="AT507" s="447"/>
      <c r="AU507"/>
      <c r="AV507"/>
      <c r="AW507" s="447"/>
      <c r="AX507"/>
      <c r="AY507"/>
      <c r="AZ507" s="447"/>
      <c r="BA507"/>
      <c r="BB507"/>
      <c r="BC507" s="447"/>
      <c r="BD507"/>
      <c r="BE507"/>
    </row>
    <row r="508" spans="4:57">
      <c r="D508" s="447"/>
      <c r="G508" s="447"/>
      <c r="J508" s="447"/>
      <c r="M508" s="447"/>
      <c r="R508" s="447"/>
      <c r="S508"/>
      <c r="T508"/>
      <c r="U508" s="447"/>
      <c r="V508"/>
      <c r="W508"/>
      <c r="X508" s="447"/>
      <c r="Y508"/>
      <c r="Z508"/>
      <c r="AA508" s="447"/>
      <c r="AB508"/>
      <c r="AC508"/>
      <c r="AE508"/>
      <c r="AF508" s="447"/>
      <c r="AG508"/>
      <c r="AH508"/>
      <c r="AI508" s="447"/>
      <c r="AJ508"/>
      <c r="AK508"/>
      <c r="AL508" s="447"/>
      <c r="AM508"/>
      <c r="AN508"/>
      <c r="AO508" s="447"/>
      <c r="AP508"/>
      <c r="AQ508"/>
      <c r="AS508"/>
      <c r="AT508" s="447"/>
      <c r="AU508"/>
      <c r="AV508"/>
      <c r="AW508" s="447"/>
      <c r="AX508"/>
      <c r="AY508"/>
      <c r="AZ508" s="447"/>
      <c r="BA508"/>
      <c r="BB508"/>
      <c r="BC508" s="447"/>
      <c r="BD508"/>
      <c r="BE508"/>
    </row>
    <row r="509" spans="4:57">
      <c r="D509" s="447"/>
      <c r="G509" s="447"/>
      <c r="J509" s="447"/>
      <c r="M509" s="447"/>
      <c r="R509" s="447"/>
      <c r="S509"/>
      <c r="T509"/>
      <c r="U509" s="447"/>
      <c r="V509"/>
      <c r="W509"/>
      <c r="X509" s="447"/>
      <c r="Y509"/>
      <c r="Z509"/>
      <c r="AA509" s="447"/>
      <c r="AB509"/>
      <c r="AC509"/>
      <c r="AE509"/>
      <c r="AF509" s="447"/>
      <c r="AG509"/>
      <c r="AH509"/>
      <c r="AI509" s="447"/>
      <c r="AJ509"/>
      <c r="AK509"/>
      <c r="AL509" s="447"/>
      <c r="AM509"/>
      <c r="AN509"/>
      <c r="AO509" s="447"/>
      <c r="AP509"/>
      <c r="AQ509"/>
      <c r="AS509"/>
      <c r="AT509" s="447"/>
      <c r="AU509"/>
      <c r="AV509"/>
      <c r="AW509" s="447"/>
      <c r="AX509"/>
      <c r="AY509"/>
      <c r="AZ509" s="447"/>
      <c r="BA509"/>
      <c r="BB509"/>
      <c r="BC509" s="447"/>
      <c r="BD509"/>
      <c r="BE509"/>
    </row>
    <row r="510" spans="4:57">
      <c r="D510" s="447"/>
      <c r="G510" s="447"/>
      <c r="J510" s="447"/>
      <c r="M510" s="447"/>
      <c r="R510" s="447"/>
      <c r="S510"/>
      <c r="T510"/>
      <c r="U510" s="447"/>
      <c r="V510"/>
      <c r="W510"/>
      <c r="X510" s="447"/>
      <c r="Y510"/>
      <c r="Z510"/>
      <c r="AA510" s="447"/>
      <c r="AB510"/>
      <c r="AC510"/>
      <c r="AE510"/>
      <c r="AF510" s="447"/>
      <c r="AG510"/>
      <c r="AH510"/>
      <c r="AI510" s="447"/>
      <c r="AJ510"/>
      <c r="AK510"/>
      <c r="AL510" s="447"/>
      <c r="AM510"/>
      <c r="AN510"/>
      <c r="AO510" s="447"/>
      <c r="AP510"/>
      <c r="AQ510"/>
      <c r="AS510"/>
      <c r="AT510" s="447"/>
      <c r="AU510"/>
      <c r="AV510"/>
      <c r="AW510" s="447"/>
      <c r="AX510"/>
      <c r="AY510"/>
      <c r="AZ510" s="447"/>
      <c r="BA510"/>
      <c r="BB510"/>
      <c r="BC510" s="447"/>
      <c r="BD510"/>
      <c r="BE510"/>
    </row>
    <row r="511" spans="4:57">
      <c r="D511" s="447"/>
      <c r="G511" s="447"/>
      <c r="J511" s="447"/>
      <c r="M511" s="447"/>
      <c r="R511" s="447"/>
      <c r="S511"/>
      <c r="T511"/>
      <c r="U511" s="447"/>
      <c r="V511"/>
      <c r="W511"/>
      <c r="X511" s="447"/>
      <c r="Y511"/>
      <c r="Z511"/>
      <c r="AA511" s="447"/>
      <c r="AB511"/>
      <c r="AC511"/>
      <c r="AE511"/>
      <c r="AF511" s="447"/>
      <c r="AG511"/>
      <c r="AH511"/>
      <c r="AI511" s="447"/>
      <c r="AJ511"/>
      <c r="AK511"/>
      <c r="AL511" s="447"/>
      <c r="AM511"/>
      <c r="AN511"/>
      <c r="AO511" s="447"/>
      <c r="AP511"/>
      <c r="AQ511"/>
      <c r="AS511"/>
      <c r="AT511" s="447"/>
      <c r="AU511"/>
      <c r="AV511"/>
      <c r="AW511" s="447"/>
      <c r="AX511"/>
      <c r="AY511"/>
      <c r="AZ511" s="447"/>
      <c r="BA511"/>
      <c r="BB511"/>
      <c r="BC511" s="447"/>
      <c r="BD511"/>
      <c r="BE511"/>
    </row>
    <row r="512" spans="4:57">
      <c r="D512" s="447"/>
      <c r="G512" s="447"/>
      <c r="J512" s="447"/>
      <c r="M512" s="447"/>
      <c r="R512" s="447"/>
      <c r="S512"/>
      <c r="T512"/>
      <c r="U512" s="447"/>
      <c r="V512"/>
      <c r="W512"/>
      <c r="X512" s="447"/>
      <c r="Y512"/>
      <c r="Z512"/>
      <c r="AA512" s="447"/>
      <c r="AB512"/>
      <c r="AC512"/>
      <c r="AE512"/>
      <c r="AF512" s="447"/>
      <c r="AG512"/>
      <c r="AH512"/>
      <c r="AI512" s="447"/>
      <c r="AJ512"/>
      <c r="AK512"/>
      <c r="AL512" s="447"/>
      <c r="AM512"/>
      <c r="AN512"/>
      <c r="AO512" s="447"/>
      <c r="AP512"/>
      <c r="AQ512"/>
      <c r="AS512"/>
      <c r="AT512" s="447"/>
      <c r="AU512"/>
      <c r="AV512"/>
      <c r="AW512" s="447"/>
      <c r="AX512"/>
      <c r="AY512"/>
      <c r="AZ512" s="447"/>
      <c r="BA512"/>
      <c r="BB512"/>
      <c r="BC512" s="447"/>
      <c r="BD512"/>
      <c r="BE512"/>
    </row>
    <row r="513" spans="4:57">
      <c r="D513" s="447"/>
      <c r="G513" s="447"/>
      <c r="J513" s="447"/>
      <c r="M513" s="447"/>
      <c r="R513" s="447"/>
      <c r="S513"/>
      <c r="T513"/>
      <c r="U513" s="447"/>
      <c r="V513"/>
      <c r="W513"/>
      <c r="X513" s="447"/>
      <c r="Y513"/>
      <c r="Z513"/>
      <c r="AA513" s="447"/>
      <c r="AB513"/>
      <c r="AC513"/>
      <c r="AE513"/>
      <c r="AF513" s="447"/>
      <c r="AG513"/>
      <c r="AH513"/>
      <c r="AI513" s="447"/>
      <c r="AJ513"/>
      <c r="AK513"/>
      <c r="AL513" s="447"/>
      <c r="AM513"/>
      <c r="AN513"/>
      <c r="AO513" s="447"/>
      <c r="AP513"/>
      <c r="AQ513"/>
      <c r="AS513"/>
      <c r="AT513" s="447"/>
      <c r="AU513"/>
      <c r="AV513"/>
      <c r="AW513" s="447"/>
      <c r="AX513"/>
      <c r="AY513"/>
      <c r="AZ513" s="447"/>
      <c r="BA513"/>
      <c r="BB513"/>
      <c r="BC513" s="447"/>
      <c r="BD513"/>
      <c r="BE513"/>
    </row>
    <row r="514" spans="4:57">
      <c r="D514" s="447"/>
      <c r="G514" s="447"/>
      <c r="J514" s="447"/>
      <c r="M514" s="447"/>
      <c r="R514" s="447"/>
      <c r="S514"/>
      <c r="T514"/>
      <c r="U514" s="447"/>
      <c r="V514"/>
      <c r="W514"/>
      <c r="X514" s="447"/>
      <c r="Y514"/>
      <c r="Z514"/>
      <c r="AA514" s="447"/>
      <c r="AB514"/>
      <c r="AC514"/>
      <c r="AE514"/>
      <c r="AF514" s="447"/>
      <c r="AG514"/>
      <c r="AH514"/>
      <c r="AI514" s="447"/>
      <c r="AJ514"/>
      <c r="AK514"/>
      <c r="AL514" s="447"/>
      <c r="AM514"/>
      <c r="AN514"/>
      <c r="AO514" s="447"/>
      <c r="AP514"/>
      <c r="AQ514"/>
      <c r="AS514"/>
      <c r="AT514" s="447"/>
      <c r="AU514"/>
      <c r="AV514"/>
      <c r="AW514" s="447"/>
      <c r="AX514"/>
      <c r="AY514"/>
      <c r="AZ514" s="447"/>
      <c r="BA514"/>
      <c r="BB514"/>
      <c r="BC514" s="447"/>
      <c r="BD514"/>
      <c r="BE514"/>
    </row>
    <row r="515" spans="4:57">
      <c r="D515" s="447"/>
      <c r="G515" s="447"/>
      <c r="J515" s="447"/>
      <c r="M515" s="447"/>
      <c r="R515" s="447"/>
      <c r="S515"/>
      <c r="T515"/>
      <c r="U515" s="447"/>
      <c r="V515"/>
      <c r="W515"/>
      <c r="X515" s="447"/>
      <c r="Y515"/>
      <c r="Z515"/>
      <c r="AA515" s="447"/>
      <c r="AB515"/>
      <c r="AC515"/>
      <c r="AE515"/>
      <c r="AF515" s="447"/>
      <c r="AG515"/>
      <c r="AH515"/>
      <c r="AI515" s="447"/>
      <c r="AJ515"/>
      <c r="AK515"/>
      <c r="AL515" s="447"/>
      <c r="AM515"/>
      <c r="AN515"/>
      <c r="AO515" s="447"/>
      <c r="AP515"/>
      <c r="AQ515"/>
      <c r="AS515"/>
      <c r="AT515" s="447"/>
      <c r="AU515"/>
      <c r="AV515"/>
      <c r="AW515" s="447"/>
      <c r="AX515"/>
      <c r="AY515"/>
      <c r="AZ515" s="447"/>
      <c r="BA515"/>
      <c r="BB515"/>
      <c r="BC515" s="447"/>
      <c r="BD515"/>
      <c r="BE515"/>
    </row>
    <row r="516" spans="4:57">
      <c r="D516" s="447"/>
      <c r="G516" s="447"/>
      <c r="J516" s="447"/>
      <c r="M516" s="447"/>
      <c r="R516" s="447"/>
      <c r="S516"/>
      <c r="T516"/>
      <c r="U516" s="447"/>
      <c r="V516"/>
      <c r="W516"/>
      <c r="X516" s="447"/>
      <c r="Y516"/>
      <c r="Z516"/>
      <c r="AA516" s="447"/>
      <c r="AB516"/>
      <c r="AC516"/>
      <c r="AE516"/>
      <c r="AF516" s="447"/>
      <c r="AG516"/>
      <c r="AH516"/>
      <c r="AI516" s="447"/>
      <c r="AJ516"/>
      <c r="AK516"/>
      <c r="AL516" s="447"/>
      <c r="AM516"/>
      <c r="AN516"/>
      <c r="AO516" s="447"/>
      <c r="AP516"/>
      <c r="AQ516"/>
      <c r="AS516"/>
      <c r="AT516" s="447"/>
      <c r="AU516"/>
      <c r="AV516"/>
      <c r="AW516" s="447"/>
      <c r="AX516"/>
      <c r="AY516"/>
      <c r="AZ516" s="447"/>
      <c r="BA516"/>
      <c r="BB516"/>
      <c r="BC516" s="447"/>
      <c r="BD516"/>
      <c r="BE516"/>
    </row>
    <row r="517" spans="4:57">
      <c r="D517" s="447"/>
      <c r="G517" s="447"/>
      <c r="J517" s="447"/>
      <c r="M517" s="447"/>
      <c r="R517" s="447"/>
      <c r="S517"/>
      <c r="T517"/>
      <c r="U517" s="447"/>
      <c r="V517"/>
      <c r="W517"/>
      <c r="X517" s="447"/>
      <c r="Y517"/>
      <c r="Z517"/>
      <c r="AA517" s="447"/>
      <c r="AB517"/>
      <c r="AC517"/>
      <c r="AE517"/>
      <c r="AF517" s="447"/>
      <c r="AG517"/>
      <c r="AH517"/>
      <c r="AI517" s="447"/>
      <c r="AJ517"/>
      <c r="AK517"/>
      <c r="AL517" s="447"/>
      <c r="AM517"/>
      <c r="AN517"/>
      <c r="AO517" s="447"/>
      <c r="AP517"/>
      <c r="AQ517"/>
      <c r="AS517"/>
      <c r="AT517" s="447"/>
      <c r="AU517"/>
      <c r="AV517"/>
      <c r="AW517" s="447"/>
      <c r="AX517"/>
      <c r="AY517"/>
      <c r="AZ517" s="447"/>
      <c r="BA517"/>
      <c r="BB517"/>
      <c r="BC517" s="447"/>
      <c r="BD517"/>
      <c r="BE517"/>
    </row>
    <row r="518" spans="4:57">
      <c r="D518" s="447"/>
      <c r="G518" s="447"/>
      <c r="J518" s="447"/>
      <c r="M518" s="447"/>
      <c r="R518" s="447"/>
      <c r="S518"/>
      <c r="T518"/>
      <c r="U518" s="447"/>
      <c r="V518"/>
      <c r="W518"/>
      <c r="X518" s="447"/>
      <c r="Y518"/>
      <c r="Z518"/>
      <c r="AA518" s="447"/>
      <c r="AB518"/>
      <c r="AC518"/>
      <c r="AE518"/>
      <c r="AF518" s="447"/>
      <c r="AG518"/>
      <c r="AH518"/>
      <c r="AI518" s="447"/>
      <c r="AJ518"/>
      <c r="AK518"/>
      <c r="AL518" s="447"/>
      <c r="AM518"/>
      <c r="AN518"/>
      <c r="AO518" s="447"/>
      <c r="AP518"/>
      <c r="AQ518"/>
      <c r="AS518"/>
      <c r="AT518" s="447"/>
      <c r="AU518"/>
      <c r="AV518"/>
      <c r="AW518" s="447"/>
      <c r="AX518"/>
      <c r="AY518"/>
      <c r="AZ518" s="447"/>
      <c r="BA518"/>
      <c r="BB518"/>
      <c r="BC518" s="447"/>
      <c r="BD518"/>
      <c r="BE518"/>
    </row>
    <row r="519" spans="4:57">
      <c r="D519" s="447"/>
      <c r="G519" s="447"/>
      <c r="J519" s="447"/>
      <c r="M519" s="447"/>
      <c r="R519" s="447"/>
      <c r="S519"/>
      <c r="T519"/>
      <c r="U519" s="447"/>
      <c r="V519"/>
      <c r="W519"/>
      <c r="X519" s="447"/>
      <c r="Y519"/>
      <c r="Z519"/>
      <c r="AA519" s="447"/>
      <c r="AB519"/>
      <c r="AC519"/>
      <c r="AE519"/>
      <c r="AF519" s="447"/>
      <c r="AG519"/>
      <c r="AH519"/>
      <c r="AI519" s="447"/>
      <c r="AJ519"/>
      <c r="AK519"/>
      <c r="AL519" s="447"/>
      <c r="AM519"/>
      <c r="AN519"/>
      <c r="AO519" s="447"/>
      <c r="AP519"/>
      <c r="AQ519"/>
      <c r="AS519"/>
      <c r="AT519" s="447"/>
      <c r="AU519"/>
      <c r="AV519"/>
      <c r="AW519" s="447"/>
      <c r="AX519"/>
      <c r="AY519"/>
      <c r="AZ519" s="447"/>
      <c r="BA519"/>
      <c r="BB519"/>
      <c r="BC519" s="447"/>
      <c r="BD519"/>
      <c r="BE519"/>
    </row>
    <row r="520" spans="4:57">
      <c r="D520" s="447"/>
      <c r="G520" s="447"/>
      <c r="J520" s="447"/>
      <c r="M520" s="447"/>
      <c r="R520" s="447"/>
      <c r="S520"/>
      <c r="T520"/>
      <c r="U520" s="447"/>
      <c r="V520"/>
      <c r="W520"/>
      <c r="X520" s="447"/>
      <c r="Y520"/>
      <c r="Z520"/>
      <c r="AA520" s="447"/>
      <c r="AB520"/>
      <c r="AC520"/>
      <c r="AE520"/>
      <c r="AF520" s="447"/>
      <c r="AG520"/>
      <c r="AH520"/>
      <c r="AI520" s="447"/>
      <c r="AJ520"/>
      <c r="AK520"/>
      <c r="AL520" s="447"/>
      <c r="AM520"/>
      <c r="AN520"/>
      <c r="AO520" s="447"/>
      <c r="AP520"/>
      <c r="AQ520"/>
      <c r="AS520"/>
      <c r="AT520" s="447"/>
      <c r="AU520"/>
      <c r="AV520"/>
      <c r="AW520" s="447"/>
      <c r="AX520"/>
      <c r="AY520"/>
      <c r="AZ520" s="447"/>
      <c r="BA520"/>
      <c r="BB520"/>
      <c r="BC520" s="447"/>
      <c r="BD520"/>
      <c r="BE520"/>
    </row>
    <row r="521" spans="4:57">
      <c r="D521" s="447"/>
      <c r="G521" s="447"/>
      <c r="J521" s="447"/>
      <c r="M521" s="447"/>
      <c r="R521" s="447"/>
      <c r="S521"/>
      <c r="T521"/>
      <c r="U521" s="447"/>
      <c r="V521"/>
      <c r="W521"/>
      <c r="X521" s="447"/>
      <c r="Y521"/>
      <c r="Z521"/>
      <c r="AA521" s="447"/>
      <c r="AB521"/>
      <c r="AC521"/>
      <c r="AE521"/>
      <c r="AF521" s="447"/>
      <c r="AG521"/>
      <c r="AH521"/>
      <c r="AI521" s="447"/>
      <c r="AJ521"/>
      <c r="AK521"/>
      <c r="AL521" s="447"/>
      <c r="AM521"/>
      <c r="AN521"/>
      <c r="AO521" s="447"/>
      <c r="AP521"/>
      <c r="AQ521"/>
      <c r="AS521"/>
      <c r="AT521" s="447"/>
      <c r="AU521"/>
      <c r="AV521"/>
      <c r="AW521" s="447"/>
      <c r="AX521"/>
      <c r="AY521"/>
      <c r="AZ521" s="447"/>
      <c r="BA521"/>
      <c r="BB521"/>
      <c r="BC521" s="447"/>
      <c r="BD521"/>
      <c r="BE521"/>
    </row>
    <row r="522" spans="4:57">
      <c r="D522" s="447"/>
      <c r="G522" s="447"/>
      <c r="J522" s="447"/>
      <c r="M522" s="447"/>
      <c r="R522" s="447"/>
      <c r="S522"/>
      <c r="T522"/>
      <c r="U522" s="447"/>
      <c r="V522"/>
      <c r="W522"/>
      <c r="X522" s="447"/>
      <c r="Y522"/>
      <c r="Z522"/>
      <c r="AA522" s="447"/>
      <c r="AB522"/>
      <c r="AC522"/>
      <c r="AE522"/>
      <c r="AF522" s="447"/>
      <c r="AG522"/>
      <c r="AH522"/>
      <c r="AI522" s="447"/>
      <c r="AJ522"/>
      <c r="AK522"/>
      <c r="AL522" s="447"/>
      <c r="AM522"/>
      <c r="AN522"/>
      <c r="AO522" s="447"/>
      <c r="AP522"/>
      <c r="AQ522"/>
      <c r="AS522"/>
      <c r="AT522" s="447"/>
      <c r="AU522"/>
      <c r="AV522"/>
      <c r="AW522" s="447"/>
      <c r="AX522"/>
      <c r="AY522"/>
      <c r="AZ522" s="447"/>
      <c r="BA522"/>
      <c r="BB522"/>
      <c r="BC522" s="447"/>
      <c r="BD522"/>
      <c r="BE522"/>
    </row>
    <row r="523" spans="4:57">
      <c r="D523" s="447"/>
      <c r="G523" s="447"/>
      <c r="J523" s="447"/>
      <c r="M523" s="447"/>
      <c r="R523" s="447"/>
      <c r="S523"/>
      <c r="T523"/>
      <c r="U523" s="447"/>
      <c r="V523"/>
      <c r="W523"/>
      <c r="X523" s="447"/>
      <c r="Y523"/>
      <c r="Z523"/>
      <c r="AA523" s="447"/>
      <c r="AB523"/>
      <c r="AC523"/>
      <c r="AE523"/>
      <c r="AF523" s="447"/>
      <c r="AG523"/>
      <c r="AH523"/>
      <c r="AI523" s="447"/>
      <c r="AJ523"/>
      <c r="AK523"/>
      <c r="AL523" s="447"/>
      <c r="AM523"/>
      <c r="AN523"/>
      <c r="AO523" s="447"/>
      <c r="AP523"/>
      <c r="AQ523"/>
      <c r="AS523"/>
      <c r="AT523" s="447"/>
      <c r="AU523"/>
      <c r="AV523"/>
      <c r="AW523" s="447"/>
      <c r="AX523"/>
      <c r="AY523"/>
      <c r="AZ523" s="447"/>
      <c r="BA523"/>
      <c r="BB523"/>
      <c r="BC523" s="447"/>
      <c r="BD523"/>
      <c r="BE523"/>
    </row>
    <row r="524" spans="4:57">
      <c r="D524" s="447"/>
      <c r="G524" s="447"/>
      <c r="J524" s="447"/>
      <c r="M524" s="447"/>
      <c r="R524" s="447"/>
      <c r="S524"/>
      <c r="T524"/>
      <c r="U524" s="447"/>
      <c r="V524"/>
      <c r="W524"/>
      <c r="X524" s="447"/>
      <c r="Y524"/>
      <c r="Z524"/>
      <c r="AA524" s="447"/>
      <c r="AB524"/>
      <c r="AC524"/>
      <c r="AE524"/>
      <c r="AF524" s="447"/>
      <c r="AG524"/>
      <c r="AH524"/>
      <c r="AI524" s="447"/>
      <c r="AJ524"/>
      <c r="AK524"/>
      <c r="AL524" s="447"/>
      <c r="AM524"/>
      <c r="AN524"/>
      <c r="AO524" s="447"/>
      <c r="AP524"/>
      <c r="AQ524"/>
      <c r="AS524"/>
      <c r="AT524" s="447"/>
      <c r="AU524"/>
      <c r="AV524"/>
      <c r="AW524" s="447"/>
      <c r="AX524"/>
      <c r="AY524"/>
      <c r="AZ524" s="447"/>
      <c r="BA524"/>
      <c r="BB524"/>
      <c r="BC524" s="447"/>
      <c r="BD524"/>
      <c r="BE524"/>
    </row>
    <row r="525" spans="4:57">
      <c r="D525" s="447"/>
      <c r="G525" s="447"/>
      <c r="J525" s="447"/>
      <c r="M525" s="447"/>
      <c r="R525" s="447"/>
      <c r="S525"/>
      <c r="T525"/>
      <c r="U525" s="447"/>
      <c r="V525"/>
      <c r="W525"/>
      <c r="X525" s="447"/>
      <c r="Y525"/>
      <c r="Z525"/>
      <c r="AA525" s="447"/>
      <c r="AB525"/>
      <c r="AC525"/>
      <c r="AE525"/>
      <c r="AF525" s="447"/>
      <c r="AG525"/>
      <c r="AH525"/>
      <c r="AI525" s="447"/>
      <c r="AJ525"/>
      <c r="AK525"/>
      <c r="AL525" s="447"/>
      <c r="AM525"/>
      <c r="AN525"/>
      <c r="AO525" s="447"/>
      <c r="AP525"/>
      <c r="AQ525"/>
      <c r="AS525"/>
      <c r="AT525" s="447"/>
      <c r="AU525"/>
      <c r="AV525"/>
      <c r="AW525" s="447"/>
      <c r="AX525"/>
      <c r="AY525"/>
      <c r="AZ525" s="447"/>
      <c r="BA525"/>
      <c r="BB525"/>
      <c r="BC525" s="447"/>
      <c r="BD525"/>
      <c r="BE525"/>
    </row>
    <row r="526" spans="4:57">
      <c r="D526" s="447"/>
      <c r="G526" s="447"/>
      <c r="J526" s="447"/>
      <c r="M526" s="447"/>
      <c r="R526" s="447"/>
      <c r="S526"/>
      <c r="T526"/>
      <c r="U526" s="447"/>
      <c r="V526"/>
      <c r="W526"/>
      <c r="X526" s="447"/>
      <c r="Y526"/>
      <c r="Z526"/>
      <c r="AA526" s="447"/>
      <c r="AB526"/>
      <c r="AC526"/>
      <c r="AE526"/>
      <c r="AF526" s="447"/>
      <c r="AG526"/>
      <c r="AH526"/>
      <c r="AI526" s="447"/>
      <c r="AJ526"/>
      <c r="AK526"/>
      <c r="AL526" s="447"/>
      <c r="AM526"/>
      <c r="AN526"/>
      <c r="AO526" s="447"/>
      <c r="AP526"/>
      <c r="AQ526"/>
      <c r="AS526"/>
      <c r="AT526" s="447"/>
      <c r="AU526"/>
      <c r="AV526"/>
      <c r="AW526" s="447"/>
      <c r="AX526"/>
      <c r="AY526"/>
      <c r="AZ526" s="447"/>
      <c r="BA526"/>
      <c r="BB526"/>
      <c r="BC526" s="447"/>
      <c r="BD526"/>
      <c r="BE526"/>
    </row>
    <row r="527" spans="4:57">
      <c r="D527" s="447"/>
      <c r="G527" s="447"/>
      <c r="J527" s="447"/>
      <c r="M527" s="447"/>
      <c r="R527" s="447"/>
      <c r="S527"/>
      <c r="T527"/>
      <c r="U527" s="447"/>
      <c r="V527"/>
      <c r="W527"/>
      <c r="X527" s="447"/>
      <c r="Y527"/>
      <c r="Z527"/>
      <c r="AA527" s="447"/>
      <c r="AB527"/>
      <c r="AC527"/>
      <c r="AE527"/>
      <c r="AF527" s="447"/>
      <c r="AG527"/>
      <c r="AH527"/>
      <c r="AI527" s="447"/>
      <c r="AJ527"/>
      <c r="AK527"/>
      <c r="AL527" s="447"/>
      <c r="AM527"/>
      <c r="AN527"/>
      <c r="AO527" s="447"/>
      <c r="AP527"/>
      <c r="AQ527"/>
      <c r="AS527"/>
      <c r="AT527" s="447"/>
      <c r="AU527"/>
      <c r="AV527"/>
      <c r="AW527" s="447"/>
      <c r="AX527"/>
      <c r="AY527"/>
      <c r="AZ527" s="447"/>
      <c r="BA527"/>
      <c r="BB527"/>
      <c r="BC527" s="447"/>
      <c r="BD527"/>
      <c r="BE527"/>
    </row>
    <row r="528" spans="4:57">
      <c r="D528" s="447"/>
      <c r="G528" s="447"/>
      <c r="J528" s="447"/>
      <c r="M528" s="447"/>
      <c r="R528" s="447"/>
      <c r="S528"/>
      <c r="T528"/>
      <c r="U528" s="447"/>
      <c r="V528"/>
      <c r="W528"/>
      <c r="X528" s="447"/>
      <c r="Y528"/>
      <c r="Z528"/>
      <c r="AA528" s="447"/>
      <c r="AB528"/>
      <c r="AC528"/>
      <c r="AE528"/>
      <c r="AF528" s="447"/>
      <c r="AG528"/>
      <c r="AH528"/>
      <c r="AI528" s="447"/>
      <c r="AJ528"/>
      <c r="AK528"/>
      <c r="AL528" s="447"/>
      <c r="AM528"/>
      <c r="AN528"/>
      <c r="AO528" s="447"/>
      <c r="AP528"/>
      <c r="AQ528"/>
      <c r="AS528"/>
      <c r="AT528" s="447"/>
      <c r="AU528"/>
      <c r="AV528"/>
      <c r="AW528" s="447"/>
      <c r="AX528"/>
      <c r="AY528"/>
      <c r="AZ528" s="447"/>
      <c r="BA528"/>
      <c r="BB528"/>
      <c r="BC528" s="447"/>
      <c r="BD528"/>
      <c r="BE528"/>
    </row>
    <row r="529" spans="4:57">
      <c r="D529" s="447"/>
      <c r="G529" s="447"/>
      <c r="J529" s="447"/>
      <c r="M529" s="447"/>
      <c r="R529" s="447"/>
      <c r="S529"/>
      <c r="T529"/>
      <c r="U529" s="447"/>
      <c r="V529"/>
      <c r="W529"/>
      <c r="X529" s="447"/>
      <c r="Y529"/>
      <c r="Z529"/>
      <c r="AA529" s="447"/>
      <c r="AB529"/>
      <c r="AC529"/>
      <c r="AE529"/>
      <c r="AF529" s="447"/>
      <c r="AG529"/>
      <c r="AH529"/>
      <c r="AI529" s="447"/>
      <c r="AJ529"/>
      <c r="AK529"/>
      <c r="AL529" s="447"/>
      <c r="AM529"/>
      <c r="AN529"/>
      <c r="AO529" s="447"/>
      <c r="AP529"/>
      <c r="AQ529"/>
      <c r="AS529"/>
      <c r="AT529" s="447"/>
      <c r="AU529"/>
      <c r="AV529"/>
      <c r="AW529" s="447"/>
      <c r="AX529"/>
      <c r="AY529"/>
      <c r="AZ529" s="447"/>
      <c r="BA529"/>
      <c r="BB529"/>
      <c r="BC529" s="447"/>
      <c r="BD529"/>
      <c r="BE529"/>
    </row>
    <row r="530" spans="4:57">
      <c r="D530" s="447"/>
      <c r="G530" s="447"/>
      <c r="J530" s="447"/>
      <c r="M530" s="447"/>
      <c r="R530" s="447"/>
      <c r="S530"/>
      <c r="T530"/>
      <c r="U530" s="447"/>
      <c r="V530"/>
      <c r="W530"/>
      <c r="X530" s="447"/>
      <c r="Y530"/>
      <c r="Z530"/>
      <c r="AA530" s="447"/>
      <c r="AB530"/>
      <c r="AC530"/>
      <c r="AE530"/>
      <c r="AF530" s="447"/>
      <c r="AG530"/>
      <c r="AH530"/>
      <c r="AI530" s="447"/>
      <c r="AJ530"/>
      <c r="AK530"/>
      <c r="AL530" s="447"/>
      <c r="AM530"/>
      <c r="AN530"/>
      <c r="AO530" s="447"/>
      <c r="AP530"/>
      <c r="AQ530"/>
      <c r="AS530"/>
      <c r="AT530" s="447"/>
      <c r="AU530"/>
      <c r="AV530"/>
      <c r="AW530" s="447"/>
      <c r="AX530"/>
      <c r="AY530"/>
      <c r="AZ530" s="447"/>
      <c r="BA530"/>
      <c r="BB530"/>
      <c r="BC530" s="447"/>
      <c r="BD530"/>
      <c r="BE530"/>
    </row>
    <row r="531" spans="4:57">
      <c r="D531" s="447"/>
      <c r="G531" s="447"/>
      <c r="J531" s="447"/>
      <c r="M531" s="447"/>
      <c r="R531" s="447"/>
      <c r="S531"/>
      <c r="T531"/>
      <c r="U531" s="447"/>
      <c r="V531"/>
      <c r="W531"/>
      <c r="X531" s="447"/>
      <c r="Y531"/>
      <c r="Z531"/>
      <c r="AA531" s="447"/>
      <c r="AB531"/>
      <c r="AC531"/>
      <c r="AE531"/>
      <c r="AF531" s="447"/>
      <c r="AG531"/>
      <c r="AH531"/>
      <c r="AI531" s="447"/>
      <c r="AJ531"/>
      <c r="AK531"/>
      <c r="AL531" s="447"/>
      <c r="AM531"/>
      <c r="AN531"/>
      <c r="AO531" s="447"/>
      <c r="AP531"/>
      <c r="AQ531"/>
      <c r="AS531"/>
      <c r="AT531" s="447"/>
      <c r="AU531"/>
      <c r="AV531"/>
      <c r="AW531" s="447"/>
      <c r="AX531"/>
      <c r="AY531"/>
      <c r="AZ531" s="447"/>
      <c r="BA531"/>
      <c r="BB531"/>
      <c r="BC531" s="447"/>
      <c r="BD531"/>
      <c r="BE531"/>
    </row>
    <row r="532" spans="4:57">
      <c r="D532" s="447"/>
      <c r="G532" s="447"/>
      <c r="J532" s="447"/>
      <c r="M532" s="447"/>
      <c r="R532" s="447"/>
      <c r="S532"/>
      <c r="T532"/>
      <c r="U532" s="447"/>
      <c r="V532"/>
      <c r="W532"/>
      <c r="X532" s="447"/>
      <c r="Y532"/>
      <c r="Z532"/>
      <c r="AA532" s="447"/>
      <c r="AB532"/>
      <c r="AC532"/>
      <c r="AE532"/>
      <c r="AF532" s="447"/>
      <c r="AG532"/>
      <c r="AH532"/>
      <c r="AI532" s="447"/>
      <c r="AJ532"/>
      <c r="AK532"/>
      <c r="AL532" s="447"/>
      <c r="AM532"/>
      <c r="AN532"/>
      <c r="AO532" s="447"/>
      <c r="AP532"/>
      <c r="AQ532"/>
      <c r="AS532"/>
      <c r="AT532" s="447"/>
      <c r="AU532"/>
      <c r="AV532"/>
      <c r="AW532" s="447"/>
      <c r="AX532"/>
      <c r="AY532"/>
      <c r="AZ532" s="447"/>
      <c r="BA532"/>
      <c r="BB532"/>
      <c r="BC532" s="447"/>
      <c r="BD532"/>
      <c r="BE532"/>
    </row>
    <row r="533" spans="4:57">
      <c r="D533" s="447"/>
      <c r="G533" s="447"/>
      <c r="J533" s="447"/>
      <c r="M533" s="447"/>
      <c r="R533" s="447"/>
      <c r="S533"/>
      <c r="T533"/>
      <c r="U533" s="447"/>
      <c r="V533"/>
      <c r="W533"/>
      <c r="X533" s="447"/>
      <c r="Y533"/>
      <c r="Z533"/>
      <c r="AA533" s="447"/>
      <c r="AB533"/>
      <c r="AC533"/>
      <c r="AE533"/>
      <c r="AF533" s="447"/>
      <c r="AG533"/>
      <c r="AH533"/>
      <c r="AI533" s="447"/>
      <c r="AJ533"/>
      <c r="AK533"/>
      <c r="AL533" s="447"/>
      <c r="AM533"/>
      <c r="AN533"/>
      <c r="AO533" s="447"/>
      <c r="AP533"/>
      <c r="AQ533"/>
      <c r="AS533"/>
      <c r="AT533" s="447"/>
      <c r="AU533"/>
      <c r="AV533"/>
      <c r="AW533" s="447"/>
      <c r="AX533"/>
      <c r="AY533"/>
      <c r="AZ533" s="447"/>
      <c r="BA533"/>
      <c r="BB533"/>
      <c r="BC533" s="447"/>
      <c r="BD533"/>
      <c r="BE533"/>
    </row>
    <row r="534" spans="4:57">
      <c r="D534" s="447"/>
      <c r="G534" s="447"/>
      <c r="J534" s="447"/>
      <c r="M534" s="447"/>
      <c r="R534" s="447"/>
      <c r="S534"/>
      <c r="T534"/>
      <c r="U534" s="447"/>
      <c r="V534"/>
      <c r="W534"/>
      <c r="X534" s="447"/>
      <c r="Y534"/>
      <c r="Z534"/>
      <c r="AA534" s="447"/>
      <c r="AB534"/>
      <c r="AC534"/>
      <c r="AE534"/>
      <c r="AF534" s="447"/>
      <c r="AG534"/>
      <c r="AH534"/>
      <c r="AI534" s="447"/>
      <c r="AJ534"/>
      <c r="AK534"/>
      <c r="AL534" s="447"/>
      <c r="AM534"/>
      <c r="AN534"/>
      <c r="AO534" s="447"/>
      <c r="AP534"/>
      <c r="AQ534"/>
      <c r="AS534"/>
      <c r="AT534" s="447"/>
      <c r="AU534"/>
      <c r="AV534"/>
      <c r="AW534" s="447"/>
      <c r="AX534"/>
      <c r="AY534"/>
      <c r="AZ534" s="447"/>
      <c r="BA534"/>
      <c r="BB534"/>
      <c r="BC534" s="447"/>
      <c r="BD534"/>
      <c r="BE534"/>
    </row>
    <row r="535" spans="4:57">
      <c r="D535" s="447"/>
      <c r="G535" s="447"/>
      <c r="J535" s="447"/>
      <c r="M535" s="447"/>
      <c r="R535" s="447"/>
      <c r="S535"/>
      <c r="T535"/>
      <c r="U535" s="447"/>
      <c r="V535"/>
      <c r="W535"/>
      <c r="X535" s="447"/>
      <c r="Y535"/>
      <c r="Z535"/>
      <c r="AA535" s="447"/>
      <c r="AB535"/>
      <c r="AC535"/>
      <c r="AE535"/>
      <c r="AF535" s="447"/>
      <c r="AG535"/>
      <c r="AH535"/>
      <c r="AI535" s="447"/>
      <c r="AJ535"/>
      <c r="AK535"/>
      <c r="AL535" s="447"/>
      <c r="AM535"/>
      <c r="AN535"/>
      <c r="AO535" s="447"/>
      <c r="AP535"/>
      <c r="AQ535"/>
      <c r="AS535"/>
      <c r="AT535" s="447"/>
      <c r="AU535"/>
      <c r="AV535"/>
      <c r="AW535" s="447"/>
      <c r="AX535"/>
      <c r="AY535"/>
      <c r="AZ535" s="447"/>
      <c r="BA535"/>
      <c r="BB535"/>
      <c r="BC535" s="447"/>
      <c r="BD535"/>
      <c r="BE535"/>
    </row>
    <row r="536" spans="4:57">
      <c r="D536" s="447"/>
      <c r="G536" s="447"/>
      <c r="J536" s="447"/>
      <c r="M536" s="447"/>
      <c r="R536" s="447"/>
      <c r="S536"/>
      <c r="T536"/>
      <c r="U536" s="447"/>
      <c r="V536"/>
      <c r="W536"/>
      <c r="X536" s="447"/>
      <c r="Y536"/>
      <c r="Z536"/>
      <c r="AA536" s="447"/>
      <c r="AB536"/>
      <c r="AC536"/>
      <c r="AE536"/>
      <c r="AF536" s="447"/>
      <c r="AG536"/>
      <c r="AH536"/>
      <c r="AI536" s="447"/>
      <c r="AJ536"/>
      <c r="AK536"/>
      <c r="AL536" s="447"/>
      <c r="AM536"/>
      <c r="AN536"/>
      <c r="AO536" s="447"/>
      <c r="AP536"/>
      <c r="AQ536"/>
      <c r="AS536"/>
      <c r="AT536" s="447"/>
      <c r="AU536"/>
      <c r="AV536"/>
      <c r="AW536" s="447"/>
      <c r="AX536"/>
      <c r="AY536"/>
      <c r="AZ536" s="447"/>
      <c r="BA536"/>
      <c r="BB536"/>
      <c r="BC536" s="447"/>
      <c r="BD536"/>
      <c r="BE536"/>
    </row>
    <row r="537" spans="4:57">
      <c r="D537" s="447"/>
      <c r="G537" s="447"/>
      <c r="J537" s="447"/>
      <c r="M537" s="447"/>
      <c r="R537" s="447"/>
      <c r="S537"/>
      <c r="T537"/>
      <c r="U537" s="447"/>
      <c r="V537"/>
      <c r="W537"/>
      <c r="X537" s="447"/>
      <c r="Y537"/>
      <c r="Z537"/>
      <c r="AA537" s="447"/>
      <c r="AB537"/>
      <c r="AC537"/>
      <c r="AE537"/>
      <c r="AF537" s="447"/>
      <c r="AG537"/>
      <c r="AH537"/>
      <c r="AI537" s="447"/>
      <c r="AJ537"/>
      <c r="AK537"/>
      <c r="AL537" s="447"/>
      <c r="AM537"/>
      <c r="AN537"/>
      <c r="AO537" s="447"/>
      <c r="AP537"/>
      <c r="AQ537"/>
      <c r="AS537"/>
      <c r="AT537" s="447"/>
      <c r="AU537"/>
      <c r="AV537"/>
      <c r="AW537" s="447"/>
      <c r="AX537"/>
      <c r="AY537"/>
      <c r="AZ537" s="447"/>
      <c r="BA537"/>
      <c r="BB537"/>
      <c r="BC537" s="447"/>
      <c r="BD537"/>
      <c r="BE537"/>
    </row>
    <row r="538" spans="4:57">
      <c r="D538" s="447"/>
      <c r="G538" s="447"/>
      <c r="J538" s="447"/>
      <c r="M538" s="447"/>
      <c r="R538" s="447"/>
      <c r="S538"/>
      <c r="T538"/>
      <c r="U538" s="447"/>
      <c r="V538"/>
      <c r="W538"/>
      <c r="X538" s="447"/>
      <c r="Y538"/>
      <c r="Z538"/>
      <c r="AA538" s="447"/>
      <c r="AB538"/>
      <c r="AC538"/>
      <c r="AE538"/>
      <c r="AF538" s="447"/>
      <c r="AG538"/>
      <c r="AH538"/>
      <c r="AI538" s="447"/>
      <c r="AJ538"/>
      <c r="AK538"/>
      <c r="AL538" s="447"/>
      <c r="AM538"/>
      <c r="AN538"/>
      <c r="AO538" s="447"/>
      <c r="AP538"/>
      <c r="AQ538"/>
      <c r="AS538"/>
      <c r="AT538" s="447"/>
      <c r="AU538"/>
      <c r="AV538"/>
      <c r="AW538" s="447"/>
      <c r="AX538"/>
      <c r="AY538"/>
      <c r="AZ538" s="447"/>
      <c r="BA538"/>
      <c r="BB538"/>
      <c r="BC538" s="447"/>
      <c r="BD538"/>
      <c r="BE538"/>
    </row>
    <row r="539" spans="4:57">
      <c r="D539" s="447"/>
      <c r="G539" s="447"/>
      <c r="J539" s="447"/>
      <c r="M539" s="447"/>
      <c r="R539" s="447"/>
      <c r="S539"/>
      <c r="T539"/>
      <c r="U539" s="447"/>
      <c r="V539"/>
      <c r="W539"/>
      <c r="X539" s="447"/>
      <c r="Y539"/>
      <c r="Z539"/>
      <c r="AA539" s="447"/>
      <c r="AB539"/>
      <c r="AC539"/>
      <c r="AE539"/>
      <c r="AF539" s="447"/>
      <c r="AG539"/>
      <c r="AH539"/>
      <c r="AI539" s="447"/>
      <c r="AJ539"/>
      <c r="AK539"/>
      <c r="AL539" s="447"/>
      <c r="AM539"/>
      <c r="AN539"/>
      <c r="AO539" s="447"/>
      <c r="AP539"/>
      <c r="AQ539"/>
      <c r="AS539"/>
      <c r="AT539" s="447"/>
      <c r="AU539"/>
      <c r="AV539"/>
      <c r="AW539" s="447"/>
      <c r="AX539"/>
      <c r="AY539"/>
      <c r="AZ539" s="447"/>
      <c r="BA539"/>
      <c r="BB539"/>
      <c r="BC539" s="447"/>
      <c r="BD539"/>
      <c r="BE539"/>
    </row>
    <row r="540" spans="4:57">
      <c r="D540" s="447"/>
      <c r="G540" s="447"/>
      <c r="J540" s="447"/>
      <c r="M540" s="447"/>
      <c r="R540" s="447"/>
      <c r="S540"/>
      <c r="T540"/>
      <c r="U540" s="447"/>
      <c r="V540"/>
      <c r="W540"/>
      <c r="X540" s="447"/>
      <c r="Y540"/>
      <c r="Z540"/>
      <c r="AA540" s="447"/>
      <c r="AB540"/>
      <c r="AC540"/>
      <c r="AE540"/>
      <c r="AF540" s="447"/>
      <c r="AG540"/>
      <c r="AH540"/>
      <c r="AI540" s="447"/>
      <c r="AJ540"/>
      <c r="AK540"/>
      <c r="AL540" s="447"/>
      <c r="AM540"/>
      <c r="AN540"/>
      <c r="AO540" s="447"/>
      <c r="AP540"/>
      <c r="AQ540"/>
      <c r="AS540"/>
      <c r="AT540" s="447"/>
      <c r="AU540"/>
      <c r="AV540"/>
      <c r="AW540" s="447"/>
      <c r="AX540"/>
      <c r="AY540"/>
      <c r="AZ540" s="447"/>
      <c r="BA540"/>
      <c r="BB540"/>
      <c r="BC540" s="447"/>
      <c r="BD540"/>
      <c r="BE540"/>
    </row>
    <row r="541" spans="4:57">
      <c r="D541" s="447"/>
      <c r="G541" s="447"/>
      <c r="J541" s="447"/>
      <c r="M541" s="447"/>
      <c r="R541" s="447"/>
      <c r="S541"/>
      <c r="T541"/>
      <c r="U541" s="447"/>
      <c r="V541"/>
      <c r="W541"/>
      <c r="X541" s="447"/>
      <c r="Y541"/>
      <c r="Z541"/>
      <c r="AA541" s="447"/>
      <c r="AB541"/>
      <c r="AC541"/>
      <c r="AE541"/>
      <c r="AF541" s="447"/>
      <c r="AG541"/>
      <c r="AH541"/>
      <c r="AI541" s="447"/>
      <c r="AJ541"/>
      <c r="AK541"/>
      <c r="AL541" s="447"/>
      <c r="AM541"/>
      <c r="AN541"/>
      <c r="AO541" s="447"/>
      <c r="AP541"/>
      <c r="AQ541"/>
      <c r="AS541"/>
      <c r="AT541" s="447"/>
      <c r="AU541"/>
      <c r="AV541"/>
      <c r="AW541" s="447"/>
      <c r="AX541"/>
      <c r="AY541"/>
      <c r="AZ541" s="447"/>
      <c r="BA541"/>
      <c r="BB541"/>
      <c r="BC541" s="447"/>
      <c r="BD541"/>
      <c r="BE541"/>
    </row>
    <row r="542" spans="4:57">
      <c r="D542" s="447"/>
      <c r="G542" s="447"/>
      <c r="J542" s="447"/>
      <c r="M542" s="447"/>
      <c r="R542" s="447"/>
      <c r="S542"/>
      <c r="T542"/>
      <c r="U542" s="447"/>
      <c r="V542"/>
      <c r="W542"/>
      <c r="X542" s="447"/>
      <c r="Y542"/>
      <c r="Z542"/>
      <c r="AA542" s="447"/>
      <c r="AB542"/>
      <c r="AC542"/>
      <c r="AE542"/>
      <c r="AF542" s="447"/>
      <c r="AG542"/>
      <c r="AH542"/>
      <c r="AI542" s="447"/>
      <c r="AJ542"/>
      <c r="AK542"/>
      <c r="AL542" s="447"/>
      <c r="AM542"/>
      <c r="AN542"/>
      <c r="AO542" s="447"/>
      <c r="AP542"/>
      <c r="AQ542"/>
      <c r="AS542"/>
      <c r="AT542" s="447"/>
      <c r="AU542"/>
      <c r="AV542"/>
      <c r="AW542" s="447"/>
      <c r="AX542"/>
      <c r="AY542"/>
      <c r="AZ542" s="447"/>
      <c r="BA542"/>
      <c r="BB542"/>
      <c r="BC542" s="447"/>
      <c r="BD542"/>
      <c r="BE542"/>
    </row>
    <row r="543" spans="4:57">
      <c r="D543" s="447"/>
      <c r="G543" s="447"/>
      <c r="J543" s="447"/>
      <c r="M543" s="447"/>
      <c r="R543" s="447"/>
      <c r="S543"/>
      <c r="T543"/>
      <c r="U543" s="447"/>
      <c r="V543"/>
      <c r="W543"/>
      <c r="X543" s="447"/>
      <c r="Y543"/>
      <c r="Z543"/>
      <c r="AA543" s="447"/>
      <c r="AB543"/>
      <c r="AC543"/>
      <c r="AE543"/>
      <c r="AF543" s="447"/>
      <c r="AG543"/>
      <c r="AH543"/>
      <c r="AI543" s="447"/>
      <c r="AJ543"/>
      <c r="AK543"/>
      <c r="AL543" s="447"/>
      <c r="AM543"/>
      <c r="AN543"/>
      <c r="AO543" s="447"/>
      <c r="AP543"/>
      <c r="AQ543"/>
      <c r="AS543"/>
      <c r="AT543" s="447"/>
      <c r="AU543"/>
      <c r="AV543"/>
      <c r="AW543" s="447"/>
      <c r="AX543"/>
      <c r="AY543"/>
      <c r="AZ543" s="447"/>
      <c r="BA543"/>
      <c r="BB543"/>
      <c r="BC543" s="447"/>
      <c r="BD543"/>
      <c r="BE543"/>
    </row>
    <row r="544" spans="4:57">
      <c r="D544" s="447"/>
      <c r="G544" s="447"/>
      <c r="J544" s="447"/>
      <c r="M544" s="447"/>
      <c r="R544" s="447"/>
      <c r="S544"/>
      <c r="T544"/>
      <c r="U544" s="447"/>
      <c r="V544"/>
      <c r="W544"/>
      <c r="X544" s="447"/>
      <c r="Y544"/>
      <c r="Z544"/>
      <c r="AA544" s="447"/>
      <c r="AB544"/>
      <c r="AC544"/>
      <c r="AE544"/>
      <c r="AF544" s="447"/>
      <c r="AG544"/>
      <c r="AH544"/>
      <c r="AI544" s="447"/>
      <c r="AJ544"/>
      <c r="AK544"/>
      <c r="AL544" s="447"/>
      <c r="AM544"/>
      <c r="AN544"/>
      <c r="AO544" s="447"/>
      <c r="AP544"/>
      <c r="AQ544"/>
      <c r="AS544"/>
      <c r="AT544" s="447"/>
      <c r="AU544"/>
      <c r="AV544"/>
      <c r="AW544" s="447"/>
      <c r="AX544"/>
      <c r="AY544"/>
      <c r="AZ544" s="447"/>
      <c r="BA544"/>
      <c r="BB544"/>
      <c r="BC544" s="447"/>
      <c r="BD544"/>
      <c r="BE544"/>
    </row>
    <row r="545" spans="4:57">
      <c r="D545" s="447"/>
      <c r="G545" s="447"/>
      <c r="J545" s="447"/>
      <c r="M545" s="447"/>
      <c r="R545" s="447"/>
      <c r="S545"/>
      <c r="T545"/>
      <c r="U545" s="447"/>
      <c r="V545"/>
      <c r="W545"/>
      <c r="X545" s="447"/>
      <c r="Y545"/>
      <c r="Z545"/>
      <c r="AA545" s="447"/>
      <c r="AB545"/>
      <c r="AC545"/>
      <c r="AE545"/>
      <c r="AF545" s="447"/>
      <c r="AG545"/>
      <c r="AH545"/>
      <c r="AI545" s="447"/>
      <c r="AJ545"/>
      <c r="AK545"/>
      <c r="AL545" s="447"/>
      <c r="AM545"/>
      <c r="AN545"/>
      <c r="AO545" s="447"/>
      <c r="AP545"/>
      <c r="AQ545"/>
      <c r="AS545"/>
      <c r="AT545" s="447"/>
      <c r="AU545"/>
      <c r="AV545"/>
      <c r="AW545" s="447"/>
      <c r="AX545"/>
      <c r="AY545"/>
      <c r="AZ545" s="447"/>
      <c r="BA545"/>
      <c r="BB545"/>
      <c r="BC545" s="447"/>
      <c r="BD545"/>
      <c r="BE545"/>
    </row>
    <row r="546" spans="4:57">
      <c r="D546" s="447"/>
      <c r="G546" s="447"/>
      <c r="J546" s="447"/>
      <c r="M546" s="447"/>
      <c r="R546" s="447"/>
      <c r="S546"/>
      <c r="T546"/>
      <c r="U546" s="447"/>
      <c r="V546"/>
      <c r="W546"/>
      <c r="X546" s="447"/>
      <c r="Y546"/>
      <c r="Z546"/>
      <c r="AA546" s="447"/>
      <c r="AB546"/>
      <c r="AC546"/>
      <c r="AE546"/>
      <c r="AF546" s="447"/>
      <c r="AG546"/>
      <c r="AH546"/>
      <c r="AI546" s="447"/>
      <c r="AJ546"/>
      <c r="AK546"/>
      <c r="AL546" s="447"/>
      <c r="AM546"/>
      <c r="AN546"/>
      <c r="AO546" s="447"/>
      <c r="AP546"/>
      <c r="AQ546"/>
      <c r="AS546"/>
      <c r="AT546" s="447"/>
      <c r="AU546"/>
      <c r="AV546"/>
      <c r="AW546" s="447"/>
      <c r="AX546"/>
      <c r="AY546"/>
      <c r="AZ546" s="447"/>
      <c r="BA546"/>
      <c r="BB546"/>
      <c r="BC546" s="447"/>
      <c r="BD546"/>
      <c r="BE546"/>
    </row>
    <row r="547" spans="4:57">
      <c r="D547" s="447"/>
      <c r="G547" s="447"/>
      <c r="J547" s="447"/>
      <c r="M547" s="447"/>
      <c r="R547" s="447"/>
      <c r="S547"/>
      <c r="T547"/>
      <c r="U547" s="447"/>
      <c r="V547"/>
      <c r="W547"/>
      <c r="X547" s="447"/>
      <c r="Y547"/>
      <c r="Z547"/>
      <c r="AA547" s="447"/>
      <c r="AB547"/>
      <c r="AC547"/>
      <c r="AE547"/>
      <c r="AF547" s="447"/>
      <c r="AG547"/>
      <c r="AH547"/>
      <c r="AI547" s="447"/>
      <c r="AJ547"/>
      <c r="AK547"/>
      <c r="AL547" s="447"/>
      <c r="AM547"/>
      <c r="AN547"/>
      <c r="AO547" s="447"/>
      <c r="AP547"/>
      <c r="AQ547"/>
      <c r="AS547"/>
      <c r="AT547" s="447"/>
      <c r="AU547"/>
      <c r="AV547"/>
      <c r="AW547" s="447"/>
      <c r="AX547"/>
      <c r="AY547"/>
      <c r="AZ547" s="447"/>
      <c r="BA547"/>
      <c r="BB547"/>
      <c r="BC547" s="447"/>
      <c r="BD547"/>
      <c r="BE547"/>
    </row>
    <row r="548" spans="4:57">
      <c r="D548" s="447"/>
      <c r="G548" s="447"/>
      <c r="J548" s="447"/>
      <c r="M548" s="447"/>
      <c r="R548" s="447"/>
      <c r="S548"/>
      <c r="T548"/>
      <c r="U548" s="447"/>
      <c r="V548"/>
      <c r="W548"/>
      <c r="X548" s="447"/>
      <c r="Y548"/>
      <c r="Z548"/>
      <c r="AA548" s="447"/>
      <c r="AB548"/>
      <c r="AC548"/>
      <c r="AE548"/>
      <c r="AF548" s="447"/>
      <c r="AG548"/>
      <c r="AH548"/>
      <c r="AI548" s="447"/>
      <c r="AJ548"/>
      <c r="AK548"/>
      <c r="AL548" s="447"/>
      <c r="AM548"/>
      <c r="AN548"/>
      <c r="AO548" s="447"/>
      <c r="AP548"/>
      <c r="AQ548"/>
      <c r="AS548"/>
      <c r="AT548" s="447"/>
      <c r="AU548"/>
      <c r="AV548"/>
      <c r="AW548" s="447"/>
      <c r="AX548"/>
      <c r="AY548"/>
      <c r="AZ548" s="447"/>
      <c r="BA548"/>
      <c r="BB548"/>
      <c r="BC548" s="447"/>
      <c r="BD548"/>
      <c r="BE548"/>
    </row>
    <row r="549" spans="4:57">
      <c r="D549" s="447"/>
      <c r="G549" s="447"/>
      <c r="J549" s="447"/>
      <c r="M549" s="447"/>
      <c r="R549" s="447"/>
      <c r="S549"/>
      <c r="T549"/>
      <c r="U549" s="447"/>
      <c r="V549"/>
      <c r="W549"/>
      <c r="X549" s="447"/>
      <c r="Y549"/>
      <c r="Z549"/>
      <c r="AA549" s="447"/>
      <c r="AB549"/>
      <c r="AC549"/>
      <c r="AE549"/>
      <c r="AF549" s="447"/>
      <c r="AG549"/>
      <c r="AH549"/>
      <c r="AI549" s="447"/>
      <c r="AJ549"/>
      <c r="AK549"/>
      <c r="AL549" s="447"/>
      <c r="AM549"/>
      <c r="AN549"/>
      <c r="AO549" s="447"/>
      <c r="AP549"/>
      <c r="AQ549"/>
      <c r="AS549"/>
      <c r="AT549" s="447"/>
      <c r="AU549"/>
      <c r="AV549"/>
      <c r="AW549" s="447"/>
      <c r="AX549"/>
      <c r="AY549"/>
      <c r="AZ549" s="447"/>
      <c r="BA549"/>
      <c r="BB549"/>
      <c r="BC549" s="447"/>
      <c r="BD549"/>
      <c r="BE549"/>
    </row>
    <row r="550" spans="4:57">
      <c r="D550" s="447"/>
      <c r="G550" s="447"/>
      <c r="J550" s="447"/>
      <c r="M550" s="447"/>
      <c r="R550" s="447"/>
      <c r="S550"/>
      <c r="T550"/>
      <c r="U550" s="447"/>
      <c r="V550"/>
      <c r="W550"/>
      <c r="X550" s="447"/>
      <c r="Y550"/>
      <c r="Z550"/>
      <c r="AA550" s="447"/>
      <c r="AB550"/>
      <c r="AC550"/>
      <c r="AE550"/>
      <c r="AF550" s="447"/>
      <c r="AG550"/>
      <c r="AH550"/>
      <c r="AI550" s="447"/>
      <c r="AJ550"/>
      <c r="AK550"/>
      <c r="AL550" s="447"/>
      <c r="AM550"/>
      <c r="AN550"/>
      <c r="AO550" s="447"/>
      <c r="AP550"/>
      <c r="AQ550"/>
      <c r="AS550"/>
      <c r="AT550" s="447"/>
      <c r="AU550"/>
      <c r="AV550"/>
      <c r="AW550" s="447"/>
      <c r="AX550"/>
      <c r="AY550"/>
      <c r="AZ550" s="447"/>
      <c r="BA550"/>
      <c r="BB550"/>
      <c r="BC550" s="447"/>
      <c r="BD550"/>
      <c r="BE550"/>
    </row>
    <row r="551" spans="4:57">
      <c r="D551" s="447"/>
      <c r="G551" s="447"/>
      <c r="J551" s="447"/>
      <c r="M551" s="447"/>
      <c r="R551" s="447"/>
      <c r="S551"/>
      <c r="T551"/>
      <c r="U551" s="447"/>
      <c r="V551"/>
      <c r="W551"/>
      <c r="X551" s="447"/>
      <c r="Y551"/>
      <c r="Z551"/>
      <c r="AA551" s="447"/>
      <c r="AB551"/>
      <c r="AC551"/>
      <c r="AE551"/>
      <c r="AF551" s="447"/>
      <c r="AG551"/>
      <c r="AH551"/>
      <c r="AI551" s="447"/>
      <c r="AJ551"/>
      <c r="AK551"/>
      <c r="AL551" s="447"/>
      <c r="AM551"/>
      <c r="AN551"/>
      <c r="AO551" s="447"/>
      <c r="AP551"/>
      <c r="AQ551"/>
      <c r="AS551"/>
      <c r="AT551" s="447"/>
      <c r="AU551"/>
      <c r="AV551"/>
      <c r="AW551" s="447"/>
      <c r="AX551"/>
      <c r="AY551"/>
      <c r="AZ551" s="447"/>
      <c r="BA551"/>
      <c r="BB551"/>
      <c r="BC551" s="447"/>
      <c r="BD551"/>
      <c r="BE551"/>
    </row>
    <row r="552" spans="4:57">
      <c r="D552" s="447"/>
      <c r="G552" s="447"/>
      <c r="J552" s="447"/>
      <c r="M552" s="447"/>
      <c r="R552" s="447"/>
      <c r="S552"/>
      <c r="T552"/>
      <c r="U552" s="447"/>
      <c r="V552"/>
      <c r="W552"/>
      <c r="X552" s="447"/>
      <c r="Y552"/>
      <c r="Z552"/>
      <c r="AA552" s="447"/>
      <c r="AB552"/>
      <c r="AC552"/>
      <c r="AE552"/>
      <c r="AF552" s="447"/>
      <c r="AG552"/>
      <c r="AH552"/>
      <c r="AI552" s="447"/>
      <c r="AJ552"/>
      <c r="AK552"/>
      <c r="AL552" s="447"/>
      <c r="AM552"/>
      <c r="AN552"/>
      <c r="AO552" s="447"/>
      <c r="AP552"/>
      <c r="AQ552"/>
      <c r="AS552"/>
      <c r="AT552" s="447"/>
      <c r="AU552"/>
      <c r="AV552"/>
      <c r="AW552" s="447"/>
      <c r="AX552"/>
      <c r="AY552"/>
      <c r="AZ552" s="447"/>
      <c r="BA552"/>
      <c r="BB552"/>
      <c r="BC552" s="447"/>
      <c r="BD552"/>
      <c r="BE552"/>
    </row>
    <row r="553" spans="4:57">
      <c r="D553" s="447"/>
      <c r="G553" s="447"/>
      <c r="J553" s="447"/>
      <c r="M553" s="447"/>
      <c r="R553" s="447"/>
      <c r="S553"/>
      <c r="T553"/>
      <c r="U553" s="447"/>
      <c r="V553"/>
      <c r="W553"/>
      <c r="X553" s="447"/>
      <c r="Y553"/>
      <c r="Z553"/>
      <c r="AA553" s="447"/>
      <c r="AB553"/>
      <c r="AC553"/>
      <c r="AE553"/>
      <c r="AF553" s="447"/>
      <c r="AG553"/>
      <c r="AH553"/>
      <c r="AI553" s="447"/>
      <c r="AJ553"/>
      <c r="AK553"/>
      <c r="AL553" s="447"/>
      <c r="AM553"/>
      <c r="AN553"/>
      <c r="AO553" s="447"/>
      <c r="AP553"/>
      <c r="AQ553"/>
      <c r="AS553"/>
      <c r="AT553" s="447"/>
      <c r="AU553"/>
      <c r="AV553"/>
      <c r="AW553" s="447"/>
      <c r="AX553"/>
      <c r="AY553"/>
      <c r="AZ553" s="447"/>
      <c r="BA553"/>
      <c r="BB553"/>
      <c r="BC553" s="447"/>
      <c r="BD553"/>
      <c r="BE553"/>
    </row>
    <row r="554" spans="4:57">
      <c r="D554" s="447"/>
      <c r="G554" s="447"/>
      <c r="J554" s="447"/>
      <c r="M554" s="447"/>
      <c r="R554" s="447"/>
      <c r="S554"/>
      <c r="T554"/>
      <c r="U554" s="447"/>
      <c r="V554"/>
      <c r="W554"/>
      <c r="X554" s="447"/>
      <c r="Y554"/>
      <c r="Z554"/>
      <c r="AA554" s="447"/>
      <c r="AB554"/>
      <c r="AC554"/>
      <c r="AE554"/>
      <c r="AF554" s="447"/>
      <c r="AG554"/>
      <c r="AH554"/>
      <c r="AI554" s="447"/>
      <c r="AJ554"/>
      <c r="AK554"/>
      <c r="AL554" s="447"/>
      <c r="AM554"/>
      <c r="AN554"/>
      <c r="AO554" s="447"/>
      <c r="AP554"/>
      <c r="AQ554"/>
      <c r="AS554"/>
      <c r="AT554" s="447"/>
      <c r="AU554"/>
      <c r="AV554"/>
      <c r="AW554" s="447"/>
      <c r="AX554"/>
      <c r="AY554"/>
      <c r="AZ554" s="447"/>
      <c r="BA554"/>
      <c r="BB554"/>
      <c r="BC554" s="447"/>
      <c r="BD554"/>
      <c r="BE554"/>
    </row>
    <row r="555" spans="4:57">
      <c r="D555" s="447"/>
      <c r="G555" s="447"/>
      <c r="J555" s="447"/>
      <c r="M555" s="447"/>
      <c r="R555" s="447"/>
      <c r="S555"/>
      <c r="T555"/>
      <c r="U555" s="447"/>
      <c r="V555"/>
      <c r="W555"/>
      <c r="X555" s="447"/>
      <c r="Y555"/>
      <c r="Z555"/>
      <c r="AA555" s="447"/>
      <c r="AB555"/>
      <c r="AC555"/>
      <c r="AE555"/>
      <c r="AF555" s="447"/>
      <c r="AG555"/>
      <c r="AH555"/>
      <c r="AI555" s="447"/>
      <c r="AJ555"/>
      <c r="AK555"/>
      <c r="AL555" s="447"/>
      <c r="AM555"/>
      <c r="AN555"/>
      <c r="AO555" s="447"/>
      <c r="AP555"/>
      <c r="AQ555"/>
      <c r="AS555"/>
      <c r="AT555" s="447"/>
      <c r="AU555"/>
      <c r="AV555"/>
      <c r="AW555" s="447"/>
      <c r="AX555"/>
      <c r="AY555"/>
      <c r="AZ555" s="447"/>
      <c r="BA555"/>
      <c r="BB555"/>
      <c r="BC555" s="447"/>
      <c r="BD555"/>
      <c r="BE555"/>
    </row>
    <row r="556" spans="4:57">
      <c r="D556" s="447"/>
      <c r="G556" s="447"/>
      <c r="J556" s="447"/>
      <c r="M556" s="447"/>
      <c r="R556" s="447"/>
      <c r="S556"/>
      <c r="T556"/>
      <c r="U556" s="447"/>
      <c r="V556"/>
      <c r="W556"/>
      <c r="X556" s="447"/>
      <c r="Y556"/>
      <c r="Z556"/>
      <c r="AA556" s="447"/>
      <c r="AB556"/>
      <c r="AC556"/>
      <c r="AE556"/>
      <c r="AF556" s="447"/>
      <c r="AG556"/>
      <c r="AH556"/>
      <c r="AI556" s="447"/>
      <c r="AJ556"/>
      <c r="AK556"/>
      <c r="AL556" s="447"/>
      <c r="AM556"/>
      <c r="AN556"/>
      <c r="AO556" s="447"/>
      <c r="AP556"/>
      <c r="AQ556"/>
      <c r="AS556"/>
      <c r="AT556" s="447"/>
      <c r="AU556"/>
      <c r="AV556"/>
      <c r="AW556" s="447"/>
      <c r="AX556"/>
      <c r="AY556"/>
      <c r="AZ556" s="447"/>
      <c r="BA556"/>
      <c r="BB556"/>
      <c r="BC556" s="447"/>
      <c r="BD556"/>
      <c r="BE556"/>
    </row>
    <row r="557" spans="4:57">
      <c r="D557" s="447"/>
      <c r="G557" s="447"/>
      <c r="J557" s="447"/>
      <c r="M557" s="447"/>
      <c r="R557" s="447"/>
      <c r="S557"/>
      <c r="T557"/>
      <c r="U557" s="447"/>
      <c r="V557"/>
      <c r="W557"/>
      <c r="X557" s="447"/>
      <c r="Y557"/>
      <c r="Z557"/>
      <c r="AA557" s="447"/>
      <c r="AB557"/>
      <c r="AC557"/>
      <c r="AE557"/>
      <c r="AF557" s="447"/>
      <c r="AG557"/>
      <c r="AH557"/>
      <c r="AI557" s="447"/>
      <c r="AJ557"/>
      <c r="AK557"/>
      <c r="AL557" s="447"/>
      <c r="AM557"/>
      <c r="AN557"/>
      <c r="AO557" s="447"/>
      <c r="AP557"/>
      <c r="AQ557"/>
      <c r="AS557"/>
      <c r="AT557" s="447"/>
      <c r="AU557"/>
      <c r="AV557"/>
      <c r="AW557" s="447"/>
      <c r="AX557"/>
      <c r="AY557"/>
      <c r="AZ557" s="447"/>
      <c r="BA557"/>
      <c r="BB557"/>
      <c r="BC557" s="447"/>
      <c r="BD557"/>
      <c r="BE557"/>
    </row>
    <row r="558" spans="4:57">
      <c r="D558" s="447"/>
      <c r="G558" s="447"/>
      <c r="J558" s="447"/>
      <c r="M558" s="447"/>
      <c r="R558" s="447"/>
      <c r="S558"/>
      <c r="T558"/>
      <c r="U558" s="447"/>
      <c r="V558"/>
      <c r="W558"/>
      <c r="X558" s="447"/>
      <c r="Y558"/>
      <c r="Z558"/>
      <c r="AA558" s="447"/>
      <c r="AB558"/>
      <c r="AC558"/>
      <c r="AE558"/>
      <c r="AF558" s="447"/>
      <c r="AG558"/>
      <c r="AH558"/>
      <c r="AI558" s="447"/>
      <c r="AJ558"/>
      <c r="AK558"/>
      <c r="AL558" s="447"/>
      <c r="AM558"/>
      <c r="AN558"/>
      <c r="AO558" s="447"/>
      <c r="AP558"/>
      <c r="AQ558"/>
      <c r="AS558"/>
      <c r="AT558" s="447"/>
      <c r="AU558"/>
      <c r="AV558"/>
      <c r="AW558" s="447"/>
      <c r="AX558"/>
      <c r="AY558"/>
      <c r="AZ558" s="447"/>
      <c r="BA558"/>
      <c r="BB558"/>
      <c r="BC558" s="447"/>
      <c r="BD558"/>
      <c r="BE558"/>
    </row>
    <row r="559" spans="4:57">
      <c r="D559" s="447"/>
      <c r="G559" s="447"/>
      <c r="J559" s="447"/>
      <c r="M559" s="447"/>
      <c r="R559" s="447"/>
      <c r="S559"/>
      <c r="T559"/>
      <c r="U559" s="447"/>
      <c r="V559"/>
      <c r="W559"/>
      <c r="X559" s="447"/>
      <c r="Y559"/>
      <c r="Z559"/>
      <c r="AA559" s="447"/>
      <c r="AB559"/>
      <c r="AC559"/>
      <c r="AE559"/>
      <c r="AF559" s="447"/>
      <c r="AG559"/>
      <c r="AH559"/>
      <c r="AI559" s="447"/>
      <c r="AJ559"/>
      <c r="AK559"/>
      <c r="AL559" s="447"/>
      <c r="AM559"/>
      <c r="AN559"/>
      <c r="AO559" s="447"/>
      <c r="AP559"/>
      <c r="AQ559"/>
      <c r="AS559"/>
      <c r="AT559" s="447"/>
      <c r="AU559"/>
      <c r="AV559"/>
      <c r="AW559" s="447"/>
      <c r="AX559"/>
      <c r="AY559"/>
      <c r="AZ559" s="447"/>
      <c r="BA559"/>
      <c r="BB559"/>
      <c r="BC559" s="447"/>
      <c r="BD559"/>
      <c r="BE559"/>
    </row>
    <row r="560" spans="4:57">
      <c r="D560" s="447"/>
      <c r="G560" s="447"/>
      <c r="J560" s="447"/>
      <c r="M560" s="447"/>
      <c r="R560" s="447"/>
      <c r="S560"/>
      <c r="T560"/>
      <c r="U560" s="447"/>
      <c r="V560"/>
      <c r="W560"/>
      <c r="X560" s="447"/>
      <c r="Y560"/>
      <c r="Z560"/>
      <c r="AA560" s="447"/>
      <c r="AB560"/>
      <c r="AC560"/>
      <c r="AE560"/>
      <c r="AF560" s="447"/>
      <c r="AG560"/>
      <c r="AH560"/>
      <c r="AI560" s="447"/>
      <c r="AJ560"/>
      <c r="AK560"/>
      <c r="AL560" s="447"/>
      <c r="AM560"/>
      <c r="AN560"/>
      <c r="AO560" s="447"/>
      <c r="AP560"/>
      <c r="AQ560"/>
      <c r="AS560"/>
      <c r="AT560" s="447"/>
      <c r="AU560"/>
      <c r="AV560"/>
      <c r="AW560" s="447"/>
      <c r="AX560"/>
      <c r="AY560"/>
      <c r="AZ560" s="447"/>
      <c r="BA560"/>
      <c r="BB560"/>
      <c r="BC560" s="447"/>
      <c r="BD560"/>
      <c r="BE560"/>
    </row>
    <row r="561" spans="4:57">
      <c r="D561" s="447"/>
      <c r="G561" s="447"/>
      <c r="J561" s="447"/>
      <c r="M561" s="447"/>
      <c r="R561" s="447"/>
      <c r="S561"/>
      <c r="T561"/>
      <c r="U561" s="447"/>
      <c r="V561"/>
      <c r="W561"/>
      <c r="X561" s="447"/>
      <c r="Y561"/>
      <c r="Z561"/>
      <c r="AA561" s="447"/>
      <c r="AB561"/>
      <c r="AC561"/>
      <c r="AE561"/>
      <c r="AF561" s="447"/>
      <c r="AG561"/>
      <c r="AH561"/>
      <c r="AI561" s="447"/>
      <c r="AJ561"/>
      <c r="AK561"/>
      <c r="AL561" s="447"/>
      <c r="AM561"/>
      <c r="AN561"/>
      <c r="AO561" s="447"/>
      <c r="AP561"/>
      <c r="AQ561"/>
      <c r="AS561"/>
      <c r="AT561" s="447"/>
      <c r="AU561"/>
      <c r="AV561"/>
      <c r="AW561" s="447"/>
      <c r="AX561"/>
      <c r="AY561"/>
      <c r="AZ561" s="447"/>
      <c r="BA561"/>
      <c r="BB561"/>
      <c r="BC561" s="447"/>
      <c r="BD561"/>
      <c r="BE561"/>
    </row>
    <row r="562" spans="4:57">
      <c r="D562" s="447"/>
      <c r="G562" s="447"/>
      <c r="J562" s="447"/>
      <c r="M562" s="447"/>
      <c r="R562" s="447"/>
      <c r="S562"/>
      <c r="T562"/>
      <c r="U562" s="447"/>
      <c r="V562"/>
      <c r="W562"/>
      <c r="X562" s="447"/>
      <c r="Y562"/>
      <c r="Z562"/>
      <c r="AA562" s="447"/>
      <c r="AB562"/>
      <c r="AC562"/>
      <c r="AE562"/>
      <c r="AF562" s="447"/>
      <c r="AG562"/>
      <c r="AH562"/>
      <c r="AI562" s="447"/>
      <c r="AJ562"/>
      <c r="AK562"/>
      <c r="AL562" s="447"/>
      <c r="AM562"/>
      <c r="AN562"/>
      <c r="AO562" s="447"/>
      <c r="AP562"/>
      <c r="AQ562"/>
      <c r="AS562"/>
      <c r="AT562" s="447"/>
      <c r="AU562"/>
      <c r="AV562"/>
      <c r="AW562" s="447"/>
      <c r="AX562"/>
      <c r="AY562"/>
      <c r="AZ562" s="447"/>
      <c r="BA562"/>
      <c r="BB562"/>
      <c r="BC562" s="447"/>
      <c r="BD562"/>
      <c r="BE562"/>
    </row>
    <row r="563" spans="4:57">
      <c r="D563" s="447"/>
      <c r="G563" s="447"/>
      <c r="J563" s="447"/>
      <c r="M563" s="447"/>
      <c r="R563" s="447"/>
      <c r="S563"/>
      <c r="T563"/>
      <c r="U563" s="447"/>
      <c r="V563"/>
      <c r="W563"/>
      <c r="X563" s="447"/>
      <c r="Y563"/>
      <c r="Z563"/>
      <c r="AA563" s="447"/>
      <c r="AB563"/>
      <c r="AC563"/>
      <c r="AE563"/>
      <c r="AF563" s="447"/>
      <c r="AG563"/>
      <c r="AH563"/>
      <c r="AI563" s="447"/>
      <c r="AJ563"/>
      <c r="AK563"/>
      <c r="AL563" s="447"/>
      <c r="AM563"/>
      <c r="AN563"/>
      <c r="AO563" s="447"/>
      <c r="AP563"/>
      <c r="AQ563"/>
      <c r="AS563"/>
      <c r="AT563" s="447"/>
      <c r="AU563"/>
      <c r="AV563"/>
      <c r="AW563" s="447"/>
      <c r="AX563"/>
      <c r="AY563"/>
      <c r="AZ563" s="447"/>
      <c r="BA563"/>
      <c r="BB563"/>
      <c r="BC563" s="447"/>
      <c r="BD563"/>
      <c r="BE563"/>
    </row>
    <row r="564" spans="4:57">
      <c r="D564" s="447"/>
      <c r="G564" s="447"/>
      <c r="J564" s="447"/>
      <c r="M564" s="447"/>
      <c r="R564" s="447"/>
      <c r="S564"/>
      <c r="T564"/>
      <c r="U564" s="447"/>
      <c r="V564"/>
      <c r="W564"/>
      <c r="X564" s="447"/>
      <c r="Y564"/>
      <c r="Z564"/>
      <c r="AA564" s="447"/>
      <c r="AB564"/>
      <c r="AC564"/>
      <c r="AE564"/>
      <c r="AF564" s="447"/>
      <c r="AG564"/>
      <c r="AH564"/>
      <c r="AI564" s="447"/>
      <c r="AJ564"/>
      <c r="AK564"/>
      <c r="AL564" s="447"/>
      <c r="AM564"/>
      <c r="AN564"/>
      <c r="AO564" s="447"/>
      <c r="AP564"/>
      <c r="AQ564"/>
      <c r="AS564"/>
      <c r="AT564" s="447"/>
      <c r="AU564"/>
      <c r="AV564"/>
      <c r="AW564" s="447"/>
      <c r="AX564"/>
      <c r="AY564"/>
      <c r="AZ564" s="447"/>
      <c r="BA564"/>
      <c r="BB564"/>
      <c r="BC564" s="447"/>
      <c r="BD564"/>
      <c r="BE564"/>
    </row>
    <row r="565" spans="4:57">
      <c r="D565" s="447"/>
      <c r="G565" s="447"/>
      <c r="J565" s="447"/>
      <c r="M565" s="447"/>
      <c r="R565" s="447"/>
      <c r="S565"/>
      <c r="T565"/>
      <c r="U565" s="447"/>
      <c r="V565"/>
      <c r="W565"/>
      <c r="X565" s="447"/>
      <c r="Y565"/>
      <c r="Z565"/>
      <c r="AA565" s="447"/>
      <c r="AB565"/>
      <c r="AC565"/>
      <c r="AE565"/>
      <c r="AF565" s="447"/>
      <c r="AG565"/>
      <c r="AH565"/>
      <c r="AI565" s="447"/>
      <c r="AJ565"/>
      <c r="AK565"/>
      <c r="AL565" s="447"/>
      <c r="AM565"/>
      <c r="AN565"/>
      <c r="AO565" s="447"/>
      <c r="AP565"/>
      <c r="AQ565"/>
      <c r="AS565"/>
      <c r="AT565" s="447"/>
      <c r="AU565"/>
      <c r="AV565"/>
      <c r="AW565" s="447"/>
      <c r="AX565"/>
      <c r="AY565"/>
      <c r="AZ565" s="447"/>
      <c r="BA565"/>
      <c r="BB565"/>
      <c r="BC565" s="447"/>
      <c r="BD565"/>
      <c r="BE565"/>
    </row>
    <row r="566" spans="4:57">
      <c r="D566" s="447"/>
      <c r="G566" s="447"/>
      <c r="J566" s="447"/>
      <c r="M566" s="447"/>
      <c r="R566" s="447"/>
      <c r="S566"/>
      <c r="T566"/>
      <c r="U566" s="447"/>
      <c r="V566"/>
      <c r="W566"/>
      <c r="X566" s="447"/>
      <c r="Y566"/>
      <c r="Z566"/>
      <c r="AA566" s="447"/>
      <c r="AB566"/>
      <c r="AC566"/>
      <c r="AE566"/>
      <c r="AF566" s="447"/>
      <c r="AG566"/>
      <c r="AH566"/>
      <c r="AI566" s="447"/>
      <c r="AJ566"/>
      <c r="AK566"/>
      <c r="AL566" s="447"/>
      <c r="AM566"/>
      <c r="AN566"/>
      <c r="AO566" s="447"/>
      <c r="AP566"/>
      <c r="AQ566"/>
      <c r="AS566"/>
      <c r="AT566" s="447"/>
      <c r="AU566"/>
      <c r="AV566"/>
      <c r="AW566" s="447"/>
      <c r="AX566"/>
      <c r="AY566"/>
      <c r="AZ566" s="447"/>
      <c r="BA566"/>
      <c r="BB566"/>
      <c r="BC566" s="447"/>
      <c r="BD566"/>
      <c r="BE566"/>
    </row>
    <row r="567" spans="4:57">
      <c r="D567" s="447"/>
      <c r="G567" s="447"/>
      <c r="J567" s="447"/>
      <c r="M567" s="447"/>
      <c r="R567" s="447"/>
      <c r="S567"/>
      <c r="T567"/>
      <c r="U567" s="447"/>
      <c r="V567"/>
      <c r="W567"/>
      <c r="X567" s="447"/>
      <c r="Y567"/>
      <c r="Z567"/>
      <c r="AA567" s="447"/>
      <c r="AB567"/>
      <c r="AC567"/>
      <c r="AE567"/>
      <c r="AF567" s="447"/>
      <c r="AG567"/>
      <c r="AH567"/>
      <c r="AI567" s="447"/>
      <c r="AJ567"/>
      <c r="AK567"/>
      <c r="AL567" s="447"/>
      <c r="AM567"/>
      <c r="AN567"/>
      <c r="AO567" s="447"/>
      <c r="AP567"/>
      <c r="AQ567"/>
      <c r="AS567"/>
      <c r="AT567" s="447"/>
      <c r="AU567"/>
      <c r="AV567"/>
      <c r="AW567" s="447"/>
      <c r="AX567"/>
      <c r="AY567"/>
      <c r="AZ567" s="447"/>
      <c r="BA567"/>
      <c r="BB567"/>
      <c r="BC567" s="447"/>
      <c r="BD567"/>
      <c r="BE567"/>
    </row>
    <row r="568" spans="4:57">
      <c r="D568" s="447"/>
      <c r="G568" s="447"/>
      <c r="J568" s="447"/>
      <c r="M568" s="447"/>
      <c r="R568" s="447"/>
      <c r="S568"/>
      <c r="T568"/>
      <c r="U568" s="447"/>
      <c r="V568"/>
      <c r="W568"/>
      <c r="X568" s="447"/>
      <c r="Y568"/>
      <c r="Z568"/>
      <c r="AA568" s="447"/>
      <c r="AB568"/>
      <c r="AC568"/>
      <c r="AE568"/>
      <c r="AF568" s="447"/>
      <c r="AG568"/>
      <c r="AH568"/>
      <c r="AI568" s="447"/>
      <c r="AJ568"/>
      <c r="AK568"/>
      <c r="AL568" s="447"/>
      <c r="AM568"/>
      <c r="AN568"/>
      <c r="AO568" s="447"/>
      <c r="AP568"/>
      <c r="AQ568"/>
      <c r="AS568"/>
      <c r="AT568" s="447"/>
      <c r="AU568"/>
      <c r="AV568"/>
      <c r="AW568" s="447"/>
      <c r="AX568"/>
      <c r="AY568"/>
      <c r="AZ568" s="447"/>
      <c r="BA568"/>
      <c r="BB568"/>
      <c r="BC568" s="447"/>
      <c r="BD568"/>
      <c r="BE568"/>
    </row>
    <row r="569" spans="4:57">
      <c r="D569" s="447"/>
      <c r="G569" s="447"/>
      <c r="J569" s="447"/>
      <c r="M569" s="447"/>
      <c r="R569" s="447"/>
      <c r="S569"/>
      <c r="T569"/>
      <c r="U569" s="447"/>
      <c r="V569"/>
      <c r="W569"/>
      <c r="X569" s="447"/>
      <c r="Y569"/>
      <c r="Z569"/>
      <c r="AA569" s="447"/>
      <c r="AB569"/>
      <c r="AC569"/>
      <c r="AE569"/>
      <c r="AF569" s="447"/>
      <c r="AG569"/>
      <c r="AH569"/>
      <c r="AI569" s="447"/>
      <c r="AJ569"/>
      <c r="AK569"/>
      <c r="AL569" s="447"/>
      <c r="AM569"/>
      <c r="AN569"/>
      <c r="AO569" s="447"/>
      <c r="AP569"/>
      <c r="AQ569"/>
      <c r="AS569"/>
      <c r="AT569" s="447"/>
      <c r="AU569"/>
      <c r="AV569"/>
      <c r="AW569" s="447"/>
      <c r="AX569"/>
      <c r="AY569"/>
      <c r="AZ569" s="447"/>
      <c r="BA569"/>
      <c r="BB569"/>
      <c r="BC569" s="447"/>
      <c r="BD569"/>
      <c r="BE569"/>
    </row>
    <row r="570" spans="4:57">
      <c r="D570" s="447"/>
      <c r="G570" s="447"/>
      <c r="J570" s="447"/>
      <c r="M570" s="447"/>
      <c r="R570" s="447"/>
      <c r="S570"/>
      <c r="T570"/>
      <c r="U570" s="447"/>
      <c r="V570"/>
      <c r="W570"/>
      <c r="X570" s="447"/>
      <c r="Y570"/>
      <c r="Z570"/>
      <c r="AA570" s="447"/>
      <c r="AB570"/>
      <c r="AC570"/>
      <c r="AE570"/>
      <c r="AF570" s="447"/>
      <c r="AG570"/>
      <c r="AH570"/>
      <c r="AI570" s="447"/>
      <c r="AJ570"/>
      <c r="AK570"/>
      <c r="AL570" s="447"/>
      <c r="AM570"/>
      <c r="AN570"/>
      <c r="AO570" s="447"/>
      <c r="AP570"/>
      <c r="AQ570"/>
      <c r="AS570"/>
      <c r="AT570" s="447"/>
      <c r="AU570"/>
      <c r="AV570"/>
      <c r="AW570" s="447"/>
      <c r="AX570"/>
      <c r="AY570"/>
      <c r="AZ570" s="447"/>
      <c r="BA570"/>
      <c r="BB570"/>
      <c r="BC570" s="447"/>
      <c r="BD570"/>
      <c r="BE570"/>
    </row>
    <row r="571" spans="4:57">
      <c r="D571" s="447"/>
      <c r="G571" s="447"/>
      <c r="J571" s="447"/>
      <c r="M571" s="447"/>
      <c r="R571" s="447"/>
      <c r="S571"/>
      <c r="T571"/>
      <c r="U571" s="447"/>
      <c r="V571"/>
      <c r="W571"/>
      <c r="X571" s="447"/>
      <c r="Y571"/>
      <c r="Z571"/>
      <c r="AA571" s="447"/>
      <c r="AB571"/>
      <c r="AC571"/>
      <c r="AE571"/>
      <c r="AF571" s="447"/>
      <c r="AG571"/>
      <c r="AH571"/>
      <c r="AI571" s="447"/>
      <c r="AJ571"/>
      <c r="AK571"/>
      <c r="AL571" s="447"/>
      <c r="AM571"/>
      <c r="AN571"/>
      <c r="AO571" s="447"/>
      <c r="AP571"/>
      <c r="AQ571"/>
      <c r="AS571"/>
      <c r="AT571" s="447"/>
      <c r="AU571"/>
      <c r="AV571"/>
      <c r="AW571" s="447"/>
      <c r="AX571"/>
      <c r="AY571"/>
      <c r="AZ571" s="447"/>
      <c r="BA571"/>
      <c r="BB571"/>
      <c r="BC571" s="447"/>
      <c r="BD571"/>
      <c r="BE571"/>
    </row>
    <row r="572" spans="4:57">
      <c r="D572" s="447"/>
      <c r="G572" s="447"/>
      <c r="J572" s="447"/>
      <c r="M572" s="447"/>
      <c r="R572" s="447"/>
      <c r="S572"/>
      <c r="T572"/>
      <c r="U572" s="447"/>
      <c r="V572"/>
      <c r="W572"/>
      <c r="X572" s="447"/>
      <c r="Y572"/>
      <c r="Z572"/>
      <c r="AA572" s="447"/>
      <c r="AB572"/>
      <c r="AC572"/>
      <c r="AE572"/>
      <c r="AF572" s="447"/>
      <c r="AG572"/>
      <c r="AH572"/>
      <c r="AI572" s="447"/>
      <c r="AJ572"/>
      <c r="AK572"/>
      <c r="AL572" s="447"/>
      <c r="AM572"/>
      <c r="AN572"/>
      <c r="AO572" s="447"/>
      <c r="AP572"/>
      <c r="AQ572"/>
      <c r="AS572"/>
      <c r="AT572" s="447"/>
      <c r="AU572"/>
      <c r="AV572"/>
      <c r="AW572" s="447"/>
      <c r="AX572"/>
      <c r="AY572"/>
      <c r="AZ572" s="447"/>
      <c r="BA572"/>
      <c r="BB572"/>
      <c r="BC572" s="447"/>
      <c r="BD572"/>
      <c r="BE572"/>
    </row>
    <row r="573" spans="4:57">
      <c r="D573" s="447"/>
      <c r="G573" s="447"/>
      <c r="J573" s="447"/>
      <c r="M573" s="447"/>
      <c r="R573" s="447"/>
      <c r="S573"/>
      <c r="T573"/>
      <c r="U573" s="447"/>
      <c r="V573"/>
      <c r="W573"/>
      <c r="X573" s="447"/>
      <c r="Y573"/>
      <c r="Z573"/>
      <c r="AA573" s="447"/>
      <c r="AB573"/>
      <c r="AC573"/>
      <c r="AE573"/>
      <c r="AF573" s="447"/>
      <c r="AG573"/>
      <c r="AH573"/>
      <c r="AI573" s="447"/>
      <c r="AJ573"/>
      <c r="AK573"/>
      <c r="AL573" s="447"/>
      <c r="AM573"/>
      <c r="AN573"/>
      <c r="AO573" s="447"/>
      <c r="AP573"/>
      <c r="AQ573"/>
      <c r="AS573"/>
      <c r="AT573" s="447"/>
      <c r="AU573"/>
      <c r="AV573"/>
      <c r="AW573" s="447"/>
      <c r="AX573"/>
      <c r="AY573"/>
      <c r="AZ573" s="447"/>
      <c r="BA573"/>
      <c r="BB573"/>
      <c r="BC573" s="447"/>
      <c r="BD573"/>
      <c r="BE573"/>
    </row>
    <row r="574" spans="4:57">
      <c r="D574" s="447"/>
      <c r="G574" s="447"/>
      <c r="J574" s="447"/>
      <c r="M574" s="447"/>
      <c r="R574" s="447"/>
      <c r="S574"/>
      <c r="T574"/>
      <c r="U574" s="447"/>
      <c r="V574"/>
      <c r="W574"/>
      <c r="X574" s="447"/>
      <c r="Y574"/>
      <c r="Z574"/>
      <c r="AA574" s="447"/>
      <c r="AB574"/>
      <c r="AC574"/>
      <c r="AE574"/>
      <c r="AF574" s="447"/>
      <c r="AG574"/>
      <c r="AH574"/>
      <c r="AI574" s="447"/>
      <c r="AJ574"/>
      <c r="AK574"/>
      <c r="AL574" s="447"/>
      <c r="AM574"/>
      <c r="AN574"/>
      <c r="AO574" s="447"/>
      <c r="AP574"/>
      <c r="AQ574"/>
      <c r="AS574"/>
      <c r="AT574" s="447"/>
      <c r="AU574"/>
      <c r="AV574"/>
      <c r="AW574" s="447"/>
      <c r="AX574"/>
      <c r="AY574"/>
      <c r="AZ574" s="447"/>
      <c r="BA574"/>
      <c r="BB574"/>
      <c r="BC574" s="447"/>
      <c r="BD574"/>
      <c r="BE574"/>
    </row>
    <row r="575" spans="4:57">
      <c r="D575" s="447"/>
      <c r="G575" s="447"/>
      <c r="J575" s="447"/>
      <c r="M575" s="447"/>
      <c r="R575" s="447"/>
      <c r="S575"/>
      <c r="T575"/>
      <c r="U575" s="447"/>
      <c r="V575"/>
      <c r="W575"/>
      <c r="X575" s="447"/>
      <c r="Y575"/>
      <c r="Z575"/>
      <c r="AA575" s="447"/>
      <c r="AB575"/>
      <c r="AC575"/>
      <c r="AE575"/>
      <c r="AF575" s="447"/>
      <c r="AG575"/>
      <c r="AH575"/>
      <c r="AI575" s="447"/>
      <c r="AJ575"/>
      <c r="AK575"/>
      <c r="AL575" s="447"/>
      <c r="AM575"/>
      <c r="AN575"/>
      <c r="AO575" s="447"/>
      <c r="AP575"/>
      <c r="AQ575"/>
      <c r="AS575"/>
      <c r="AT575" s="447"/>
      <c r="AU575"/>
      <c r="AV575"/>
      <c r="AW575" s="447"/>
      <c r="AX575"/>
      <c r="AY575"/>
      <c r="AZ575" s="447"/>
      <c r="BA575"/>
      <c r="BB575"/>
      <c r="BC575" s="447"/>
      <c r="BD575"/>
      <c r="BE575"/>
    </row>
    <row r="576" spans="4:57">
      <c r="D576" s="447"/>
      <c r="G576" s="447"/>
      <c r="J576" s="447"/>
      <c r="M576" s="447"/>
      <c r="R576" s="447"/>
      <c r="S576"/>
      <c r="T576"/>
      <c r="U576" s="447"/>
      <c r="V576"/>
      <c r="W576"/>
      <c r="X576" s="447"/>
      <c r="Y576"/>
      <c r="Z576"/>
      <c r="AA576" s="447"/>
      <c r="AB576"/>
      <c r="AC576"/>
      <c r="AE576"/>
      <c r="AF576" s="447"/>
      <c r="AG576"/>
      <c r="AH576"/>
      <c r="AI576" s="447"/>
      <c r="AJ576"/>
      <c r="AK576"/>
      <c r="AL576" s="447"/>
      <c r="AM576"/>
      <c r="AN576"/>
      <c r="AO576" s="447"/>
      <c r="AP576"/>
      <c r="AQ576"/>
      <c r="AS576"/>
      <c r="AT576" s="447"/>
      <c r="AU576"/>
      <c r="AV576"/>
      <c r="AW576" s="447"/>
      <c r="AX576"/>
      <c r="AY576"/>
      <c r="AZ576" s="447"/>
      <c r="BA576"/>
      <c r="BB576"/>
      <c r="BC576" s="447"/>
      <c r="BD576"/>
      <c r="BE576"/>
    </row>
    <row r="577" spans="4:57">
      <c r="D577" s="447"/>
      <c r="G577" s="447"/>
      <c r="J577" s="447"/>
      <c r="M577" s="447"/>
      <c r="R577" s="447"/>
      <c r="S577"/>
      <c r="T577"/>
      <c r="U577" s="447"/>
      <c r="V577"/>
      <c r="W577"/>
      <c r="X577" s="447"/>
      <c r="Y577"/>
      <c r="Z577"/>
      <c r="AA577" s="447"/>
      <c r="AB577"/>
      <c r="AC577"/>
      <c r="AE577"/>
      <c r="AF577" s="447"/>
      <c r="AG577"/>
      <c r="AH577"/>
      <c r="AI577" s="447"/>
      <c r="AJ577"/>
      <c r="AK577"/>
      <c r="AL577" s="447"/>
      <c r="AM577"/>
      <c r="AN577"/>
      <c r="AO577" s="447"/>
      <c r="AP577"/>
      <c r="AQ577"/>
      <c r="AS577"/>
      <c r="AT577" s="447"/>
      <c r="AU577"/>
      <c r="AV577"/>
      <c r="AW577" s="447"/>
      <c r="AX577"/>
      <c r="AY577"/>
      <c r="AZ577" s="447"/>
      <c r="BA577"/>
      <c r="BB577"/>
      <c r="BC577" s="447"/>
      <c r="BD577"/>
      <c r="BE577"/>
    </row>
    <row r="578" spans="4:57">
      <c r="D578" s="447"/>
      <c r="G578" s="447"/>
      <c r="J578" s="447"/>
      <c r="M578" s="447"/>
      <c r="R578" s="447"/>
      <c r="S578"/>
      <c r="T578"/>
      <c r="U578" s="447"/>
      <c r="V578"/>
      <c r="W578"/>
      <c r="X578" s="447"/>
      <c r="Y578"/>
      <c r="Z578"/>
      <c r="AA578" s="447"/>
      <c r="AB578"/>
      <c r="AC578"/>
      <c r="AE578"/>
      <c r="AF578" s="447"/>
      <c r="AG578"/>
      <c r="AH578"/>
      <c r="AI578" s="447"/>
      <c r="AJ578"/>
      <c r="AK578"/>
      <c r="AL578" s="447"/>
      <c r="AM578"/>
      <c r="AN578"/>
      <c r="AO578" s="447"/>
      <c r="AP578"/>
      <c r="AQ578"/>
      <c r="AS578"/>
      <c r="AT578" s="447"/>
      <c r="AU578"/>
      <c r="AV578"/>
      <c r="AW578" s="447"/>
      <c r="AX578"/>
      <c r="AY578"/>
      <c r="AZ578" s="447"/>
      <c r="BA578"/>
      <c r="BB578"/>
      <c r="BC578" s="447"/>
      <c r="BD578"/>
      <c r="BE578"/>
    </row>
    <row r="579" spans="4:57">
      <c r="D579" s="447"/>
      <c r="G579" s="447"/>
      <c r="J579" s="447"/>
      <c r="M579" s="447"/>
      <c r="R579" s="447"/>
      <c r="S579"/>
      <c r="T579"/>
      <c r="U579" s="447"/>
      <c r="V579"/>
      <c r="W579"/>
      <c r="X579" s="447"/>
      <c r="Y579"/>
      <c r="Z579"/>
      <c r="AA579" s="447"/>
      <c r="AB579"/>
      <c r="AC579"/>
      <c r="AE579"/>
      <c r="AF579" s="447"/>
      <c r="AG579"/>
      <c r="AH579"/>
      <c r="AI579" s="447"/>
      <c r="AJ579"/>
      <c r="AK579"/>
      <c r="AL579" s="447"/>
      <c r="AM579"/>
      <c r="AN579"/>
      <c r="AO579" s="447"/>
      <c r="AP579"/>
      <c r="AQ579"/>
      <c r="AS579"/>
      <c r="AT579" s="447"/>
      <c r="AU579"/>
      <c r="AV579"/>
      <c r="AW579" s="447"/>
      <c r="AX579"/>
      <c r="AY579"/>
      <c r="AZ579" s="447"/>
      <c r="BA579"/>
      <c r="BB579"/>
      <c r="BC579" s="447"/>
      <c r="BD579"/>
      <c r="BE579"/>
    </row>
    <row r="580" spans="4:57">
      <c r="D580" s="447"/>
      <c r="G580" s="447"/>
      <c r="J580" s="447"/>
      <c r="M580" s="447"/>
      <c r="R580" s="447"/>
      <c r="S580"/>
      <c r="T580"/>
      <c r="U580" s="447"/>
      <c r="V580"/>
      <c r="W580"/>
      <c r="X580" s="447"/>
      <c r="Y580"/>
      <c r="Z580"/>
      <c r="AA580" s="447"/>
      <c r="AB580"/>
      <c r="AC580"/>
      <c r="AE580"/>
      <c r="AF580" s="447"/>
      <c r="AG580"/>
      <c r="AH580"/>
      <c r="AI580" s="447"/>
      <c r="AJ580"/>
      <c r="AK580"/>
      <c r="AL580" s="447"/>
      <c r="AM580"/>
      <c r="AN580"/>
      <c r="AO580" s="447"/>
      <c r="AP580"/>
      <c r="AQ580"/>
      <c r="AS580"/>
      <c r="AT580" s="447"/>
      <c r="AU580"/>
      <c r="AV580"/>
      <c r="AW580" s="447"/>
      <c r="AX580"/>
      <c r="AY580"/>
      <c r="AZ580" s="447"/>
      <c r="BA580"/>
      <c r="BB580"/>
      <c r="BC580" s="447"/>
      <c r="BD580"/>
      <c r="BE580"/>
    </row>
    <row r="581" spans="4:57">
      <c r="D581" s="447"/>
      <c r="G581" s="447"/>
      <c r="J581" s="447"/>
      <c r="M581" s="447"/>
      <c r="R581" s="447"/>
      <c r="S581"/>
      <c r="T581"/>
      <c r="U581" s="447"/>
      <c r="V581"/>
      <c r="W581"/>
      <c r="X581" s="447"/>
      <c r="Y581"/>
      <c r="Z581"/>
      <c r="AA581" s="447"/>
      <c r="AB581"/>
      <c r="AC581"/>
      <c r="AE581"/>
      <c r="AF581" s="447"/>
      <c r="AG581"/>
      <c r="AH581"/>
      <c r="AI581" s="447"/>
      <c r="AJ581"/>
      <c r="AK581"/>
      <c r="AL581" s="447"/>
      <c r="AM581"/>
      <c r="AN581"/>
      <c r="AO581" s="447"/>
      <c r="AP581"/>
      <c r="AQ581"/>
      <c r="AS581"/>
      <c r="AT581" s="447"/>
      <c r="AU581"/>
      <c r="AV581"/>
      <c r="AW581" s="447"/>
      <c r="AX581"/>
      <c r="AY581"/>
      <c r="AZ581" s="447"/>
      <c r="BA581"/>
      <c r="BB581"/>
      <c r="BC581" s="447"/>
      <c r="BD581"/>
      <c r="BE581"/>
    </row>
    <row r="582" spans="4:57">
      <c r="D582" s="447"/>
      <c r="G582" s="447"/>
      <c r="J582" s="447"/>
      <c r="M582" s="447"/>
      <c r="R582" s="447"/>
      <c r="S582"/>
      <c r="T582"/>
      <c r="U582" s="447"/>
      <c r="V582"/>
      <c r="W582"/>
      <c r="X582" s="447"/>
      <c r="Y582"/>
      <c r="Z582"/>
      <c r="AA582" s="447"/>
      <c r="AB582"/>
      <c r="AC582"/>
      <c r="AE582"/>
      <c r="AF582" s="447"/>
      <c r="AG582"/>
      <c r="AH582"/>
      <c r="AI582" s="447"/>
      <c r="AJ582"/>
      <c r="AK582"/>
      <c r="AL582" s="447"/>
      <c r="AM582"/>
      <c r="AN582"/>
      <c r="AO582" s="447"/>
      <c r="AP582"/>
      <c r="AQ582"/>
      <c r="AS582"/>
      <c r="AT582" s="447"/>
      <c r="AU582"/>
      <c r="AV582"/>
      <c r="AW582" s="447"/>
      <c r="AX582"/>
      <c r="AY582"/>
      <c r="AZ582" s="447"/>
      <c r="BA582"/>
      <c r="BB582"/>
      <c r="BC582" s="447"/>
      <c r="BD582"/>
      <c r="BE582"/>
    </row>
    <row r="583" spans="4:57">
      <c r="D583" s="447"/>
      <c r="G583" s="447"/>
      <c r="J583" s="447"/>
      <c r="M583" s="447"/>
      <c r="R583" s="447"/>
      <c r="S583"/>
      <c r="T583"/>
      <c r="U583" s="447"/>
      <c r="V583"/>
      <c r="W583"/>
      <c r="X583" s="447"/>
      <c r="Y583"/>
      <c r="Z583"/>
      <c r="AA583" s="447"/>
      <c r="AB583"/>
      <c r="AC583"/>
      <c r="AE583"/>
      <c r="AF583" s="447"/>
      <c r="AG583"/>
      <c r="AH583"/>
      <c r="AI583" s="447"/>
      <c r="AJ583"/>
      <c r="AK583"/>
      <c r="AL583" s="447"/>
      <c r="AM583"/>
      <c r="AN583"/>
      <c r="AO583" s="447"/>
      <c r="AP583"/>
      <c r="AQ583"/>
      <c r="AS583"/>
      <c r="AT583" s="447"/>
      <c r="AU583"/>
      <c r="AV583"/>
      <c r="AW583" s="447"/>
      <c r="AX583"/>
      <c r="AY583"/>
      <c r="AZ583" s="447"/>
      <c r="BA583"/>
      <c r="BB583"/>
      <c r="BC583" s="447"/>
      <c r="BD583"/>
      <c r="BE583"/>
    </row>
    <row r="584" spans="4:57">
      <c r="D584" s="447"/>
      <c r="G584" s="447"/>
      <c r="J584" s="447"/>
      <c r="M584" s="447"/>
      <c r="R584" s="447"/>
      <c r="S584"/>
      <c r="T584"/>
      <c r="U584" s="447"/>
      <c r="V584"/>
      <c r="W584"/>
      <c r="X584" s="447"/>
      <c r="Y584"/>
      <c r="Z584"/>
      <c r="AA584" s="447"/>
      <c r="AB584"/>
      <c r="AC584"/>
      <c r="AE584"/>
      <c r="AF584" s="447"/>
      <c r="AG584"/>
      <c r="AH584"/>
      <c r="AI584" s="447"/>
      <c r="AJ584"/>
      <c r="AK584"/>
      <c r="AL584" s="447"/>
      <c r="AM584"/>
      <c r="AN584"/>
      <c r="AO584" s="447"/>
      <c r="AP584"/>
      <c r="AQ584"/>
      <c r="AS584"/>
      <c r="AT584" s="447"/>
      <c r="AU584"/>
      <c r="AV584"/>
      <c r="AW584" s="447"/>
      <c r="AX584"/>
      <c r="AY584"/>
      <c r="AZ584" s="447"/>
      <c r="BA584"/>
      <c r="BB584"/>
      <c r="BC584" s="447"/>
      <c r="BD584"/>
      <c r="BE584"/>
    </row>
    <row r="585" spans="4:57">
      <c r="D585" s="447"/>
      <c r="G585" s="447"/>
      <c r="J585" s="447"/>
      <c r="M585" s="447"/>
      <c r="R585" s="447"/>
      <c r="S585"/>
      <c r="T585"/>
      <c r="U585" s="447"/>
      <c r="V585"/>
      <c r="W585"/>
      <c r="X585" s="447"/>
      <c r="Y585"/>
      <c r="Z585"/>
      <c r="AA585" s="447"/>
      <c r="AB585"/>
      <c r="AC585"/>
      <c r="AE585"/>
      <c r="AF585" s="447"/>
      <c r="AG585"/>
      <c r="AH585"/>
      <c r="AI585" s="447"/>
      <c r="AJ585"/>
      <c r="AK585"/>
      <c r="AL585" s="447"/>
      <c r="AM585"/>
      <c r="AN585"/>
      <c r="AO585" s="447"/>
      <c r="AP585"/>
      <c r="AQ585"/>
      <c r="AS585"/>
      <c r="AT585" s="447"/>
      <c r="AU585"/>
      <c r="AV585"/>
      <c r="AW585" s="447"/>
      <c r="AX585"/>
      <c r="AY585"/>
      <c r="AZ585" s="447"/>
      <c r="BA585"/>
      <c r="BB585"/>
      <c r="BC585" s="447"/>
      <c r="BD585"/>
      <c r="BE585"/>
    </row>
    <row r="586" spans="4:57">
      <c r="D586" s="447"/>
      <c r="G586" s="447"/>
      <c r="J586" s="447"/>
      <c r="M586" s="447"/>
      <c r="R586" s="447"/>
      <c r="S586"/>
      <c r="T586"/>
      <c r="U586" s="447"/>
      <c r="V586"/>
      <c r="W586"/>
      <c r="X586" s="447"/>
      <c r="Y586"/>
      <c r="Z586"/>
      <c r="AA586" s="447"/>
      <c r="AB586"/>
      <c r="AC586"/>
      <c r="AE586"/>
      <c r="AF586" s="447"/>
      <c r="AG586"/>
      <c r="AH586"/>
      <c r="AI586" s="447"/>
      <c r="AJ586"/>
      <c r="AK586"/>
      <c r="AL586" s="447"/>
      <c r="AM586"/>
      <c r="AN586"/>
      <c r="AO586" s="447"/>
      <c r="AP586"/>
      <c r="AQ586"/>
      <c r="AS586"/>
      <c r="AT586" s="447"/>
      <c r="AU586"/>
      <c r="AV586"/>
      <c r="AW586" s="447"/>
      <c r="AX586"/>
      <c r="AY586"/>
      <c r="AZ586" s="447"/>
      <c r="BA586"/>
      <c r="BB586"/>
      <c r="BC586" s="447"/>
      <c r="BD586"/>
      <c r="BE586"/>
    </row>
    <row r="587" spans="4:57">
      <c r="D587" s="447"/>
      <c r="G587" s="447"/>
      <c r="J587" s="447"/>
      <c r="M587" s="447"/>
      <c r="R587" s="447"/>
      <c r="S587"/>
      <c r="T587"/>
      <c r="U587" s="447"/>
      <c r="V587"/>
      <c r="W587"/>
      <c r="X587" s="447"/>
      <c r="Y587"/>
      <c r="Z587"/>
      <c r="AA587" s="447"/>
      <c r="AB587"/>
      <c r="AC587"/>
      <c r="AE587"/>
      <c r="AF587" s="447"/>
      <c r="AG587"/>
      <c r="AH587"/>
      <c r="AI587" s="447"/>
      <c r="AJ587"/>
      <c r="AK587"/>
      <c r="AL587" s="447"/>
      <c r="AM587"/>
      <c r="AN587"/>
      <c r="AO587" s="447"/>
      <c r="AP587"/>
      <c r="AQ587"/>
      <c r="AS587"/>
      <c r="AT587" s="447"/>
      <c r="AU587"/>
      <c r="AV587"/>
      <c r="AW587" s="447"/>
      <c r="AX587"/>
      <c r="AY587"/>
      <c r="AZ587" s="447"/>
      <c r="BA587"/>
      <c r="BB587"/>
      <c r="BC587" s="447"/>
      <c r="BD587"/>
      <c r="BE587"/>
    </row>
    <row r="588" spans="4:57">
      <c r="D588" s="447"/>
      <c r="G588" s="447"/>
      <c r="J588" s="447"/>
      <c r="M588" s="447"/>
      <c r="R588" s="447"/>
      <c r="S588"/>
      <c r="T588"/>
      <c r="U588" s="447"/>
      <c r="V588"/>
      <c r="W588"/>
      <c r="X588" s="447"/>
      <c r="Y588"/>
      <c r="Z588"/>
      <c r="AA588" s="447"/>
      <c r="AB588"/>
      <c r="AC588"/>
      <c r="AE588"/>
      <c r="AF588" s="447"/>
      <c r="AG588"/>
      <c r="AH588"/>
      <c r="AI588" s="447"/>
      <c r="AJ588"/>
      <c r="AK588"/>
      <c r="AL588" s="447"/>
      <c r="AM588"/>
      <c r="AN588"/>
      <c r="AO588" s="447"/>
      <c r="AP588"/>
      <c r="AQ588"/>
      <c r="AS588"/>
      <c r="AT588" s="447"/>
      <c r="AU588"/>
      <c r="AV588"/>
      <c r="AW588" s="447"/>
      <c r="AX588"/>
      <c r="AY588"/>
      <c r="AZ588" s="447"/>
      <c r="BA588"/>
      <c r="BB588"/>
      <c r="BC588" s="447"/>
      <c r="BD588"/>
      <c r="BE588"/>
    </row>
    <row r="589" spans="4:57">
      <c r="D589" s="447"/>
      <c r="G589" s="447"/>
      <c r="J589" s="447"/>
      <c r="M589" s="447"/>
      <c r="R589" s="447"/>
      <c r="S589"/>
      <c r="T589"/>
      <c r="U589" s="447"/>
      <c r="V589"/>
      <c r="W589"/>
      <c r="X589" s="447"/>
      <c r="Y589"/>
      <c r="Z589"/>
      <c r="AA589" s="447"/>
      <c r="AB589"/>
      <c r="AC589"/>
      <c r="AE589"/>
      <c r="AF589" s="447"/>
      <c r="AG589"/>
      <c r="AH589"/>
      <c r="AI589" s="447"/>
      <c r="AJ589"/>
      <c r="AK589"/>
      <c r="AL589" s="447"/>
      <c r="AM589"/>
      <c r="AN589"/>
      <c r="AO589" s="447"/>
      <c r="AP589"/>
      <c r="AQ589"/>
      <c r="AS589"/>
      <c r="AT589" s="447"/>
      <c r="AU589"/>
      <c r="AV589"/>
      <c r="AW589" s="447"/>
      <c r="AX589"/>
      <c r="AY589"/>
      <c r="AZ589" s="447"/>
      <c r="BA589"/>
      <c r="BB589"/>
      <c r="BC589" s="447"/>
      <c r="BD589"/>
      <c r="BE589"/>
    </row>
    <row r="590" spans="4:57">
      <c r="D590" s="447"/>
      <c r="G590" s="447"/>
      <c r="J590" s="447"/>
      <c r="M590" s="447"/>
      <c r="R590" s="447"/>
      <c r="S590"/>
      <c r="T590"/>
      <c r="U590" s="447"/>
      <c r="V590"/>
      <c r="W590"/>
      <c r="X590" s="447"/>
      <c r="Y590"/>
      <c r="Z590"/>
      <c r="AA590" s="447"/>
      <c r="AB590"/>
      <c r="AC590"/>
      <c r="AE590"/>
      <c r="AF590" s="447"/>
      <c r="AG590"/>
      <c r="AH590"/>
      <c r="AI590" s="447"/>
      <c r="AJ590"/>
      <c r="AK590"/>
      <c r="AL590" s="447"/>
      <c r="AM590"/>
      <c r="AN590"/>
      <c r="AO590" s="447"/>
      <c r="AP590"/>
      <c r="AQ590"/>
      <c r="AS590"/>
      <c r="AT590" s="447"/>
      <c r="AU590"/>
      <c r="AV590"/>
      <c r="AW590" s="447"/>
      <c r="AX590"/>
      <c r="AY590"/>
      <c r="AZ590" s="447"/>
      <c r="BA590"/>
      <c r="BB590"/>
      <c r="BC590" s="447"/>
      <c r="BD590"/>
      <c r="BE590"/>
    </row>
    <row r="591" spans="4:57">
      <c r="D591" s="447"/>
      <c r="G591" s="447"/>
      <c r="J591" s="447"/>
      <c r="M591" s="447"/>
      <c r="R591" s="447"/>
      <c r="S591"/>
      <c r="T591"/>
      <c r="U591" s="447"/>
      <c r="V591"/>
      <c r="W591"/>
      <c r="X591" s="447"/>
      <c r="Y591"/>
      <c r="Z591"/>
      <c r="AA591" s="447"/>
      <c r="AB591"/>
      <c r="AC591"/>
      <c r="AE591"/>
      <c r="AF591" s="447"/>
      <c r="AG591"/>
      <c r="AH591"/>
      <c r="AI591" s="447"/>
      <c r="AJ591"/>
      <c r="AK591"/>
      <c r="AL591" s="447"/>
      <c r="AM591"/>
      <c r="AN591"/>
      <c r="AO591" s="447"/>
      <c r="AP591"/>
      <c r="AQ591"/>
      <c r="AS591"/>
      <c r="AT591" s="447"/>
      <c r="AU591"/>
      <c r="AV591"/>
      <c r="AW591" s="447"/>
      <c r="AX591"/>
      <c r="AY591"/>
      <c r="AZ591" s="447"/>
      <c r="BA591"/>
      <c r="BB591"/>
      <c r="BC591" s="447"/>
      <c r="BD591"/>
      <c r="BE591"/>
    </row>
    <row r="592" spans="4:57">
      <c r="D592" s="447"/>
      <c r="G592" s="447"/>
      <c r="J592" s="447"/>
      <c r="M592" s="447"/>
      <c r="R592" s="447"/>
      <c r="S592"/>
      <c r="T592"/>
      <c r="U592" s="447"/>
      <c r="V592"/>
      <c r="W592"/>
      <c r="X592" s="447"/>
      <c r="Y592"/>
      <c r="Z592"/>
      <c r="AA592" s="447"/>
      <c r="AB592"/>
      <c r="AC592"/>
      <c r="AE592"/>
      <c r="AF592" s="447"/>
      <c r="AG592"/>
      <c r="AH592"/>
      <c r="AI592" s="447"/>
      <c r="AJ592"/>
      <c r="AK592"/>
      <c r="AL592" s="447"/>
      <c r="AM592"/>
      <c r="AN592"/>
      <c r="AO592" s="447"/>
      <c r="AP592"/>
      <c r="AQ592"/>
      <c r="AS592"/>
      <c r="AT592" s="447"/>
      <c r="AU592"/>
      <c r="AV592"/>
      <c r="AW592" s="447"/>
      <c r="AX592"/>
      <c r="AY592"/>
      <c r="AZ592" s="447"/>
      <c r="BA592"/>
      <c r="BB592"/>
      <c r="BC592" s="447"/>
      <c r="BD592"/>
      <c r="BE592"/>
    </row>
    <row r="593" spans="4:57">
      <c r="D593" s="447"/>
      <c r="G593" s="447"/>
      <c r="J593" s="447"/>
      <c r="M593" s="447"/>
      <c r="R593" s="447"/>
      <c r="S593"/>
      <c r="T593"/>
      <c r="U593" s="447"/>
      <c r="V593"/>
      <c r="W593"/>
      <c r="X593" s="447"/>
      <c r="Y593"/>
      <c r="Z593"/>
      <c r="AA593" s="447"/>
      <c r="AB593"/>
      <c r="AC593"/>
      <c r="AE593"/>
      <c r="AF593" s="447"/>
      <c r="AG593"/>
      <c r="AH593"/>
      <c r="AI593" s="447"/>
      <c r="AJ593"/>
      <c r="AK593"/>
      <c r="AL593" s="447"/>
      <c r="AM593"/>
      <c r="AN593"/>
      <c r="AO593" s="447"/>
      <c r="AP593"/>
      <c r="AQ593"/>
      <c r="AS593"/>
      <c r="AT593" s="447"/>
      <c r="AU593"/>
      <c r="AV593"/>
      <c r="AW593" s="447"/>
      <c r="AX593"/>
      <c r="AY593"/>
      <c r="AZ593" s="447"/>
      <c r="BA593"/>
      <c r="BB593"/>
      <c r="BC593" s="447"/>
      <c r="BD593"/>
      <c r="BE593"/>
    </row>
    <row r="594" spans="4:57">
      <c r="D594" s="447"/>
      <c r="G594" s="447"/>
      <c r="J594" s="447"/>
      <c r="M594" s="447"/>
      <c r="R594" s="447"/>
      <c r="S594"/>
      <c r="T594"/>
      <c r="U594" s="447"/>
      <c r="V594"/>
      <c r="W594"/>
      <c r="X594" s="447"/>
      <c r="Y594"/>
      <c r="Z594"/>
      <c r="AA594" s="447"/>
      <c r="AB594"/>
      <c r="AC594"/>
      <c r="AE594"/>
      <c r="AF594" s="447"/>
      <c r="AG594"/>
      <c r="AH594"/>
      <c r="AI594" s="447"/>
      <c r="AJ594"/>
      <c r="AK594"/>
      <c r="AL594" s="447"/>
      <c r="AM594"/>
      <c r="AN594"/>
      <c r="AO594" s="447"/>
      <c r="AP594"/>
      <c r="AQ594"/>
      <c r="AS594"/>
      <c r="AT594" s="447"/>
      <c r="AU594"/>
      <c r="AV594"/>
      <c r="AW594" s="447"/>
      <c r="AX594"/>
      <c r="AY594"/>
      <c r="AZ594" s="447"/>
      <c r="BA594"/>
      <c r="BB594"/>
      <c r="BC594" s="447"/>
      <c r="BD594"/>
      <c r="BE594"/>
    </row>
    <row r="595" spans="4:57">
      <c r="D595" s="447"/>
      <c r="G595" s="447"/>
      <c r="J595" s="447"/>
      <c r="M595" s="447"/>
      <c r="R595" s="447"/>
      <c r="S595"/>
      <c r="T595"/>
      <c r="U595" s="447"/>
      <c r="V595"/>
      <c r="W595"/>
      <c r="X595" s="447"/>
      <c r="Y595"/>
      <c r="Z595"/>
      <c r="AA595" s="447"/>
      <c r="AB595"/>
      <c r="AC595"/>
      <c r="AE595"/>
      <c r="AF595" s="447"/>
      <c r="AG595"/>
      <c r="AH595"/>
      <c r="AI595" s="447"/>
      <c r="AJ595"/>
      <c r="AK595"/>
      <c r="AL595" s="447"/>
      <c r="AM595"/>
      <c r="AN595"/>
      <c r="AO595" s="447"/>
      <c r="AP595"/>
      <c r="AQ595"/>
      <c r="AS595"/>
      <c r="AT595" s="447"/>
      <c r="AU595"/>
      <c r="AV595"/>
      <c r="AW595" s="447"/>
      <c r="AX595"/>
      <c r="AY595"/>
      <c r="AZ595" s="447"/>
      <c r="BA595"/>
      <c r="BB595"/>
      <c r="BC595" s="447"/>
      <c r="BD595"/>
      <c r="BE595"/>
    </row>
    <row r="596" spans="4:57">
      <c r="D596" s="447"/>
      <c r="G596" s="447"/>
      <c r="J596" s="447"/>
      <c r="M596" s="447"/>
      <c r="R596" s="447"/>
      <c r="S596"/>
      <c r="T596"/>
      <c r="U596" s="447"/>
      <c r="V596"/>
      <c r="W596"/>
      <c r="X596" s="447"/>
      <c r="Y596"/>
      <c r="Z596"/>
      <c r="AA596" s="447"/>
      <c r="AB596"/>
      <c r="AC596"/>
      <c r="AE596"/>
      <c r="AF596" s="447"/>
      <c r="AG596"/>
      <c r="AH596"/>
      <c r="AI596" s="447"/>
      <c r="AJ596"/>
      <c r="AK596"/>
      <c r="AL596" s="447"/>
      <c r="AM596"/>
      <c r="AN596"/>
      <c r="AO596" s="447"/>
      <c r="AP596"/>
      <c r="AQ596"/>
      <c r="AS596"/>
      <c r="AT596" s="447"/>
      <c r="AU596"/>
      <c r="AV596"/>
      <c r="AW596" s="447"/>
      <c r="AX596"/>
      <c r="AY596"/>
      <c r="AZ596" s="447"/>
      <c r="BA596"/>
      <c r="BB596"/>
      <c r="BC596" s="447"/>
      <c r="BD596"/>
      <c r="BE596"/>
    </row>
    <row r="597" spans="4:57">
      <c r="D597" s="447"/>
      <c r="G597" s="447"/>
      <c r="J597" s="447"/>
      <c r="M597" s="447"/>
      <c r="R597" s="447"/>
      <c r="S597"/>
      <c r="T597"/>
      <c r="U597" s="447"/>
      <c r="V597"/>
      <c r="W597"/>
      <c r="X597" s="447"/>
      <c r="Y597"/>
      <c r="Z597"/>
      <c r="AA597" s="447"/>
      <c r="AB597"/>
      <c r="AC597"/>
      <c r="AE597"/>
      <c r="AF597" s="447"/>
      <c r="AG597"/>
      <c r="AH597"/>
      <c r="AI597" s="447"/>
      <c r="AJ597"/>
      <c r="AK597"/>
      <c r="AL597" s="447"/>
      <c r="AM597"/>
      <c r="AN597"/>
      <c r="AO597" s="447"/>
      <c r="AP597"/>
      <c r="AQ597"/>
      <c r="AS597"/>
      <c r="AT597" s="447"/>
      <c r="AU597"/>
      <c r="AV597"/>
      <c r="AW597" s="447"/>
      <c r="AX597"/>
      <c r="AY597"/>
      <c r="AZ597" s="447"/>
      <c r="BA597"/>
      <c r="BB597"/>
      <c r="BC597" s="447"/>
      <c r="BD597"/>
      <c r="BE597"/>
    </row>
    <row r="598" spans="4:57">
      <c r="D598" s="447"/>
      <c r="G598" s="447"/>
      <c r="J598" s="447"/>
      <c r="M598" s="447"/>
      <c r="R598" s="447"/>
      <c r="S598"/>
      <c r="T598"/>
      <c r="U598" s="447"/>
      <c r="V598"/>
      <c r="W598"/>
      <c r="X598" s="447"/>
      <c r="Y598"/>
      <c r="Z598"/>
      <c r="AA598" s="447"/>
      <c r="AB598"/>
      <c r="AC598"/>
      <c r="AE598"/>
      <c r="AF598" s="447"/>
      <c r="AG598"/>
      <c r="AH598"/>
      <c r="AI598" s="447"/>
      <c r="AJ598"/>
      <c r="AK598"/>
      <c r="AL598" s="447"/>
      <c r="AM598"/>
      <c r="AN598"/>
      <c r="AO598" s="447"/>
      <c r="AP598"/>
      <c r="AQ598"/>
      <c r="AS598"/>
      <c r="AT598" s="447"/>
      <c r="AU598"/>
      <c r="AV598"/>
      <c r="AW598" s="447"/>
      <c r="AX598"/>
      <c r="AY598"/>
      <c r="AZ598" s="447"/>
      <c r="BA598"/>
      <c r="BB598"/>
      <c r="BC598" s="447"/>
      <c r="BD598"/>
      <c r="BE598"/>
    </row>
    <row r="599" spans="4:57">
      <c r="D599" s="447"/>
      <c r="G599" s="447"/>
      <c r="J599" s="447"/>
      <c r="M599" s="447"/>
      <c r="R599" s="447"/>
      <c r="S599"/>
      <c r="T599"/>
      <c r="U599" s="447"/>
      <c r="V599"/>
      <c r="W599"/>
      <c r="X599" s="447"/>
      <c r="Y599"/>
      <c r="Z599"/>
      <c r="AA599" s="447"/>
      <c r="AB599"/>
      <c r="AC599"/>
      <c r="AE599"/>
      <c r="AF599" s="447"/>
      <c r="AG599"/>
      <c r="AH599"/>
      <c r="AI599" s="447"/>
      <c r="AJ599"/>
      <c r="AK599"/>
      <c r="AL599" s="447"/>
      <c r="AM599"/>
      <c r="AN599"/>
      <c r="AO599" s="447"/>
      <c r="AP599"/>
      <c r="AQ599"/>
      <c r="AS599"/>
      <c r="AT599" s="447"/>
      <c r="AU599"/>
      <c r="AV599"/>
      <c r="AW599" s="447"/>
      <c r="AX599"/>
      <c r="AY599"/>
      <c r="AZ599" s="447"/>
      <c r="BA599"/>
      <c r="BB599"/>
      <c r="BC599" s="447"/>
      <c r="BD599"/>
      <c r="BE599"/>
    </row>
    <row r="600" spans="4:57">
      <c r="D600" s="447"/>
      <c r="G600" s="447"/>
      <c r="J600" s="447"/>
      <c r="M600" s="447"/>
      <c r="R600" s="447"/>
      <c r="S600"/>
      <c r="T600"/>
      <c r="U600" s="447"/>
      <c r="V600"/>
      <c r="W600"/>
      <c r="X600" s="447"/>
      <c r="Y600"/>
      <c r="Z600"/>
      <c r="AA600" s="447"/>
      <c r="AB600"/>
      <c r="AC600"/>
      <c r="AE600"/>
      <c r="AF600" s="447"/>
      <c r="AG600"/>
      <c r="AH600"/>
      <c r="AI600" s="447"/>
      <c r="AJ600"/>
      <c r="AK600"/>
      <c r="AL600" s="447"/>
      <c r="AM600"/>
      <c r="AN600"/>
      <c r="AO600" s="447"/>
      <c r="AP600"/>
      <c r="AQ600"/>
      <c r="AS600"/>
      <c r="AT600" s="447"/>
      <c r="AU600"/>
      <c r="AV600"/>
      <c r="AW600" s="447"/>
      <c r="AX600"/>
      <c r="AY600"/>
      <c r="AZ600" s="447"/>
      <c r="BA600"/>
      <c r="BB600"/>
      <c r="BC600" s="447"/>
      <c r="BD600"/>
      <c r="BE600"/>
    </row>
    <row r="601" spans="4:57">
      <c r="D601" s="447"/>
      <c r="G601" s="447"/>
      <c r="J601" s="447"/>
      <c r="M601" s="447"/>
      <c r="R601" s="447"/>
      <c r="S601"/>
      <c r="T601"/>
      <c r="U601" s="447"/>
      <c r="V601"/>
      <c r="W601"/>
      <c r="X601" s="447"/>
      <c r="Y601"/>
      <c r="Z601"/>
      <c r="AA601" s="447"/>
      <c r="AB601"/>
      <c r="AC601"/>
      <c r="AE601"/>
      <c r="AF601" s="447"/>
      <c r="AG601"/>
      <c r="AH601"/>
      <c r="AI601" s="447"/>
      <c r="AJ601"/>
      <c r="AK601"/>
      <c r="AL601" s="447"/>
      <c r="AM601"/>
      <c r="AN601"/>
      <c r="AO601" s="447"/>
      <c r="AP601"/>
      <c r="AQ601"/>
      <c r="AS601"/>
      <c r="AT601" s="447"/>
      <c r="AU601"/>
      <c r="AV601"/>
      <c r="AW601" s="447"/>
      <c r="AX601"/>
      <c r="AY601"/>
      <c r="AZ601" s="447"/>
      <c r="BA601"/>
      <c r="BB601"/>
      <c r="BC601" s="447"/>
      <c r="BD601"/>
      <c r="BE601"/>
    </row>
    <row r="602" spans="4:57">
      <c r="D602" s="447"/>
      <c r="G602" s="447"/>
      <c r="J602" s="447"/>
      <c r="M602" s="447"/>
      <c r="R602" s="447"/>
      <c r="S602"/>
      <c r="T602"/>
      <c r="U602" s="447"/>
      <c r="V602"/>
      <c r="W602"/>
      <c r="X602" s="447"/>
      <c r="Y602"/>
      <c r="Z602"/>
      <c r="AA602" s="447"/>
      <c r="AB602"/>
      <c r="AC602"/>
      <c r="AE602"/>
      <c r="AF602" s="447"/>
      <c r="AG602"/>
      <c r="AH602"/>
      <c r="AI602" s="447"/>
      <c r="AJ602"/>
      <c r="AK602"/>
      <c r="AL602" s="447"/>
      <c r="AM602"/>
      <c r="AN602"/>
      <c r="AO602" s="447"/>
      <c r="AP602"/>
      <c r="AQ602"/>
      <c r="AS602"/>
      <c r="AT602" s="447"/>
      <c r="AU602"/>
      <c r="AV602"/>
      <c r="AW602" s="447"/>
      <c r="AX602"/>
      <c r="AY602"/>
      <c r="AZ602" s="447"/>
      <c r="BA602"/>
      <c r="BB602"/>
      <c r="BC602" s="447"/>
      <c r="BD602"/>
      <c r="BE602"/>
    </row>
    <row r="603" spans="4:57">
      <c r="D603" s="447"/>
      <c r="G603" s="447"/>
      <c r="J603" s="447"/>
      <c r="M603" s="447"/>
      <c r="R603" s="447"/>
      <c r="S603"/>
      <c r="T603"/>
      <c r="U603" s="447"/>
      <c r="V603"/>
      <c r="W603"/>
      <c r="X603" s="447"/>
      <c r="Y603"/>
      <c r="Z603"/>
      <c r="AA603" s="447"/>
      <c r="AB603"/>
      <c r="AC603"/>
      <c r="AE603"/>
      <c r="AF603" s="447"/>
      <c r="AG603"/>
      <c r="AH603"/>
      <c r="AI603" s="447"/>
      <c r="AJ603"/>
      <c r="AK603"/>
      <c r="AL603" s="447"/>
      <c r="AM603"/>
      <c r="AN603"/>
      <c r="AO603" s="447"/>
      <c r="AP603"/>
      <c r="AQ603"/>
      <c r="AS603"/>
      <c r="AT603" s="447"/>
      <c r="AU603"/>
      <c r="AV603"/>
      <c r="AW603" s="447"/>
      <c r="AX603"/>
      <c r="AY603"/>
      <c r="AZ603" s="447"/>
      <c r="BA603"/>
      <c r="BB603"/>
      <c r="BC603" s="447"/>
      <c r="BD603"/>
      <c r="BE603"/>
    </row>
    <row r="604" spans="4:57">
      <c r="D604" s="447"/>
      <c r="G604" s="447"/>
      <c r="J604" s="447"/>
      <c r="M604" s="447"/>
      <c r="R604" s="447"/>
      <c r="S604"/>
      <c r="T604"/>
      <c r="U604" s="447"/>
      <c r="V604"/>
      <c r="W604"/>
      <c r="X604" s="447"/>
      <c r="Y604"/>
      <c r="Z604"/>
      <c r="AA604" s="447"/>
      <c r="AB604"/>
      <c r="AC604"/>
      <c r="AE604"/>
      <c r="AF604" s="447"/>
      <c r="AG604"/>
      <c r="AH604"/>
      <c r="AI604" s="447"/>
      <c r="AJ604"/>
      <c r="AK604"/>
      <c r="AL604" s="447"/>
      <c r="AM604"/>
      <c r="AN604"/>
      <c r="AO604" s="447"/>
      <c r="AP604"/>
      <c r="AQ604"/>
      <c r="AS604"/>
      <c r="AT604" s="447"/>
      <c r="AU604"/>
      <c r="AV604"/>
      <c r="AW604" s="447"/>
      <c r="AX604"/>
      <c r="AY604"/>
      <c r="AZ604" s="447"/>
      <c r="BA604"/>
      <c r="BB604"/>
      <c r="BC604" s="447"/>
      <c r="BD604"/>
      <c r="BE604"/>
    </row>
    <row r="605" spans="4:57">
      <c r="D605" s="447"/>
      <c r="G605" s="447"/>
      <c r="J605" s="447"/>
      <c r="M605" s="447"/>
      <c r="R605" s="447"/>
      <c r="S605"/>
      <c r="T605"/>
      <c r="U605" s="447"/>
      <c r="V605"/>
      <c r="W605"/>
      <c r="X605" s="447"/>
      <c r="Y605"/>
      <c r="Z605"/>
      <c r="AA605" s="447"/>
      <c r="AB605"/>
      <c r="AC605"/>
      <c r="AE605"/>
      <c r="AF605" s="447"/>
      <c r="AG605"/>
      <c r="AH605"/>
      <c r="AI605" s="447"/>
      <c r="AJ605"/>
      <c r="AK605"/>
      <c r="AL605" s="447"/>
      <c r="AM605"/>
      <c r="AN605"/>
      <c r="AO605" s="447"/>
      <c r="AP605"/>
      <c r="AQ605"/>
      <c r="AS605"/>
      <c r="AT605" s="447"/>
      <c r="AU605"/>
      <c r="AV605"/>
      <c r="AW605" s="447"/>
      <c r="AX605"/>
      <c r="AY605"/>
      <c r="AZ605" s="447"/>
      <c r="BA605"/>
      <c r="BB605"/>
      <c r="BC605" s="447"/>
      <c r="BD605"/>
      <c r="BE605"/>
    </row>
    <row r="606" spans="4:57">
      <c r="D606" s="447"/>
      <c r="G606" s="447"/>
      <c r="J606" s="447"/>
      <c r="M606" s="447"/>
      <c r="R606" s="447"/>
      <c r="S606"/>
      <c r="T606"/>
      <c r="U606" s="447"/>
      <c r="V606"/>
      <c r="W606"/>
      <c r="X606" s="447"/>
      <c r="Y606"/>
      <c r="Z606"/>
      <c r="AA606" s="447"/>
      <c r="AB606"/>
      <c r="AC606"/>
      <c r="AE606"/>
      <c r="AF606" s="447"/>
      <c r="AG606"/>
      <c r="AH606"/>
      <c r="AI606" s="447"/>
      <c r="AJ606"/>
      <c r="AK606"/>
      <c r="AL606" s="447"/>
      <c r="AM606"/>
      <c r="AN606"/>
      <c r="AO606" s="447"/>
      <c r="AP606"/>
      <c r="AQ606"/>
      <c r="AS606"/>
      <c r="AT606" s="447"/>
      <c r="AU606"/>
      <c r="AV606"/>
      <c r="AW606" s="447"/>
      <c r="AX606"/>
      <c r="AY606"/>
      <c r="AZ606" s="447"/>
      <c r="BA606"/>
      <c r="BB606"/>
      <c r="BC606" s="447"/>
      <c r="BD606"/>
      <c r="BE606"/>
    </row>
    <row r="607" spans="4:57">
      <c r="D607" s="447"/>
      <c r="G607" s="447"/>
      <c r="J607" s="447"/>
      <c r="M607" s="447"/>
      <c r="R607" s="447"/>
      <c r="S607"/>
      <c r="T607"/>
      <c r="U607" s="447"/>
      <c r="V607"/>
      <c r="W607"/>
      <c r="X607" s="447"/>
      <c r="Y607"/>
      <c r="Z607"/>
      <c r="AA607" s="447"/>
      <c r="AB607"/>
      <c r="AC607"/>
      <c r="AE607"/>
      <c r="AF607" s="447"/>
      <c r="AG607"/>
      <c r="AH607"/>
      <c r="AI607" s="447"/>
      <c r="AJ607"/>
      <c r="AK607"/>
      <c r="AL607" s="447"/>
      <c r="AM607"/>
      <c r="AN607"/>
      <c r="AO607" s="447"/>
      <c r="AP607"/>
      <c r="AQ607"/>
      <c r="AS607"/>
      <c r="AT607" s="447"/>
      <c r="AU607"/>
      <c r="AV607"/>
      <c r="AW607" s="447"/>
      <c r="AX607"/>
      <c r="AY607"/>
      <c r="AZ607" s="447"/>
      <c r="BA607"/>
      <c r="BB607"/>
      <c r="BC607" s="447"/>
      <c r="BD607"/>
      <c r="BE607"/>
    </row>
    <row r="608" spans="4:57">
      <c r="D608" s="447"/>
      <c r="G608" s="447"/>
      <c r="J608" s="447"/>
      <c r="M608" s="447"/>
      <c r="R608" s="447"/>
      <c r="S608"/>
      <c r="T608"/>
      <c r="U608" s="447"/>
      <c r="V608"/>
      <c r="W608"/>
      <c r="X608" s="447"/>
      <c r="Y608"/>
      <c r="Z608"/>
      <c r="AA608" s="447"/>
      <c r="AB608"/>
      <c r="AC608"/>
      <c r="AE608"/>
      <c r="AF608" s="447"/>
      <c r="AG608"/>
      <c r="AH608"/>
      <c r="AI608" s="447"/>
      <c r="AJ608"/>
      <c r="AK608"/>
      <c r="AL608" s="447"/>
      <c r="AM608"/>
      <c r="AN608"/>
      <c r="AO608" s="447"/>
      <c r="AP608"/>
      <c r="AQ608"/>
      <c r="AS608"/>
      <c r="AT608" s="447"/>
      <c r="AU608"/>
      <c r="AV608"/>
      <c r="AW608" s="447"/>
      <c r="AX608"/>
      <c r="AY608"/>
      <c r="AZ608" s="447"/>
      <c r="BA608"/>
      <c r="BB608"/>
      <c r="BC608" s="447"/>
      <c r="BD608"/>
      <c r="BE608"/>
    </row>
    <row r="609" spans="4:57">
      <c r="D609" s="447"/>
      <c r="G609" s="447"/>
      <c r="J609" s="447"/>
      <c r="M609" s="447"/>
      <c r="R609" s="447"/>
      <c r="S609"/>
      <c r="T609"/>
      <c r="U609" s="447"/>
      <c r="V609"/>
      <c r="W609"/>
      <c r="X609" s="447"/>
      <c r="Y609"/>
      <c r="Z609"/>
      <c r="AA609" s="447"/>
      <c r="AB609"/>
      <c r="AC609"/>
      <c r="AE609"/>
      <c r="AF609" s="447"/>
      <c r="AG609"/>
      <c r="AH609"/>
      <c r="AI609" s="447"/>
      <c r="AJ609"/>
      <c r="AK609"/>
      <c r="AL609" s="447"/>
      <c r="AM609"/>
      <c r="AN609"/>
      <c r="AO609" s="447"/>
      <c r="AP609"/>
      <c r="AQ609"/>
      <c r="AS609"/>
      <c r="AT609" s="447"/>
      <c r="AU609"/>
      <c r="AV609"/>
      <c r="AW609" s="447"/>
      <c r="AX609"/>
      <c r="AY609"/>
      <c r="AZ609" s="447"/>
      <c r="BA609"/>
      <c r="BB609"/>
      <c r="BC609" s="447"/>
      <c r="BD609"/>
      <c r="BE609"/>
    </row>
    <row r="610" spans="4:57">
      <c r="D610" s="447"/>
      <c r="G610" s="447"/>
      <c r="J610" s="447"/>
      <c r="M610" s="447"/>
      <c r="R610" s="447"/>
      <c r="S610"/>
      <c r="T610"/>
      <c r="U610" s="447"/>
      <c r="V610"/>
      <c r="W610"/>
      <c r="X610" s="447"/>
      <c r="Y610"/>
      <c r="Z610"/>
      <c r="AA610" s="447"/>
      <c r="AB610"/>
      <c r="AC610"/>
      <c r="AE610"/>
      <c r="AF610" s="447"/>
      <c r="AG610"/>
      <c r="AH610"/>
      <c r="AI610" s="447"/>
      <c r="AJ610"/>
      <c r="AK610"/>
      <c r="AL610" s="447"/>
      <c r="AM610"/>
      <c r="AN610"/>
      <c r="AO610" s="447"/>
      <c r="AP610"/>
      <c r="AQ610"/>
      <c r="AS610"/>
      <c r="AT610" s="447"/>
      <c r="AU610"/>
      <c r="AV610"/>
      <c r="AW610" s="447"/>
      <c r="AX610"/>
      <c r="AY610"/>
      <c r="AZ610" s="447"/>
      <c r="BA610"/>
      <c r="BB610"/>
      <c r="BC610" s="447"/>
      <c r="BD610"/>
      <c r="BE610"/>
    </row>
    <row r="611" spans="4:57">
      <c r="D611" s="447"/>
      <c r="G611" s="447"/>
      <c r="J611" s="447"/>
      <c r="M611" s="447"/>
      <c r="R611" s="447"/>
      <c r="S611"/>
      <c r="T611"/>
      <c r="U611" s="447"/>
      <c r="V611"/>
      <c r="W611"/>
      <c r="X611" s="447"/>
      <c r="Y611"/>
      <c r="Z611"/>
      <c r="AA611" s="447"/>
      <c r="AB611"/>
      <c r="AC611"/>
      <c r="AE611"/>
      <c r="AF611" s="447"/>
      <c r="AG611"/>
      <c r="AH611"/>
      <c r="AI611" s="447"/>
      <c r="AJ611"/>
      <c r="AK611"/>
      <c r="AL611" s="447"/>
      <c r="AM611"/>
      <c r="AN611"/>
      <c r="AO611" s="447"/>
      <c r="AP611"/>
      <c r="AQ611"/>
      <c r="AS611"/>
      <c r="AT611" s="447"/>
      <c r="AU611"/>
      <c r="AV611"/>
      <c r="AW611" s="447"/>
      <c r="AX611"/>
      <c r="AY611"/>
      <c r="AZ611" s="447"/>
      <c r="BA611"/>
      <c r="BB611"/>
      <c r="BC611" s="447"/>
      <c r="BD611"/>
      <c r="BE611"/>
    </row>
    <row r="612" spans="4:57">
      <c r="D612" s="447"/>
      <c r="G612" s="447"/>
      <c r="J612" s="447"/>
      <c r="M612" s="447"/>
      <c r="R612" s="447"/>
      <c r="S612"/>
      <c r="T612"/>
      <c r="U612" s="447"/>
      <c r="V612"/>
      <c r="W612"/>
      <c r="X612" s="447"/>
      <c r="Y612"/>
      <c r="Z612"/>
      <c r="AA612" s="447"/>
      <c r="AB612"/>
      <c r="AC612"/>
      <c r="AE612"/>
      <c r="AF612" s="447"/>
      <c r="AG612"/>
      <c r="AH612"/>
      <c r="AI612" s="447"/>
      <c r="AJ612"/>
      <c r="AK612"/>
      <c r="AL612" s="447"/>
      <c r="AM612"/>
      <c r="AN612"/>
      <c r="AO612" s="447"/>
      <c r="AP612"/>
      <c r="AQ612"/>
      <c r="AS612"/>
      <c r="AT612" s="447"/>
      <c r="AU612"/>
      <c r="AV612"/>
      <c r="AW612" s="447"/>
      <c r="AX612"/>
      <c r="AY612"/>
      <c r="AZ612" s="447"/>
      <c r="BA612"/>
      <c r="BB612"/>
      <c r="BC612" s="447"/>
      <c r="BD612"/>
      <c r="BE612"/>
    </row>
    <row r="613" spans="4:57">
      <c r="D613" s="447"/>
      <c r="G613" s="447"/>
      <c r="J613" s="447"/>
      <c r="M613" s="447"/>
      <c r="R613" s="447"/>
      <c r="S613"/>
      <c r="T613"/>
      <c r="U613" s="447"/>
      <c r="V613"/>
      <c r="W613"/>
      <c r="X613" s="447"/>
      <c r="Y613"/>
      <c r="Z613"/>
      <c r="AA613" s="447"/>
      <c r="AB613"/>
      <c r="AC613"/>
      <c r="AE613"/>
      <c r="AF613" s="447"/>
      <c r="AG613"/>
      <c r="AH613"/>
      <c r="AI613" s="447"/>
      <c r="AJ613"/>
      <c r="AK613"/>
      <c r="AL613" s="447"/>
      <c r="AM613"/>
      <c r="AN613"/>
      <c r="AO613" s="447"/>
      <c r="AP613"/>
      <c r="AQ613"/>
      <c r="AS613"/>
      <c r="AT613" s="447"/>
      <c r="AU613"/>
      <c r="AV613"/>
      <c r="AW613" s="447"/>
      <c r="AX613"/>
      <c r="AY613"/>
      <c r="AZ613" s="447"/>
      <c r="BA613"/>
      <c r="BB613"/>
      <c r="BC613" s="447"/>
      <c r="BD613"/>
      <c r="BE613"/>
    </row>
    <row r="614" spans="4:57">
      <c r="D614" s="447"/>
      <c r="G614" s="447"/>
      <c r="J614" s="447"/>
      <c r="M614" s="447"/>
      <c r="R614" s="447"/>
      <c r="S614"/>
      <c r="T614"/>
      <c r="U614" s="447"/>
      <c r="V614"/>
      <c r="W614"/>
      <c r="X614" s="447"/>
      <c r="Y614"/>
      <c r="Z614"/>
      <c r="AA614" s="447"/>
      <c r="AB614"/>
      <c r="AC614"/>
      <c r="AE614"/>
      <c r="AF614" s="447"/>
      <c r="AG614"/>
      <c r="AH614"/>
      <c r="AI614" s="447"/>
      <c r="AJ614"/>
      <c r="AK614"/>
      <c r="AL614" s="447"/>
      <c r="AM614"/>
      <c r="AN614"/>
      <c r="AO614" s="447"/>
      <c r="AP614"/>
      <c r="AQ614"/>
      <c r="AS614"/>
      <c r="AT614" s="447"/>
      <c r="AU614"/>
      <c r="AV614"/>
      <c r="AW614" s="447"/>
      <c r="AX614"/>
      <c r="AY614"/>
      <c r="AZ614" s="447"/>
      <c r="BA614"/>
      <c r="BB614"/>
      <c r="BC614" s="447"/>
      <c r="BD614"/>
      <c r="BE614"/>
    </row>
    <row r="615" spans="4:57">
      <c r="D615" s="447"/>
      <c r="G615" s="447"/>
      <c r="J615" s="447"/>
      <c r="M615" s="447"/>
      <c r="R615" s="447"/>
      <c r="S615"/>
      <c r="T615"/>
      <c r="U615" s="447"/>
      <c r="V615"/>
      <c r="W615"/>
      <c r="X615" s="447"/>
      <c r="Y615"/>
      <c r="Z615"/>
      <c r="AA615" s="447"/>
      <c r="AB615"/>
      <c r="AC615"/>
      <c r="AE615"/>
      <c r="AF615" s="447"/>
      <c r="AG615"/>
      <c r="AH615"/>
      <c r="AI615" s="447"/>
      <c r="AJ615"/>
      <c r="AK615"/>
      <c r="AL615" s="447"/>
      <c r="AM615"/>
      <c r="AN615"/>
      <c r="AO615" s="447"/>
      <c r="AP615"/>
      <c r="AQ615"/>
      <c r="AS615"/>
      <c r="AT615" s="447"/>
      <c r="AU615"/>
      <c r="AV615"/>
      <c r="AW615" s="447"/>
      <c r="AX615"/>
      <c r="AY615"/>
      <c r="AZ615" s="447"/>
      <c r="BA615"/>
      <c r="BB615"/>
      <c r="BC615" s="447"/>
      <c r="BD615"/>
      <c r="BE615"/>
    </row>
    <row r="616" spans="4:57">
      <c r="D616" s="447"/>
      <c r="G616" s="447"/>
      <c r="J616" s="447"/>
      <c r="M616" s="447"/>
      <c r="R616" s="447"/>
      <c r="S616"/>
      <c r="T616"/>
      <c r="U616" s="447"/>
      <c r="V616"/>
      <c r="W616"/>
      <c r="X616" s="447"/>
      <c r="Y616"/>
      <c r="Z616"/>
      <c r="AA616" s="447"/>
      <c r="AB616"/>
      <c r="AC616"/>
      <c r="AE616"/>
      <c r="AF616" s="447"/>
      <c r="AG616"/>
      <c r="AH616"/>
      <c r="AI616" s="447"/>
      <c r="AJ616"/>
      <c r="AK616"/>
      <c r="AL616" s="447"/>
      <c r="AM616"/>
      <c r="AN616"/>
      <c r="AO616" s="447"/>
      <c r="AP616"/>
      <c r="AQ616"/>
      <c r="AS616"/>
      <c r="AT616" s="447"/>
      <c r="AU616"/>
      <c r="AV616"/>
      <c r="AW616" s="447"/>
      <c r="AX616"/>
      <c r="AY616"/>
      <c r="AZ616" s="447"/>
      <c r="BA616"/>
      <c r="BB616"/>
      <c r="BC616" s="447"/>
      <c r="BD616"/>
      <c r="BE616"/>
    </row>
    <row r="617" spans="4:57">
      <c r="D617" s="447"/>
      <c r="G617" s="447"/>
      <c r="J617" s="447"/>
      <c r="M617" s="447"/>
      <c r="R617" s="447"/>
      <c r="S617"/>
      <c r="T617"/>
      <c r="U617" s="447"/>
      <c r="V617"/>
      <c r="W617"/>
      <c r="X617" s="447"/>
      <c r="Y617"/>
      <c r="Z617"/>
      <c r="AA617" s="447"/>
      <c r="AB617"/>
      <c r="AC617"/>
      <c r="AE617"/>
      <c r="AF617" s="447"/>
      <c r="AG617"/>
      <c r="AH617"/>
      <c r="AI617" s="447"/>
      <c r="AJ617"/>
      <c r="AK617"/>
      <c r="AL617" s="447"/>
      <c r="AM617"/>
      <c r="AN617"/>
      <c r="AO617" s="447"/>
      <c r="AP617"/>
      <c r="AQ617"/>
      <c r="AS617"/>
      <c r="AT617" s="447"/>
      <c r="AU617"/>
      <c r="AV617"/>
      <c r="AW617" s="447"/>
      <c r="AX617"/>
      <c r="AY617"/>
      <c r="AZ617" s="447"/>
      <c r="BA617"/>
      <c r="BB617"/>
      <c r="BC617" s="447"/>
      <c r="BD617"/>
      <c r="BE617"/>
    </row>
    <row r="618" spans="4:57">
      <c r="D618" s="447"/>
      <c r="G618" s="447"/>
      <c r="J618" s="447"/>
      <c r="M618" s="447"/>
      <c r="R618" s="447"/>
      <c r="S618"/>
      <c r="T618"/>
      <c r="U618" s="447"/>
      <c r="V618"/>
      <c r="W618"/>
      <c r="X618" s="447"/>
      <c r="Y618"/>
      <c r="Z618"/>
      <c r="AA618" s="447"/>
      <c r="AB618"/>
      <c r="AC618"/>
      <c r="AE618"/>
      <c r="AF618" s="447"/>
      <c r="AG618"/>
      <c r="AH618"/>
      <c r="AI618" s="447"/>
      <c r="AJ618"/>
      <c r="AK618"/>
      <c r="AL618" s="447"/>
      <c r="AM618"/>
      <c r="AN618"/>
      <c r="AO618" s="447"/>
      <c r="AP618"/>
      <c r="AQ618"/>
      <c r="AS618"/>
      <c r="AT618" s="447"/>
      <c r="AU618"/>
      <c r="AV618"/>
      <c r="AW618" s="447"/>
      <c r="AX618"/>
      <c r="AY618"/>
      <c r="AZ618" s="447"/>
      <c r="BA618"/>
      <c r="BB618"/>
      <c r="BC618" s="447"/>
      <c r="BD618"/>
      <c r="BE618"/>
    </row>
    <row r="619" spans="4:57">
      <c r="D619" s="447"/>
      <c r="G619" s="447"/>
      <c r="J619" s="447"/>
      <c r="M619" s="447"/>
      <c r="R619" s="447"/>
      <c r="S619"/>
      <c r="T619"/>
      <c r="U619" s="447"/>
      <c r="V619"/>
      <c r="W619"/>
      <c r="X619" s="447"/>
      <c r="Y619"/>
      <c r="Z619"/>
      <c r="AA619" s="447"/>
      <c r="AB619"/>
      <c r="AC619"/>
      <c r="AE619"/>
      <c r="AF619" s="447"/>
      <c r="AG619"/>
      <c r="AH619"/>
      <c r="AI619" s="447"/>
      <c r="AJ619"/>
      <c r="AK619"/>
      <c r="AL619" s="447"/>
      <c r="AM619"/>
      <c r="AN619"/>
      <c r="AO619" s="447"/>
      <c r="AP619"/>
      <c r="AQ619"/>
      <c r="AS619"/>
      <c r="AT619" s="447"/>
      <c r="AU619"/>
      <c r="AV619"/>
      <c r="AW619" s="447"/>
      <c r="AX619"/>
      <c r="AY619"/>
      <c r="AZ619" s="447"/>
      <c r="BA619"/>
      <c r="BB619"/>
      <c r="BC619" s="447"/>
      <c r="BD619"/>
      <c r="BE619"/>
    </row>
    <row r="620" spans="4:57">
      <c r="D620" s="447"/>
      <c r="G620" s="447"/>
      <c r="J620" s="447"/>
      <c r="M620" s="447"/>
      <c r="R620" s="447"/>
      <c r="S620"/>
      <c r="T620"/>
      <c r="U620" s="447"/>
      <c r="V620"/>
      <c r="W620"/>
      <c r="X620" s="447"/>
      <c r="Y620"/>
      <c r="Z620"/>
      <c r="AA620" s="447"/>
      <c r="AB620"/>
      <c r="AC620"/>
      <c r="AE620"/>
      <c r="AF620" s="447"/>
      <c r="AG620"/>
      <c r="AH620"/>
      <c r="AI620" s="447"/>
      <c r="AJ620"/>
      <c r="AK620"/>
      <c r="AL620" s="447"/>
      <c r="AM620"/>
      <c r="AN620"/>
      <c r="AO620" s="447"/>
      <c r="AP620"/>
      <c r="AQ620"/>
      <c r="AS620"/>
      <c r="AT620" s="447"/>
      <c r="AU620"/>
      <c r="AV620"/>
      <c r="AW620" s="447"/>
      <c r="AX620"/>
      <c r="AY620"/>
      <c r="AZ620" s="447"/>
      <c r="BA620"/>
      <c r="BB620"/>
      <c r="BC620" s="447"/>
      <c r="BD620"/>
      <c r="BE620"/>
    </row>
    <row r="621" spans="4:57">
      <c r="D621" s="447"/>
      <c r="G621" s="447"/>
      <c r="J621" s="447"/>
      <c r="M621" s="447"/>
      <c r="R621" s="447"/>
      <c r="S621"/>
      <c r="T621"/>
      <c r="U621" s="447"/>
      <c r="V621"/>
      <c r="W621"/>
      <c r="X621" s="447"/>
      <c r="Y621"/>
      <c r="Z621"/>
      <c r="AA621" s="447"/>
      <c r="AB621"/>
      <c r="AC621"/>
      <c r="AE621"/>
      <c r="AF621" s="447"/>
      <c r="AG621"/>
      <c r="AH621"/>
      <c r="AI621" s="447"/>
      <c r="AJ621"/>
      <c r="AK621"/>
      <c r="AL621" s="447"/>
      <c r="AM621"/>
      <c r="AN621"/>
      <c r="AO621" s="447"/>
      <c r="AP621"/>
      <c r="AQ621"/>
      <c r="AS621"/>
      <c r="AT621" s="447"/>
      <c r="AU621"/>
      <c r="AV621"/>
      <c r="AW621" s="447"/>
      <c r="AX621"/>
      <c r="AY621"/>
      <c r="AZ621" s="447"/>
      <c r="BA621"/>
      <c r="BB621"/>
      <c r="BC621" s="447"/>
      <c r="BD621"/>
      <c r="BE621"/>
    </row>
    <row r="622" spans="4:57">
      <c r="D622" s="447"/>
      <c r="G622" s="447"/>
      <c r="J622" s="447"/>
      <c r="M622" s="447"/>
      <c r="R622" s="447"/>
      <c r="S622"/>
      <c r="T622"/>
      <c r="U622" s="447"/>
      <c r="V622"/>
      <c r="W622"/>
      <c r="X622" s="447"/>
      <c r="Y622"/>
      <c r="Z622"/>
      <c r="AA622" s="447"/>
      <c r="AB622"/>
      <c r="AC622"/>
      <c r="AE622"/>
      <c r="AF622" s="447"/>
      <c r="AG622"/>
      <c r="AH622"/>
      <c r="AI622" s="447"/>
      <c r="AJ622"/>
      <c r="AK622"/>
      <c r="AL622" s="447"/>
      <c r="AM622"/>
      <c r="AN622"/>
      <c r="AO622" s="447"/>
      <c r="AP622"/>
      <c r="AQ622"/>
      <c r="AS622"/>
      <c r="AT622" s="447"/>
      <c r="AU622"/>
      <c r="AV622"/>
      <c r="AW622" s="447"/>
      <c r="AX622"/>
      <c r="AY622"/>
      <c r="AZ622" s="447"/>
      <c r="BA622"/>
      <c r="BB622"/>
      <c r="BC622" s="447"/>
      <c r="BD622"/>
      <c r="BE622"/>
    </row>
    <row r="623" spans="4:57">
      <c r="D623" s="447"/>
      <c r="G623" s="447"/>
      <c r="J623" s="447"/>
      <c r="M623" s="447"/>
      <c r="R623" s="447"/>
      <c r="S623"/>
      <c r="T623"/>
      <c r="U623" s="447"/>
      <c r="V623"/>
      <c r="W623"/>
      <c r="X623" s="447"/>
      <c r="Y623"/>
      <c r="Z623"/>
      <c r="AA623" s="447"/>
      <c r="AB623"/>
      <c r="AC623"/>
      <c r="AE623"/>
      <c r="AF623" s="447"/>
      <c r="AG623"/>
      <c r="AH623"/>
      <c r="AI623" s="447"/>
      <c r="AJ623"/>
      <c r="AK623"/>
      <c r="AL623" s="447"/>
      <c r="AM623"/>
      <c r="AN623"/>
      <c r="AO623" s="447"/>
      <c r="AP623"/>
      <c r="AQ623"/>
      <c r="AS623"/>
      <c r="AT623" s="447"/>
      <c r="AU623"/>
      <c r="AV623"/>
      <c r="AW623" s="447"/>
      <c r="AX623"/>
      <c r="AY623"/>
      <c r="AZ623" s="447"/>
      <c r="BA623"/>
      <c r="BB623"/>
      <c r="BC623" s="447"/>
      <c r="BD623"/>
      <c r="BE623"/>
    </row>
    <row r="624" spans="4:57">
      <c r="D624" s="447"/>
      <c r="G624" s="447"/>
      <c r="J624" s="447"/>
      <c r="M624" s="447"/>
      <c r="R624" s="447"/>
      <c r="S624"/>
      <c r="T624"/>
      <c r="U624" s="447"/>
      <c r="V624"/>
      <c r="W624"/>
      <c r="X624" s="447"/>
      <c r="Y624"/>
      <c r="Z624"/>
      <c r="AA624" s="447"/>
      <c r="AB624"/>
      <c r="AC624"/>
      <c r="AE624"/>
      <c r="AF624" s="447"/>
      <c r="AG624"/>
      <c r="AH624"/>
      <c r="AI624" s="447"/>
      <c r="AJ624"/>
      <c r="AK624"/>
      <c r="AL624" s="447"/>
      <c r="AM624"/>
      <c r="AN624"/>
      <c r="AO624" s="447"/>
      <c r="AP624"/>
      <c r="AQ624"/>
      <c r="AS624"/>
      <c r="AT624" s="447"/>
      <c r="AU624"/>
      <c r="AV624"/>
      <c r="AW624" s="447"/>
      <c r="AX624"/>
      <c r="AY624"/>
      <c r="AZ624" s="447"/>
      <c r="BA624"/>
      <c r="BB624"/>
      <c r="BC624" s="447"/>
      <c r="BD624"/>
      <c r="BE624"/>
    </row>
    <row r="625" spans="4:57">
      <c r="D625" s="447"/>
      <c r="G625" s="447"/>
      <c r="J625" s="447"/>
      <c r="M625" s="447"/>
      <c r="R625" s="447"/>
      <c r="S625"/>
      <c r="T625"/>
      <c r="U625" s="447"/>
      <c r="V625"/>
      <c r="W625"/>
      <c r="X625" s="447"/>
      <c r="Y625"/>
      <c r="Z625"/>
      <c r="AA625" s="447"/>
      <c r="AB625"/>
      <c r="AC625"/>
      <c r="AE625"/>
      <c r="AF625" s="447"/>
      <c r="AG625"/>
      <c r="AH625"/>
      <c r="AI625" s="447"/>
      <c r="AJ625"/>
      <c r="AK625"/>
      <c r="AL625" s="447"/>
      <c r="AM625"/>
      <c r="AN625"/>
      <c r="AO625" s="447"/>
      <c r="AP625"/>
      <c r="AQ625"/>
      <c r="AS625"/>
      <c r="AT625" s="447"/>
      <c r="AU625"/>
      <c r="AV625"/>
      <c r="AW625" s="447"/>
      <c r="AX625"/>
      <c r="AY625"/>
      <c r="AZ625" s="447"/>
      <c r="BA625"/>
      <c r="BB625"/>
      <c r="BC625" s="447"/>
      <c r="BD625"/>
      <c r="BE625"/>
    </row>
    <row r="626" spans="4:57">
      <c r="D626" s="447"/>
      <c r="G626" s="447"/>
      <c r="J626" s="447"/>
      <c r="M626" s="447"/>
      <c r="R626" s="447"/>
      <c r="S626"/>
      <c r="T626"/>
      <c r="U626" s="447"/>
      <c r="V626"/>
      <c r="W626"/>
      <c r="X626" s="447"/>
      <c r="Y626"/>
      <c r="Z626"/>
      <c r="AA626" s="447"/>
      <c r="AB626"/>
      <c r="AC626"/>
      <c r="AE626"/>
      <c r="AF626" s="447"/>
      <c r="AG626"/>
      <c r="AH626"/>
      <c r="AI626" s="447"/>
      <c r="AJ626"/>
      <c r="AK626"/>
      <c r="AL626" s="447"/>
      <c r="AM626"/>
      <c r="AN626"/>
      <c r="AO626" s="447"/>
      <c r="AP626"/>
      <c r="AQ626"/>
      <c r="AS626"/>
      <c r="AT626" s="447"/>
      <c r="AU626"/>
      <c r="AV626"/>
      <c r="AW626" s="447"/>
      <c r="AX626"/>
      <c r="AY626"/>
      <c r="AZ626" s="447"/>
      <c r="BA626"/>
      <c r="BB626"/>
      <c r="BC626" s="447"/>
      <c r="BD626"/>
      <c r="BE626"/>
    </row>
    <row r="627" spans="4:57">
      <c r="D627" s="447"/>
      <c r="G627" s="447"/>
      <c r="J627" s="447"/>
      <c r="M627" s="447"/>
      <c r="R627" s="447"/>
      <c r="S627"/>
      <c r="T627"/>
      <c r="U627" s="447"/>
      <c r="V627"/>
      <c r="W627"/>
      <c r="X627" s="447"/>
      <c r="Y627"/>
      <c r="Z627"/>
      <c r="AA627" s="447"/>
      <c r="AB627"/>
      <c r="AC627"/>
      <c r="AE627"/>
      <c r="AF627" s="447"/>
      <c r="AG627"/>
      <c r="AH627"/>
      <c r="AI627" s="447"/>
      <c r="AJ627"/>
      <c r="AK627"/>
      <c r="AL627" s="447"/>
      <c r="AM627"/>
      <c r="AN627"/>
      <c r="AO627" s="447"/>
      <c r="AP627"/>
      <c r="AQ627"/>
      <c r="AS627"/>
      <c r="AT627" s="447"/>
      <c r="AU627"/>
      <c r="AV627"/>
      <c r="AW627" s="447"/>
      <c r="AX627"/>
      <c r="AY627"/>
      <c r="AZ627" s="447"/>
      <c r="BA627"/>
      <c r="BB627"/>
      <c r="BC627" s="447"/>
      <c r="BD627"/>
      <c r="BE627"/>
    </row>
    <row r="628" spans="4:57">
      <c r="D628" s="447"/>
      <c r="G628" s="447"/>
      <c r="J628" s="447"/>
      <c r="M628" s="447"/>
      <c r="R628" s="447"/>
      <c r="S628"/>
      <c r="T628"/>
      <c r="U628" s="447"/>
      <c r="V628"/>
      <c r="W628"/>
      <c r="X628" s="447"/>
      <c r="Y628"/>
      <c r="Z628"/>
      <c r="AA628" s="447"/>
      <c r="AB628"/>
      <c r="AC628"/>
      <c r="AE628"/>
      <c r="AF628" s="447"/>
      <c r="AG628"/>
      <c r="AH628"/>
      <c r="AI628" s="447"/>
      <c r="AJ628"/>
      <c r="AK628"/>
      <c r="AL628" s="447"/>
      <c r="AM628"/>
      <c r="AN628"/>
      <c r="AO628" s="447"/>
      <c r="AP628"/>
      <c r="AQ628"/>
      <c r="AS628"/>
      <c r="AT628" s="447"/>
      <c r="AU628"/>
      <c r="AV628"/>
      <c r="AW628" s="447"/>
      <c r="AX628"/>
      <c r="AY628"/>
      <c r="AZ628" s="447"/>
      <c r="BA628"/>
      <c r="BB628"/>
      <c r="BC628" s="447"/>
      <c r="BD628"/>
      <c r="BE628"/>
    </row>
    <row r="629" spans="4:57">
      <c r="D629" s="447"/>
      <c r="G629" s="447"/>
      <c r="J629" s="447"/>
      <c r="M629" s="447"/>
      <c r="R629" s="447"/>
      <c r="S629"/>
      <c r="T629"/>
      <c r="U629" s="447"/>
      <c r="V629"/>
      <c r="W629"/>
      <c r="X629" s="447"/>
      <c r="Y629"/>
      <c r="Z629"/>
      <c r="AA629" s="447"/>
      <c r="AB629"/>
      <c r="AC629"/>
      <c r="AE629"/>
      <c r="AF629" s="447"/>
      <c r="AG629"/>
      <c r="AH629"/>
      <c r="AI629" s="447"/>
      <c r="AJ629"/>
      <c r="AK629"/>
      <c r="AL629" s="447"/>
      <c r="AM629"/>
      <c r="AN629"/>
      <c r="AO629" s="447"/>
      <c r="AP629"/>
      <c r="AQ629"/>
      <c r="AS629"/>
      <c r="AT629" s="447"/>
      <c r="AU629"/>
      <c r="AV629"/>
      <c r="AW629" s="447"/>
      <c r="AX629"/>
      <c r="AY629"/>
      <c r="AZ629" s="447"/>
      <c r="BA629"/>
      <c r="BB629"/>
      <c r="BC629" s="447"/>
      <c r="BD629"/>
      <c r="BE629"/>
    </row>
    <row r="630" spans="4:57">
      <c r="D630" s="447"/>
      <c r="G630" s="447"/>
      <c r="J630" s="447"/>
      <c r="M630" s="447"/>
      <c r="R630" s="447"/>
      <c r="S630"/>
      <c r="T630"/>
      <c r="U630" s="447"/>
      <c r="V630"/>
      <c r="W630"/>
      <c r="X630" s="447"/>
      <c r="Y630"/>
      <c r="Z630"/>
      <c r="AA630" s="447"/>
      <c r="AB630"/>
      <c r="AC630"/>
      <c r="AE630"/>
      <c r="AF630" s="447"/>
      <c r="AG630"/>
      <c r="AH630"/>
      <c r="AI630" s="447"/>
      <c r="AJ630"/>
      <c r="AK630"/>
      <c r="AL630" s="447"/>
      <c r="AM630"/>
      <c r="AN630"/>
      <c r="AO630" s="447"/>
      <c r="AP630"/>
      <c r="AQ630"/>
      <c r="AS630"/>
      <c r="AT630" s="447"/>
      <c r="AU630"/>
      <c r="AV630"/>
      <c r="AW630" s="447"/>
      <c r="AX630"/>
      <c r="AY630"/>
      <c r="AZ630" s="447"/>
      <c r="BA630"/>
      <c r="BB630"/>
      <c r="BC630" s="447"/>
      <c r="BD630"/>
      <c r="BE630"/>
    </row>
    <row r="631" spans="4:57">
      <c r="D631" s="447"/>
      <c r="G631" s="447"/>
      <c r="J631" s="447"/>
      <c r="M631" s="447"/>
      <c r="R631" s="447"/>
      <c r="S631"/>
      <c r="T631"/>
      <c r="U631" s="447"/>
      <c r="V631"/>
      <c r="W631"/>
      <c r="X631" s="447"/>
      <c r="Y631"/>
      <c r="Z631"/>
      <c r="AA631" s="447"/>
      <c r="AB631"/>
      <c r="AC631"/>
      <c r="AE631"/>
      <c r="AF631" s="447"/>
      <c r="AG631"/>
      <c r="AH631"/>
      <c r="AI631" s="447"/>
      <c r="AJ631"/>
      <c r="AK631"/>
      <c r="AL631" s="447"/>
      <c r="AM631"/>
      <c r="AN631"/>
      <c r="AO631" s="447"/>
      <c r="AP631"/>
      <c r="AQ631"/>
      <c r="AS631"/>
      <c r="AT631" s="447"/>
      <c r="AU631"/>
      <c r="AV631"/>
      <c r="AW631" s="447"/>
      <c r="AX631"/>
      <c r="AY631"/>
      <c r="AZ631" s="447"/>
      <c r="BA631"/>
      <c r="BB631"/>
      <c r="BC631" s="447"/>
      <c r="BD631"/>
      <c r="BE631"/>
    </row>
    <row r="632" spans="4:57">
      <c r="D632" s="447"/>
      <c r="G632" s="447"/>
      <c r="J632" s="447"/>
      <c r="M632" s="447"/>
      <c r="R632" s="447"/>
      <c r="S632"/>
      <c r="T632"/>
      <c r="U632" s="447"/>
      <c r="V632"/>
      <c r="W632"/>
      <c r="X632" s="447"/>
      <c r="Y632"/>
      <c r="Z632"/>
      <c r="AA632" s="447"/>
      <c r="AB632"/>
      <c r="AC632"/>
      <c r="AE632"/>
      <c r="AF632" s="447"/>
      <c r="AG632"/>
      <c r="AH632"/>
      <c r="AI632" s="447"/>
      <c r="AJ632"/>
      <c r="AK632"/>
      <c r="AL632" s="447"/>
      <c r="AM632"/>
      <c r="AN632"/>
      <c r="AO632" s="447"/>
      <c r="AP632"/>
      <c r="AQ632"/>
      <c r="AS632"/>
      <c r="AT632" s="447"/>
      <c r="AU632"/>
      <c r="AV632"/>
      <c r="AW632" s="447"/>
      <c r="AX632"/>
      <c r="AY632"/>
      <c r="AZ632" s="447"/>
      <c r="BA632"/>
      <c r="BB632"/>
      <c r="BC632" s="447"/>
      <c r="BD632"/>
      <c r="BE632"/>
    </row>
    <row r="633" spans="4:57">
      <c r="D633" s="447"/>
      <c r="G633" s="447"/>
      <c r="J633" s="447"/>
      <c r="M633" s="447"/>
      <c r="R633" s="447"/>
      <c r="S633"/>
      <c r="T633"/>
      <c r="U633" s="447"/>
      <c r="V633"/>
      <c r="W633"/>
      <c r="X633" s="447"/>
      <c r="Y633"/>
      <c r="Z633"/>
      <c r="AA633" s="447"/>
      <c r="AB633"/>
      <c r="AC633"/>
      <c r="AE633"/>
      <c r="AF633" s="447"/>
      <c r="AG633"/>
      <c r="AH633"/>
      <c r="AI633" s="447"/>
      <c r="AJ633"/>
      <c r="AK633"/>
      <c r="AL633" s="447"/>
      <c r="AM633"/>
      <c r="AN633"/>
      <c r="AO633" s="447"/>
      <c r="AP633"/>
      <c r="AQ633"/>
      <c r="AS633"/>
      <c r="AT633" s="447"/>
      <c r="AU633"/>
      <c r="AV633"/>
      <c r="AW633" s="447"/>
      <c r="AX633"/>
      <c r="AY633"/>
      <c r="AZ633" s="447"/>
      <c r="BA633"/>
      <c r="BB633"/>
      <c r="BC633" s="447"/>
      <c r="BD633"/>
      <c r="BE633"/>
    </row>
    <row r="634" spans="4:57">
      <c r="D634" s="447"/>
      <c r="G634" s="447"/>
      <c r="J634" s="447"/>
      <c r="M634" s="447"/>
      <c r="R634" s="447"/>
      <c r="S634"/>
      <c r="T634"/>
      <c r="U634" s="447"/>
      <c r="V634"/>
      <c r="W634"/>
      <c r="X634" s="447"/>
      <c r="Y634"/>
      <c r="Z634"/>
      <c r="AA634" s="447"/>
      <c r="AB634"/>
      <c r="AC634"/>
      <c r="AE634"/>
      <c r="AF634" s="447"/>
      <c r="AG634"/>
      <c r="AH634"/>
      <c r="AI634" s="447"/>
      <c r="AJ634"/>
      <c r="AK634"/>
      <c r="AL634" s="447"/>
      <c r="AM634"/>
      <c r="AN634"/>
      <c r="AO634" s="447"/>
      <c r="AP634"/>
      <c r="AQ634"/>
      <c r="AS634"/>
      <c r="AT634" s="447"/>
      <c r="AU634"/>
      <c r="AV634"/>
      <c r="AW634" s="447"/>
      <c r="AX634"/>
      <c r="AY634"/>
      <c r="AZ634" s="447"/>
      <c r="BA634"/>
      <c r="BB634"/>
      <c r="BC634" s="447"/>
      <c r="BD634"/>
      <c r="BE634"/>
    </row>
    <row r="635" spans="4:57">
      <c r="D635" s="447"/>
      <c r="G635" s="447"/>
      <c r="J635" s="447"/>
      <c r="M635" s="447"/>
      <c r="R635" s="447"/>
      <c r="S635"/>
      <c r="T635"/>
      <c r="U635" s="447"/>
      <c r="V635"/>
      <c r="W635"/>
      <c r="X635" s="447"/>
      <c r="Y635"/>
      <c r="Z635"/>
      <c r="AA635" s="447"/>
      <c r="AB635"/>
      <c r="AC635"/>
      <c r="AE635"/>
      <c r="AF635" s="447"/>
      <c r="AG635"/>
      <c r="AH635"/>
      <c r="AI635" s="447"/>
      <c r="AJ635"/>
      <c r="AK635"/>
      <c r="AL635" s="447"/>
      <c r="AM635"/>
      <c r="AN635"/>
      <c r="AO635" s="447"/>
      <c r="AP635"/>
      <c r="AQ635"/>
      <c r="AS635"/>
      <c r="AT635" s="447"/>
      <c r="AU635"/>
      <c r="AV635"/>
      <c r="AW635" s="447"/>
      <c r="AX635"/>
      <c r="AY635"/>
      <c r="AZ635" s="447"/>
      <c r="BA635"/>
      <c r="BB635"/>
      <c r="BC635" s="447"/>
      <c r="BD635"/>
      <c r="BE635"/>
    </row>
    <row r="636" spans="4:57">
      <c r="D636" s="447"/>
      <c r="G636" s="447"/>
      <c r="J636" s="447"/>
      <c r="M636" s="447"/>
      <c r="R636" s="447"/>
      <c r="S636"/>
      <c r="T636"/>
      <c r="U636" s="447"/>
      <c r="V636"/>
      <c r="W636"/>
      <c r="X636" s="447"/>
      <c r="Y636"/>
      <c r="Z636"/>
      <c r="AA636" s="447"/>
      <c r="AB636"/>
      <c r="AC636"/>
      <c r="AE636"/>
      <c r="AF636" s="447"/>
      <c r="AG636"/>
      <c r="AH636"/>
      <c r="AI636" s="447"/>
      <c r="AJ636"/>
      <c r="AK636"/>
      <c r="AL636" s="447"/>
      <c r="AM636"/>
      <c r="AN636"/>
      <c r="AO636" s="447"/>
      <c r="AP636"/>
      <c r="AQ636"/>
      <c r="AS636"/>
      <c r="AT636" s="447"/>
      <c r="AU636"/>
      <c r="AV636"/>
      <c r="AW636" s="447"/>
      <c r="AX636"/>
      <c r="AY636"/>
      <c r="AZ636" s="447"/>
      <c r="BA636"/>
      <c r="BB636"/>
      <c r="BC636" s="447"/>
      <c r="BD636"/>
      <c r="BE636"/>
    </row>
    <row r="637" spans="4:57">
      <c r="D637" s="447"/>
      <c r="G637" s="447"/>
      <c r="J637" s="447"/>
      <c r="M637" s="447"/>
      <c r="R637" s="447"/>
      <c r="S637"/>
      <c r="T637"/>
      <c r="U637" s="447"/>
      <c r="V637"/>
      <c r="W637"/>
      <c r="X637" s="447"/>
      <c r="Y637"/>
      <c r="Z637"/>
      <c r="AA637" s="447"/>
      <c r="AB637"/>
      <c r="AC637"/>
      <c r="AE637"/>
      <c r="AF637" s="447"/>
      <c r="AG637"/>
      <c r="AH637"/>
      <c r="AI637" s="447"/>
      <c r="AJ637"/>
      <c r="AK637"/>
      <c r="AL637" s="447"/>
      <c r="AM637"/>
      <c r="AN637"/>
      <c r="AO637" s="447"/>
      <c r="AP637"/>
      <c r="AQ637"/>
      <c r="AS637"/>
      <c r="AT637" s="447"/>
      <c r="AU637"/>
      <c r="AV637"/>
      <c r="AW637" s="447"/>
      <c r="AX637"/>
      <c r="AY637"/>
      <c r="AZ637" s="447"/>
      <c r="BA637"/>
      <c r="BB637"/>
      <c r="BC637" s="447"/>
      <c r="BD637"/>
      <c r="BE637"/>
    </row>
    <row r="638" spans="4:57">
      <c r="D638" s="447"/>
      <c r="G638" s="447"/>
      <c r="J638" s="447"/>
      <c r="M638" s="447"/>
      <c r="R638" s="447"/>
      <c r="S638"/>
      <c r="T638"/>
      <c r="U638" s="447"/>
      <c r="V638"/>
      <c r="W638"/>
      <c r="X638" s="447"/>
      <c r="Y638"/>
      <c r="Z638"/>
      <c r="AA638" s="447"/>
      <c r="AB638"/>
      <c r="AC638"/>
      <c r="AE638"/>
      <c r="AF638" s="447"/>
      <c r="AG638"/>
      <c r="AH638"/>
      <c r="AI638" s="447"/>
      <c r="AJ638"/>
      <c r="AK638"/>
      <c r="AL638" s="447"/>
      <c r="AM638"/>
      <c r="AN638"/>
      <c r="AO638" s="447"/>
      <c r="AP638"/>
      <c r="AQ638"/>
      <c r="AS638"/>
      <c r="AT638" s="447"/>
      <c r="AU638"/>
      <c r="AV638"/>
      <c r="AW638" s="447"/>
      <c r="AX638"/>
      <c r="AY638"/>
      <c r="AZ638" s="447"/>
      <c r="BA638"/>
      <c r="BB638"/>
      <c r="BC638" s="447"/>
      <c r="BD638"/>
      <c r="BE638"/>
    </row>
    <row r="639" spans="4:57">
      <c r="D639" s="447"/>
      <c r="G639" s="447"/>
      <c r="J639" s="447"/>
      <c r="M639" s="447"/>
      <c r="R639" s="447"/>
      <c r="S639"/>
      <c r="T639"/>
      <c r="U639" s="447"/>
      <c r="V639"/>
      <c r="W639"/>
      <c r="X639" s="447"/>
      <c r="Y639"/>
      <c r="Z639"/>
      <c r="AA639" s="447"/>
      <c r="AB639"/>
      <c r="AC639"/>
      <c r="AE639"/>
      <c r="AF639" s="447"/>
      <c r="AG639"/>
      <c r="AH639"/>
      <c r="AI639" s="447"/>
      <c r="AJ639"/>
      <c r="AK639"/>
      <c r="AL639" s="447"/>
      <c r="AM639"/>
      <c r="AN639"/>
      <c r="AO639" s="447"/>
      <c r="AP639"/>
      <c r="AQ639"/>
      <c r="AS639"/>
      <c r="AT639" s="447"/>
      <c r="AU639"/>
      <c r="AV639"/>
      <c r="AW639" s="447"/>
      <c r="AX639"/>
      <c r="AY639"/>
      <c r="AZ639" s="447"/>
      <c r="BA639"/>
      <c r="BB639"/>
      <c r="BC639" s="447"/>
      <c r="BD639"/>
      <c r="BE639"/>
    </row>
    <row r="640" spans="4:57">
      <c r="D640" s="447"/>
      <c r="G640" s="447"/>
      <c r="J640" s="447"/>
      <c r="M640" s="447"/>
      <c r="R640" s="447"/>
      <c r="S640"/>
      <c r="T640"/>
      <c r="U640" s="447"/>
      <c r="V640"/>
      <c r="W640"/>
      <c r="X640" s="447"/>
      <c r="Y640"/>
      <c r="Z640"/>
      <c r="AA640" s="447"/>
      <c r="AB640"/>
      <c r="AC640"/>
      <c r="AE640"/>
      <c r="AF640" s="447"/>
      <c r="AG640"/>
      <c r="AH640"/>
      <c r="AI640" s="447"/>
      <c r="AJ640"/>
      <c r="AK640"/>
      <c r="AL640" s="447"/>
      <c r="AM640"/>
      <c r="AN640"/>
      <c r="AO640" s="447"/>
      <c r="AP640"/>
      <c r="AQ640"/>
      <c r="AS640"/>
      <c r="AT640" s="447"/>
      <c r="AU640"/>
      <c r="AV640"/>
      <c r="AW640" s="447"/>
      <c r="AX640"/>
      <c r="AY640"/>
      <c r="AZ640" s="447"/>
      <c r="BA640"/>
      <c r="BB640"/>
      <c r="BC640" s="447"/>
      <c r="BD640"/>
      <c r="BE640"/>
    </row>
    <row r="641" spans="4:57">
      <c r="D641" s="447"/>
      <c r="G641" s="447"/>
      <c r="J641" s="447"/>
      <c r="M641" s="447"/>
      <c r="R641" s="447"/>
      <c r="S641"/>
      <c r="T641"/>
      <c r="U641" s="447"/>
      <c r="V641"/>
      <c r="W641"/>
      <c r="X641" s="447"/>
      <c r="Y641"/>
      <c r="Z641"/>
      <c r="AA641" s="447"/>
      <c r="AB641"/>
      <c r="AC641"/>
      <c r="AE641"/>
      <c r="AF641" s="447"/>
      <c r="AG641"/>
      <c r="AH641"/>
      <c r="AI641" s="447"/>
      <c r="AJ641"/>
      <c r="AK641"/>
      <c r="AL641" s="447"/>
      <c r="AM641"/>
      <c r="AN641"/>
      <c r="AO641" s="447"/>
      <c r="AP641"/>
      <c r="AQ641"/>
      <c r="AS641"/>
      <c r="AT641" s="447"/>
      <c r="AU641"/>
      <c r="AV641"/>
      <c r="AW641" s="447"/>
      <c r="AX641"/>
      <c r="AY641"/>
      <c r="AZ641" s="447"/>
      <c r="BA641"/>
      <c r="BB641"/>
      <c r="BC641" s="447"/>
      <c r="BD641"/>
      <c r="BE641"/>
    </row>
    <row r="642" spans="4:57">
      <c r="D642" s="447"/>
      <c r="G642" s="447"/>
      <c r="J642" s="447"/>
      <c r="M642" s="447"/>
      <c r="R642" s="447"/>
      <c r="S642"/>
      <c r="T642"/>
      <c r="U642" s="447"/>
      <c r="V642"/>
      <c r="W642"/>
      <c r="X642" s="447"/>
      <c r="Y642"/>
      <c r="Z642"/>
      <c r="AA642" s="447"/>
      <c r="AB642"/>
      <c r="AC642"/>
      <c r="AE642"/>
      <c r="AF642" s="447"/>
      <c r="AG642"/>
      <c r="AH642"/>
      <c r="AI642" s="447"/>
      <c r="AJ642"/>
      <c r="AK642"/>
      <c r="AL642" s="447"/>
      <c r="AM642"/>
      <c r="AN642"/>
      <c r="AO642" s="447"/>
      <c r="AP642"/>
      <c r="AQ642"/>
      <c r="AS642"/>
      <c r="AT642" s="447"/>
      <c r="AU642"/>
      <c r="AV642"/>
      <c r="AW642" s="447"/>
      <c r="AX642"/>
      <c r="AY642"/>
      <c r="AZ642" s="447"/>
      <c r="BA642"/>
      <c r="BB642"/>
      <c r="BC642" s="447"/>
      <c r="BD642"/>
      <c r="BE642"/>
    </row>
    <row r="643" spans="4:57">
      <c r="D643" s="447"/>
      <c r="G643" s="447"/>
      <c r="J643" s="447"/>
      <c r="M643" s="447"/>
      <c r="R643" s="447"/>
      <c r="S643"/>
      <c r="T643"/>
      <c r="U643" s="447"/>
      <c r="V643"/>
      <c r="W643"/>
      <c r="X643" s="447"/>
      <c r="Y643"/>
      <c r="Z643"/>
      <c r="AA643" s="447"/>
      <c r="AB643"/>
      <c r="AC643"/>
      <c r="AE643"/>
      <c r="AF643" s="447"/>
      <c r="AG643"/>
      <c r="AH643"/>
      <c r="AI643" s="447"/>
      <c r="AJ643"/>
      <c r="AK643"/>
      <c r="AL643" s="447"/>
      <c r="AM643"/>
      <c r="AN643"/>
      <c r="AO643" s="447"/>
      <c r="AP643"/>
      <c r="AQ643"/>
      <c r="AS643"/>
      <c r="AT643" s="447"/>
      <c r="AU643"/>
      <c r="AV643"/>
      <c r="AW643" s="447"/>
      <c r="AX643"/>
      <c r="AY643"/>
      <c r="AZ643" s="447"/>
      <c r="BA643"/>
      <c r="BB643"/>
      <c r="BC643" s="447"/>
      <c r="BD643"/>
      <c r="BE643"/>
    </row>
    <row r="644" spans="4:57">
      <c r="D644" s="447"/>
      <c r="G644" s="447"/>
      <c r="J644" s="447"/>
      <c r="M644" s="447"/>
      <c r="R644" s="447"/>
      <c r="S644"/>
      <c r="T644"/>
      <c r="U644" s="447"/>
      <c r="V644"/>
      <c r="W644"/>
      <c r="X644" s="447"/>
      <c r="Y644"/>
      <c r="Z644"/>
      <c r="AA644" s="447"/>
      <c r="AB644"/>
      <c r="AC644"/>
      <c r="AE644"/>
      <c r="AF644" s="447"/>
      <c r="AG644"/>
      <c r="AH644"/>
      <c r="AI644" s="447"/>
      <c r="AJ644"/>
      <c r="AK644"/>
      <c r="AL644" s="447"/>
      <c r="AM644"/>
      <c r="AN644"/>
      <c r="AO644" s="447"/>
      <c r="AP644"/>
      <c r="AQ644"/>
      <c r="AS644"/>
      <c r="AT644" s="447"/>
      <c r="AU644"/>
      <c r="AV644"/>
      <c r="AW644" s="447"/>
      <c r="AX644"/>
      <c r="AY644"/>
      <c r="AZ644" s="447"/>
      <c r="BA644"/>
      <c r="BB644"/>
      <c r="BC644" s="447"/>
      <c r="BD644"/>
      <c r="BE644"/>
    </row>
    <row r="645" spans="4:57">
      <c r="D645" s="447"/>
      <c r="G645" s="447"/>
      <c r="J645" s="447"/>
      <c r="M645" s="447"/>
      <c r="R645" s="447"/>
      <c r="S645"/>
      <c r="T645"/>
      <c r="U645" s="447"/>
      <c r="V645"/>
      <c r="W645"/>
      <c r="X645" s="447"/>
      <c r="Y645"/>
      <c r="Z645"/>
      <c r="AA645" s="447"/>
      <c r="AB645"/>
      <c r="AC645"/>
      <c r="AE645"/>
      <c r="AF645" s="447"/>
      <c r="AG645"/>
      <c r="AH645"/>
      <c r="AI645" s="447"/>
      <c r="AJ645"/>
      <c r="AK645"/>
      <c r="AL645" s="447"/>
      <c r="AM645"/>
      <c r="AN645"/>
      <c r="AO645" s="447"/>
      <c r="AP645"/>
      <c r="AQ645"/>
      <c r="AS645"/>
      <c r="AT645" s="447"/>
      <c r="AU645"/>
      <c r="AV645"/>
      <c r="AW645" s="447"/>
      <c r="AX645"/>
      <c r="AY645"/>
      <c r="AZ645" s="447"/>
      <c r="BA645"/>
      <c r="BB645"/>
      <c r="BC645" s="447"/>
      <c r="BD645"/>
      <c r="BE645"/>
    </row>
    <row r="646" spans="4:57">
      <c r="D646" s="447"/>
      <c r="G646" s="447"/>
      <c r="J646" s="447"/>
      <c r="M646" s="447"/>
      <c r="R646" s="447"/>
      <c r="S646"/>
      <c r="T646"/>
      <c r="U646" s="447"/>
      <c r="V646"/>
      <c r="W646"/>
      <c r="X646" s="447"/>
      <c r="Y646"/>
      <c r="Z646"/>
      <c r="AA646" s="447"/>
      <c r="AB646"/>
      <c r="AC646"/>
      <c r="AE646"/>
      <c r="AF646" s="447"/>
      <c r="AG646"/>
      <c r="AH646"/>
      <c r="AI646" s="447"/>
      <c r="AJ646"/>
      <c r="AK646"/>
      <c r="AL646" s="447"/>
      <c r="AM646"/>
      <c r="AN646"/>
      <c r="AO646" s="447"/>
      <c r="AP646"/>
      <c r="AQ646"/>
      <c r="AS646"/>
      <c r="AT646" s="447"/>
      <c r="AU646"/>
      <c r="AV646"/>
      <c r="AW646" s="447"/>
      <c r="AX646"/>
      <c r="AY646"/>
      <c r="AZ646" s="447"/>
      <c r="BA646"/>
      <c r="BB646"/>
      <c r="BC646" s="447"/>
      <c r="BD646"/>
      <c r="BE646"/>
    </row>
    <row r="647" spans="4:57">
      <c r="D647" s="447"/>
      <c r="G647" s="447"/>
      <c r="J647" s="447"/>
      <c r="M647" s="447"/>
      <c r="R647" s="447"/>
      <c r="S647"/>
      <c r="T647"/>
      <c r="U647" s="447"/>
      <c r="V647"/>
      <c r="W647"/>
      <c r="X647" s="447"/>
      <c r="Y647"/>
      <c r="Z647"/>
      <c r="AA647" s="447"/>
      <c r="AB647"/>
      <c r="AC647"/>
      <c r="AE647"/>
      <c r="AF647" s="447"/>
      <c r="AG647"/>
      <c r="AH647"/>
      <c r="AI647" s="447"/>
      <c r="AJ647"/>
      <c r="AK647"/>
      <c r="AL647" s="447"/>
      <c r="AM647"/>
      <c r="AN647"/>
      <c r="AO647" s="447"/>
      <c r="AP647"/>
      <c r="AQ647"/>
      <c r="AS647"/>
      <c r="AT647" s="447"/>
      <c r="AU647"/>
      <c r="AV647"/>
      <c r="AW647" s="447"/>
      <c r="AX647"/>
      <c r="AY647"/>
      <c r="AZ647" s="447"/>
      <c r="BA647"/>
      <c r="BB647"/>
      <c r="BC647" s="447"/>
      <c r="BD647"/>
      <c r="BE647"/>
    </row>
    <row r="648" spans="4:57">
      <c r="D648" s="447"/>
      <c r="G648" s="447"/>
      <c r="J648" s="447"/>
      <c r="M648" s="447"/>
      <c r="R648" s="447"/>
      <c r="S648"/>
      <c r="T648"/>
      <c r="U648" s="447"/>
      <c r="V648"/>
      <c r="W648"/>
      <c r="X648" s="447"/>
      <c r="Y648"/>
      <c r="Z648"/>
      <c r="AA648" s="447"/>
      <c r="AB648"/>
      <c r="AC648"/>
      <c r="AE648"/>
      <c r="AF648" s="447"/>
      <c r="AG648"/>
      <c r="AH648"/>
      <c r="AI648" s="447"/>
      <c r="AJ648"/>
      <c r="AK648"/>
      <c r="AL648" s="447"/>
      <c r="AM648"/>
      <c r="AN648"/>
      <c r="AO648" s="447"/>
      <c r="AP648"/>
      <c r="AQ648"/>
      <c r="AS648"/>
      <c r="AT648" s="447"/>
      <c r="AU648"/>
      <c r="AV648"/>
      <c r="AW648" s="447"/>
      <c r="AX648"/>
      <c r="AY648"/>
      <c r="AZ648" s="447"/>
      <c r="BA648"/>
      <c r="BB648"/>
      <c r="BC648" s="447"/>
      <c r="BD648"/>
      <c r="BE648"/>
    </row>
    <row r="649" spans="4:57">
      <c r="D649" s="447"/>
      <c r="G649" s="447"/>
      <c r="J649" s="447"/>
      <c r="M649" s="447"/>
      <c r="R649" s="447"/>
      <c r="S649"/>
      <c r="T649"/>
      <c r="U649" s="447"/>
      <c r="V649"/>
      <c r="W649"/>
      <c r="X649" s="447"/>
      <c r="Y649"/>
      <c r="Z649"/>
      <c r="AA649" s="447"/>
      <c r="AB649"/>
      <c r="AC649"/>
      <c r="AE649"/>
      <c r="AF649" s="447"/>
      <c r="AG649"/>
      <c r="AH649"/>
      <c r="AI649" s="447"/>
      <c r="AJ649"/>
      <c r="AK649"/>
      <c r="AL649" s="447"/>
      <c r="AM649"/>
      <c r="AN649"/>
      <c r="AO649" s="447"/>
      <c r="AP649"/>
      <c r="AQ649"/>
      <c r="AS649"/>
      <c r="AT649" s="447"/>
      <c r="AU649"/>
      <c r="AV649"/>
      <c r="AW649" s="447"/>
      <c r="AX649"/>
      <c r="AY649"/>
      <c r="AZ649" s="447"/>
      <c r="BA649"/>
      <c r="BB649"/>
      <c r="BC649" s="447"/>
      <c r="BD649"/>
      <c r="BE649"/>
    </row>
    <row r="650" spans="4:57">
      <c r="D650" s="447"/>
      <c r="G650" s="447"/>
      <c r="J650" s="447"/>
      <c r="M650" s="447"/>
      <c r="R650" s="447"/>
      <c r="S650"/>
      <c r="T650"/>
      <c r="U650" s="447"/>
      <c r="V650"/>
      <c r="W650"/>
      <c r="X650" s="447"/>
      <c r="Y650"/>
      <c r="Z650"/>
      <c r="AA650" s="447"/>
      <c r="AB650"/>
      <c r="AC650"/>
      <c r="AE650"/>
      <c r="AF650" s="447"/>
      <c r="AG650"/>
      <c r="AH650"/>
      <c r="AI650" s="447"/>
      <c r="AJ650"/>
      <c r="AK650"/>
      <c r="AL650" s="447"/>
      <c r="AM650"/>
      <c r="AN650"/>
      <c r="AO650" s="447"/>
      <c r="AP650"/>
      <c r="AQ650"/>
      <c r="AS650"/>
      <c r="AT650" s="447"/>
      <c r="AU650"/>
      <c r="AV650"/>
      <c r="AW650" s="447"/>
      <c r="AX650"/>
      <c r="AY650"/>
      <c r="AZ650" s="447"/>
      <c r="BA650"/>
      <c r="BB650"/>
      <c r="BC650" s="447"/>
      <c r="BD650"/>
      <c r="BE650"/>
    </row>
    <row r="651" spans="4:57">
      <c r="D651" s="447"/>
      <c r="G651" s="447"/>
      <c r="J651" s="447"/>
      <c r="M651" s="447"/>
      <c r="R651" s="447"/>
      <c r="S651"/>
      <c r="T651"/>
      <c r="U651" s="447"/>
      <c r="V651"/>
      <c r="W651"/>
      <c r="X651" s="447"/>
      <c r="Y651"/>
      <c r="Z651"/>
      <c r="AA651" s="447"/>
      <c r="AB651"/>
      <c r="AC651"/>
      <c r="AE651"/>
      <c r="AF651" s="447"/>
      <c r="AG651"/>
      <c r="AH651"/>
      <c r="AI651" s="447"/>
      <c r="AJ651"/>
      <c r="AK651"/>
      <c r="AL651" s="447"/>
      <c r="AM651"/>
      <c r="AN651"/>
      <c r="AO651" s="447"/>
      <c r="AP651"/>
      <c r="AQ651"/>
      <c r="AS651"/>
      <c r="AT651" s="447"/>
      <c r="AU651"/>
      <c r="AV651"/>
      <c r="AW651" s="447"/>
      <c r="AX651"/>
      <c r="AY651"/>
      <c r="AZ651" s="447"/>
      <c r="BA651"/>
      <c r="BB651"/>
      <c r="BC651" s="447"/>
      <c r="BD651"/>
      <c r="BE651"/>
    </row>
    <row r="652" spans="4:57">
      <c r="D652" s="447"/>
      <c r="G652" s="447"/>
      <c r="J652" s="447"/>
      <c r="M652" s="447"/>
      <c r="R652" s="447"/>
      <c r="S652"/>
      <c r="T652"/>
      <c r="U652" s="447"/>
      <c r="V652"/>
      <c r="W652"/>
      <c r="X652" s="447"/>
      <c r="Y652"/>
      <c r="Z652"/>
      <c r="AA652" s="447"/>
      <c r="AB652"/>
      <c r="AC652"/>
      <c r="AE652"/>
      <c r="AF652" s="447"/>
      <c r="AG652"/>
      <c r="AH652"/>
      <c r="AI652" s="447"/>
      <c r="AJ652"/>
      <c r="AK652"/>
      <c r="AL652" s="447"/>
      <c r="AM652"/>
      <c r="AN652"/>
      <c r="AO652" s="447"/>
      <c r="AP652"/>
      <c r="AQ652"/>
      <c r="AS652"/>
      <c r="AT652" s="447"/>
      <c r="AU652"/>
      <c r="AV652"/>
      <c r="AW652" s="447"/>
      <c r="AX652"/>
      <c r="AY652"/>
      <c r="AZ652" s="447"/>
      <c r="BA652"/>
      <c r="BB652"/>
      <c r="BC652" s="447"/>
      <c r="BD652"/>
      <c r="BE652"/>
    </row>
    <row r="653" spans="4:57">
      <c r="D653" s="447"/>
      <c r="G653" s="447"/>
      <c r="J653" s="447"/>
      <c r="M653" s="447"/>
      <c r="R653" s="447"/>
      <c r="S653"/>
      <c r="T653"/>
      <c r="U653" s="447"/>
      <c r="V653"/>
      <c r="W653"/>
      <c r="X653" s="447"/>
      <c r="Y653"/>
      <c r="Z653"/>
      <c r="AA653" s="447"/>
      <c r="AB653"/>
      <c r="AC653"/>
      <c r="AE653"/>
      <c r="AF653" s="447"/>
      <c r="AG653"/>
      <c r="AH653"/>
      <c r="AI653" s="447"/>
      <c r="AJ653"/>
      <c r="AK653"/>
      <c r="AL653" s="447"/>
      <c r="AM653"/>
      <c r="AN653"/>
      <c r="AO653" s="447"/>
      <c r="AP653"/>
      <c r="AQ653"/>
      <c r="AS653"/>
      <c r="AT653" s="447"/>
      <c r="AU653"/>
      <c r="AV653"/>
      <c r="AW653" s="447"/>
      <c r="AX653"/>
      <c r="AY653"/>
      <c r="AZ653" s="447"/>
      <c r="BA653"/>
      <c r="BB653"/>
      <c r="BC653" s="447"/>
      <c r="BD653"/>
      <c r="BE653"/>
    </row>
    <row r="654" spans="4:57">
      <c r="D654" s="447"/>
      <c r="G654" s="447"/>
      <c r="J654" s="447"/>
      <c r="M654" s="447"/>
      <c r="R654" s="447"/>
      <c r="S654"/>
      <c r="T654"/>
      <c r="U654" s="447"/>
      <c r="V654"/>
      <c r="W654"/>
      <c r="X654" s="447"/>
      <c r="Y654"/>
      <c r="Z654"/>
      <c r="AA654" s="447"/>
      <c r="AB654"/>
      <c r="AC654"/>
      <c r="AE654"/>
      <c r="AF654" s="447"/>
      <c r="AG654"/>
      <c r="AH654"/>
      <c r="AI654" s="447"/>
      <c r="AJ654"/>
      <c r="AK654"/>
      <c r="AL654" s="447"/>
      <c r="AM654"/>
      <c r="AN654"/>
      <c r="AO654" s="447"/>
      <c r="AP654"/>
      <c r="AQ654"/>
      <c r="AS654"/>
      <c r="AT654" s="447"/>
      <c r="AU654"/>
      <c r="AV654"/>
      <c r="AW654" s="447"/>
      <c r="AX654"/>
      <c r="AY654"/>
      <c r="AZ654" s="447"/>
      <c r="BA654"/>
      <c r="BB654"/>
      <c r="BC654" s="447"/>
      <c r="BD654"/>
      <c r="BE654"/>
    </row>
    <row r="655" spans="4:57">
      <c r="D655" s="447"/>
      <c r="G655" s="447"/>
      <c r="J655" s="447"/>
      <c r="M655" s="447"/>
      <c r="R655" s="447"/>
      <c r="S655"/>
      <c r="T655"/>
      <c r="U655" s="447"/>
      <c r="V655"/>
      <c r="W655"/>
      <c r="X655" s="447"/>
      <c r="Y655"/>
      <c r="Z655"/>
      <c r="AA655" s="447"/>
      <c r="AB655"/>
      <c r="AC655"/>
      <c r="AE655"/>
      <c r="AF655" s="447"/>
      <c r="AG655"/>
      <c r="AH655"/>
      <c r="AI655" s="447"/>
      <c r="AJ655"/>
      <c r="AK655"/>
      <c r="AL655" s="447"/>
      <c r="AM655"/>
      <c r="AN655"/>
      <c r="AO655" s="447"/>
      <c r="AP655"/>
      <c r="AQ655"/>
      <c r="AS655"/>
      <c r="AT655" s="447"/>
      <c r="AU655"/>
      <c r="AV655"/>
      <c r="AW655" s="447"/>
      <c r="AX655"/>
      <c r="AY655"/>
      <c r="AZ655" s="447"/>
      <c r="BA655"/>
      <c r="BB655"/>
      <c r="BC655" s="447"/>
      <c r="BD655"/>
      <c r="BE655"/>
    </row>
    <row r="656" spans="4:57">
      <c r="D656" s="447"/>
      <c r="G656" s="447"/>
      <c r="J656" s="447"/>
      <c r="M656" s="447"/>
      <c r="R656" s="447"/>
      <c r="S656"/>
      <c r="T656"/>
      <c r="U656" s="447"/>
      <c r="V656"/>
      <c r="W656"/>
      <c r="X656" s="447"/>
      <c r="Y656"/>
      <c r="Z656"/>
      <c r="AA656" s="447"/>
      <c r="AB656"/>
      <c r="AC656"/>
      <c r="AE656"/>
      <c r="AF656" s="447"/>
      <c r="AG656"/>
      <c r="AH656"/>
      <c r="AI656" s="447"/>
      <c r="AJ656"/>
      <c r="AK656"/>
      <c r="AL656" s="447"/>
      <c r="AM656"/>
      <c r="AN656"/>
      <c r="AO656" s="447"/>
      <c r="AP656"/>
      <c r="AQ656"/>
      <c r="AS656"/>
      <c r="AT656" s="447"/>
      <c r="AU656"/>
      <c r="AV656"/>
      <c r="AW656" s="447"/>
      <c r="AX656"/>
      <c r="AY656"/>
      <c r="AZ656" s="447"/>
      <c r="BA656"/>
      <c r="BB656"/>
      <c r="BC656" s="447"/>
      <c r="BD656"/>
      <c r="BE656"/>
    </row>
    <row r="657" spans="4:57">
      <c r="D657" s="447"/>
      <c r="G657" s="447"/>
      <c r="J657" s="447"/>
      <c r="M657" s="447"/>
      <c r="R657" s="447"/>
      <c r="S657"/>
      <c r="T657"/>
      <c r="U657" s="447"/>
      <c r="V657"/>
      <c r="W657"/>
      <c r="X657" s="447"/>
      <c r="Y657"/>
      <c r="Z657"/>
      <c r="AA657" s="447"/>
      <c r="AB657"/>
      <c r="AC657"/>
      <c r="AE657"/>
      <c r="AF657" s="447"/>
      <c r="AG657"/>
      <c r="AH657"/>
      <c r="AI657" s="447"/>
      <c r="AJ657"/>
      <c r="AK657"/>
      <c r="AL657" s="447"/>
      <c r="AM657"/>
      <c r="AN657"/>
      <c r="AO657" s="447"/>
      <c r="AP657"/>
      <c r="AQ657"/>
      <c r="AS657"/>
      <c r="AT657" s="447"/>
      <c r="AU657"/>
      <c r="AV657"/>
      <c r="AW657" s="447"/>
      <c r="AX657"/>
      <c r="AY657"/>
      <c r="AZ657" s="447"/>
      <c r="BA657"/>
      <c r="BB657"/>
      <c r="BC657" s="447"/>
      <c r="BD657"/>
      <c r="BE657"/>
    </row>
    <row r="658" spans="4:57">
      <c r="D658" s="447"/>
      <c r="G658" s="447"/>
      <c r="J658" s="447"/>
      <c r="M658" s="447"/>
      <c r="R658" s="447"/>
      <c r="S658"/>
      <c r="T658"/>
      <c r="U658" s="447"/>
      <c r="V658"/>
      <c r="W658"/>
      <c r="X658" s="447"/>
      <c r="Y658"/>
      <c r="Z658"/>
      <c r="AA658" s="447"/>
      <c r="AB658"/>
      <c r="AC658"/>
      <c r="AE658"/>
      <c r="AF658" s="447"/>
      <c r="AG658"/>
      <c r="AH658"/>
      <c r="AI658" s="447"/>
      <c r="AJ658"/>
      <c r="AK658"/>
      <c r="AL658" s="447"/>
      <c r="AM658"/>
      <c r="AN658"/>
      <c r="AO658" s="447"/>
      <c r="AP658"/>
      <c r="AQ658"/>
      <c r="AS658"/>
      <c r="AT658" s="447"/>
      <c r="AU658"/>
      <c r="AV658"/>
      <c r="AW658" s="447"/>
      <c r="AX658"/>
      <c r="AY658"/>
      <c r="AZ658" s="447"/>
      <c r="BA658"/>
      <c r="BB658"/>
      <c r="BC658" s="447"/>
      <c r="BD658"/>
      <c r="BE658"/>
    </row>
    <row r="659" spans="4:57">
      <c r="D659" s="447"/>
      <c r="G659" s="447"/>
      <c r="J659" s="447"/>
      <c r="M659" s="447"/>
      <c r="R659" s="447"/>
      <c r="S659"/>
      <c r="T659"/>
      <c r="U659" s="447"/>
      <c r="V659"/>
      <c r="W659"/>
      <c r="X659" s="447"/>
      <c r="Y659"/>
      <c r="Z659"/>
      <c r="AA659" s="447"/>
      <c r="AB659"/>
      <c r="AC659"/>
      <c r="AE659"/>
      <c r="AF659" s="447"/>
      <c r="AG659"/>
      <c r="AH659"/>
      <c r="AI659" s="447"/>
      <c r="AJ659"/>
      <c r="AK659"/>
      <c r="AL659" s="447"/>
      <c r="AM659"/>
      <c r="AN659"/>
      <c r="AO659" s="447"/>
      <c r="AP659"/>
      <c r="AQ659"/>
      <c r="AS659"/>
      <c r="AT659" s="447"/>
      <c r="AU659"/>
      <c r="AV659"/>
      <c r="AW659" s="447"/>
      <c r="AX659"/>
      <c r="AY659"/>
      <c r="AZ659" s="447"/>
      <c r="BA659"/>
      <c r="BB659"/>
      <c r="BC659" s="447"/>
      <c r="BD659"/>
      <c r="BE659"/>
    </row>
    <row r="660" spans="4:57">
      <c r="D660" s="447"/>
      <c r="G660" s="447"/>
      <c r="J660" s="447"/>
      <c r="M660" s="447"/>
      <c r="R660" s="447"/>
      <c r="S660"/>
      <c r="T660"/>
      <c r="U660" s="447"/>
      <c r="V660"/>
      <c r="W660"/>
      <c r="X660" s="447"/>
      <c r="Y660"/>
      <c r="Z660"/>
      <c r="AA660" s="447"/>
      <c r="AB660"/>
      <c r="AC660"/>
      <c r="AE660"/>
      <c r="AF660" s="447"/>
      <c r="AG660"/>
      <c r="AH660"/>
      <c r="AI660" s="447"/>
      <c r="AJ660"/>
      <c r="AK660"/>
      <c r="AL660" s="447"/>
      <c r="AM660"/>
      <c r="AN660"/>
      <c r="AO660" s="447"/>
      <c r="AP660"/>
      <c r="AQ660"/>
      <c r="AS660"/>
      <c r="AT660" s="447"/>
      <c r="AU660"/>
      <c r="AV660"/>
      <c r="AW660" s="447"/>
      <c r="AX660"/>
      <c r="AY660"/>
      <c r="AZ660" s="447"/>
      <c r="BA660"/>
      <c r="BB660"/>
      <c r="BC660" s="447"/>
      <c r="BD660"/>
      <c r="BE660"/>
    </row>
    <row r="661" spans="4:57">
      <c r="D661" s="447"/>
      <c r="G661" s="447"/>
      <c r="J661" s="447"/>
      <c r="M661" s="447"/>
      <c r="R661" s="447"/>
      <c r="S661"/>
      <c r="T661"/>
      <c r="U661" s="447"/>
      <c r="V661"/>
      <c r="W661"/>
      <c r="X661" s="447"/>
      <c r="Y661"/>
      <c r="Z661"/>
      <c r="AA661" s="447"/>
      <c r="AB661"/>
      <c r="AC661"/>
      <c r="AE661"/>
      <c r="AF661" s="447"/>
      <c r="AG661"/>
      <c r="AH661"/>
      <c r="AI661" s="447"/>
      <c r="AJ661"/>
      <c r="AK661"/>
      <c r="AL661" s="447"/>
      <c r="AM661"/>
      <c r="AN661"/>
      <c r="AO661" s="447"/>
      <c r="AP661"/>
      <c r="AQ661"/>
      <c r="AS661"/>
      <c r="AT661" s="447"/>
      <c r="AU661"/>
      <c r="AV661"/>
      <c r="AW661" s="447"/>
      <c r="AX661"/>
      <c r="AY661"/>
      <c r="AZ661" s="447"/>
      <c r="BA661"/>
      <c r="BB661"/>
      <c r="BC661" s="447"/>
      <c r="BD661"/>
      <c r="BE661"/>
    </row>
    <row r="662" spans="4:57">
      <c r="D662" s="447"/>
      <c r="G662" s="447"/>
      <c r="J662" s="447"/>
      <c r="M662" s="447"/>
      <c r="R662" s="447"/>
      <c r="S662"/>
      <c r="T662"/>
      <c r="U662" s="447"/>
      <c r="V662"/>
      <c r="W662"/>
      <c r="X662" s="447"/>
      <c r="Y662"/>
      <c r="Z662"/>
      <c r="AA662" s="447"/>
      <c r="AB662"/>
      <c r="AC662"/>
      <c r="AE662"/>
      <c r="AF662" s="447"/>
      <c r="AG662"/>
      <c r="AH662"/>
      <c r="AI662" s="447"/>
      <c r="AJ662"/>
      <c r="AK662"/>
      <c r="AL662" s="447"/>
      <c r="AM662"/>
      <c r="AN662"/>
      <c r="AO662" s="447"/>
      <c r="AP662"/>
      <c r="AQ662"/>
      <c r="AS662"/>
      <c r="AT662" s="447"/>
      <c r="AU662"/>
      <c r="AV662"/>
      <c r="AW662" s="447"/>
      <c r="AX662"/>
      <c r="AY662"/>
      <c r="AZ662" s="447"/>
      <c r="BA662"/>
      <c r="BB662"/>
      <c r="BC662" s="447"/>
      <c r="BD662"/>
      <c r="BE662"/>
    </row>
    <row r="663" spans="4:57">
      <c r="D663" s="447"/>
      <c r="G663" s="447"/>
      <c r="J663" s="447"/>
      <c r="M663" s="447"/>
      <c r="R663" s="447"/>
      <c r="S663"/>
      <c r="T663"/>
      <c r="U663" s="447"/>
      <c r="V663"/>
      <c r="W663"/>
      <c r="X663" s="447"/>
      <c r="Y663"/>
      <c r="Z663"/>
      <c r="AA663" s="447"/>
      <c r="AB663"/>
      <c r="AC663"/>
      <c r="AE663"/>
      <c r="AF663" s="447"/>
      <c r="AG663"/>
      <c r="AH663"/>
      <c r="AI663" s="447"/>
      <c r="AJ663"/>
      <c r="AK663"/>
      <c r="AL663" s="447"/>
      <c r="AM663"/>
      <c r="AN663"/>
      <c r="AO663" s="447"/>
      <c r="AP663"/>
      <c r="AQ663"/>
      <c r="AS663"/>
      <c r="AT663" s="447"/>
      <c r="AU663"/>
      <c r="AV663"/>
      <c r="AW663" s="447"/>
      <c r="AX663"/>
      <c r="AY663"/>
      <c r="AZ663" s="447"/>
      <c r="BA663"/>
      <c r="BB663"/>
      <c r="BC663" s="447"/>
      <c r="BD663"/>
      <c r="BE663"/>
    </row>
    <row r="664" spans="4:57">
      <c r="D664" s="447"/>
      <c r="G664" s="447"/>
      <c r="J664" s="447"/>
      <c r="M664" s="447"/>
      <c r="R664" s="447"/>
      <c r="S664"/>
      <c r="T664"/>
      <c r="U664" s="447"/>
      <c r="V664"/>
      <c r="W664"/>
      <c r="X664" s="447"/>
      <c r="Y664"/>
      <c r="Z664"/>
      <c r="AA664" s="447"/>
      <c r="AB664"/>
      <c r="AC664"/>
      <c r="AE664"/>
      <c r="AF664" s="447"/>
      <c r="AG664"/>
      <c r="AH664"/>
      <c r="AI664" s="447"/>
      <c r="AJ664"/>
      <c r="AK664"/>
      <c r="AL664" s="447"/>
      <c r="AM664"/>
      <c r="AN664"/>
      <c r="AO664" s="447"/>
      <c r="AP664"/>
      <c r="AQ664"/>
      <c r="AS664"/>
      <c r="AT664" s="447"/>
      <c r="AU664"/>
      <c r="AV664"/>
      <c r="AW664" s="447"/>
      <c r="AX664"/>
      <c r="AY664"/>
      <c r="AZ664" s="447"/>
      <c r="BA664"/>
      <c r="BB664"/>
      <c r="BC664" s="447"/>
      <c r="BD664"/>
      <c r="BE664"/>
    </row>
    <row r="665" spans="4:57">
      <c r="D665" s="447"/>
      <c r="G665" s="447"/>
      <c r="J665" s="447"/>
      <c r="M665" s="447"/>
      <c r="R665" s="447"/>
      <c r="S665"/>
      <c r="T665"/>
      <c r="U665" s="447"/>
      <c r="V665"/>
      <c r="W665"/>
      <c r="X665" s="447"/>
      <c r="Y665"/>
      <c r="Z665"/>
      <c r="AA665" s="447"/>
      <c r="AB665"/>
      <c r="AC665"/>
      <c r="AE665"/>
      <c r="AF665" s="447"/>
      <c r="AG665"/>
      <c r="AH665"/>
      <c r="AI665" s="447"/>
      <c r="AJ665"/>
      <c r="AK665"/>
      <c r="AL665" s="447"/>
      <c r="AM665"/>
      <c r="AN665"/>
      <c r="AO665" s="447"/>
      <c r="AP665"/>
      <c r="AQ665"/>
      <c r="AS665"/>
      <c r="AT665" s="447"/>
      <c r="AU665"/>
      <c r="AV665"/>
      <c r="AW665" s="447"/>
      <c r="AX665"/>
      <c r="AY665"/>
      <c r="AZ665" s="447"/>
      <c r="BA665"/>
      <c r="BB665"/>
      <c r="BC665" s="447"/>
      <c r="BD665"/>
      <c r="BE665"/>
    </row>
    <row r="666" spans="4:57">
      <c r="D666" s="447"/>
      <c r="G666" s="447"/>
      <c r="J666" s="447"/>
      <c r="M666" s="447"/>
      <c r="R666" s="447"/>
      <c r="S666"/>
      <c r="T666"/>
      <c r="U666" s="447"/>
      <c r="V666"/>
      <c r="W666"/>
      <c r="X666" s="447"/>
      <c r="Y666"/>
      <c r="Z666"/>
      <c r="AA666" s="447"/>
      <c r="AB666"/>
      <c r="AC666"/>
      <c r="AE666"/>
      <c r="AF666" s="447"/>
      <c r="AG666"/>
      <c r="AH666"/>
      <c r="AI666" s="447"/>
      <c r="AJ666"/>
      <c r="AK666"/>
      <c r="AL666" s="447"/>
      <c r="AM666"/>
      <c r="AN666"/>
      <c r="AO666" s="447"/>
      <c r="AP666"/>
      <c r="AQ666"/>
      <c r="AS666"/>
      <c r="AT666" s="447"/>
      <c r="AU666"/>
      <c r="AV666"/>
      <c r="AW666" s="447"/>
      <c r="AX666"/>
      <c r="AY666"/>
      <c r="AZ666" s="447"/>
      <c r="BA666"/>
      <c r="BB666"/>
      <c r="BC666" s="447"/>
      <c r="BD666"/>
      <c r="BE666"/>
    </row>
    <row r="667" spans="4:57">
      <c r="D667" s="447"/>
      <c r="G667" s="447"/>
      <c r="J667" s="447"/>
      <c r="M667" s="447"/>
      <c r="R667" s="447"/>
      <c r="S667"/>
      <c r="T667"/>
      <c r="U667" s="447"/>
      <c r="V667"/>
      <c r="W667"/>
      <c r="X667" s="447"/>
      <c r="Y667"/>
      <c r="Z667"/>
      <c r="AA667" s="447"/>
      <c r="AB667"/>
      <c r="AC667"/>
      <c r="AE667"/>
      <c r="AF667" s="447"/>
      <c r="AG667"/>
      <c r="AH667"/>
      <c r="AI667" s="447"/>
      <c r="AJ667"/>
      <c r="AK667"/>
      <c r="AL667" s="447"/>
      <c r="AM667"/>
      <c r="AN667"/>
      <c r="AO667" s="447"/>
      <c r="AP667"/>
      <c r="AQ667"/>
      <c r="AS667"/>
      <c r="AT667" s="447"/>
      <c r="AU667"/>
      <c r="AV667"/>
      <c r="AW667" s="447"/>
      <c r="AX667"/>
      <c r="AY667"/>
      <c r="AZ667" s="447"/>
      <c r="BA667"/>
      <c r="BB667"/>
      <c r="BC667" s="447"/>
      <c r="BD667"/>
      <c r="BE667"/>
    </row>
    <row r="668" spans="4:57">
      <c r="D668" s="447"/>
      <c r="G668" s="447"/>
      <c r="J668" s="447"/>
      <c r="M668" s="447"/>
      <c r="R668" s="447"/>
      <c r="S668"/>
      <c r="T668"/>
      <c r="U668" s="447"/>
      <c r="V668"/>
      <c r="W668"/>
      <c r="X668" s="447"/>
      <c r="Y668"/>
      <c r="Z668"/>
      <c r="AA668" s="447"/>
      <c r="AB668"/>
      <c r="AC668"/>
      <c r="AE668"/>
      <c r="AF668" s="447"/>
      <c r="AG668"/>
      <c r="AH668"/>
      <c r="AI668" s="447"/>
      <c r="AJ668"/>
      <c r="AK668"/>
      <c r="AL668" s="447"/>
      <c r="AM668"/>
      <c r="AN668"/>
      <c r="AO668" s="447"/>
      <c r="AP668"/>
      <c r="AQ668"/>
      <c r="AS668"/>
      <c r="AT668" s="447"/>
      <c r="AU668"/>
      <c r="AV668"/>
      <c r="AW668" s="447"/>
      <c r="AX668"/>
      <c r="AY668"/>
      <c r="AZ668" s="447"/>
      <c r="BA668"/>
      <c r="BB668"/>
      <c r="BC668" s="447"/>
      <c r="BD668"/>
      <c r="BE668"/>
    </row>
    <row r="669" spans="4:57">
      <c r="D669" s="447"/>
      <c r="G669" s="447"/>
      <c r="J669" s="447"/>
      <c r="M669" s="447"/>
      <c r="R669" s="447"/>
      <c r="S669"/>
      <c r="T669"/>
      <c r="U669" s="447"/>
      <c r="V669"/>
      <c r="W669"/>
      <c r="X669" s="447"/>
      <c r="Y669"/>
      <c r="Z669"/>
      <c r="AA669" s="447"/>
      <c r="AB669"/>
      <c r="AC669"/>
      <c r="AE669"/>
      <c r="AF669" s="447"/>
      <c r="AG669"/>
      <c r="AH669"/>
      <c r="AI669" s="447"/>
      <c r="AJ669"/>
      <c r="AK669"/>
      <c r="AL669" s="447"/>
      <c r="AM669"/>
      <c r="AN669"/>
      <c r="AO669" s="447"/>
      <c r="AP669"/>
      <c r="AQ669"/>
      <c r="AS669"/>
      <c r="AT669" s="447"/>
      <c r="AU669"/>
      <c r="AV669"/>
      <c r="AW669" s="447"/>
      <c r="AX669"/>
      <c r="AY669"/>
      <c r="AZ669" s="447"/>
      <c r="BA669"/>
      <c r="BB669"/>
      <c r="BC669" s="447"/>
      <c r="BD669"/>
      <c r="BE669"/>
    </row>
    <row r="670" spans="4:57">
      <c r="D670" s="447"/>
      <c r="G670" s="447"/>
      <c r="J670" s="447"/>
      <c r="M670" s="447"/>
      <c r="R670" s="447"/>
      <c r="S670"/>
      <c r="T670"/>
      <c r="U670" s="447"/>
      <c r="V670"/>
      <c r="W670"/>
      <c r="X670" s="447"/>
      <c r="Y670"/>
      <c r="Z670"/>
      <c r="AA670" s="447"/>
      <c r="AB670"/>
      <c r="AC670"/>
      <c r="AE670"/>
      <c r="AF670" s="447"/>
      <c r="AG670"/>
      <c r="AH670"/>
      <c r="AI670" s="447"/>
      <c r="AJ670"/>
      <c r="AK670"/>
      <c r="AL670" s="447"/>
      <c r="AM670"/>
      <c r="AN670"/>
      <c r="AO670" s="447"/>
      <c r="AP670"/>
      <c r="AQ670"/>
      <c r="AS670"/>
      <c r="AT670" s="447"/>
      <c r="AU670"/>
      <c r="AV670"/>
      <c r="AW670" s="447"/>
      <c r="AX670"/>
      <c r="AY670"/>
      <c r="AZ670" s="447"/>
      <c r="BA670"/>
      <c r="BB670"/>
      <c r="BC670" s="447"/>
      <c r="BD670"/>
      <c r="BE670"/>
    </row>
    <row r="671" spans="4:57">
      <c r="D671" s="447"/>
      <c r="G671" s="447"/>
      <c r="J671" s="447"/>
      <c r="M671" s="447"/>
      <c r="R671" s="447"/>
      <c r="S671"/>
      <c r="T671"/>
      <c r="U671" s="447"/>
      <c r="V671"/>
      <c r="W671"/>
      <c r="X671" s="447"/>
      <c r="Y671"/>
      <c r="Z671"/>
      <c r="AA671" s="447"/>
      <c r="AB671"/>
      <c r="AC671"/>
      <c r="AE671"/>
      <c r="AF671" s="447"/>
      <c r="AG671"/>
      <c r="AH671"/>
      <c r="AI671" s="447"/>
      <c r="AJ671"/>
      <c r="AK671"/>
      <c r="AL671" s="447"/>
      <c r="AM671"/>
      <c r="AN671"/>
      <c r="AO671" s="447"/>
      <c r="AP671"/>
      <c r="AQ671"/>
      <c r="AS671"/>
      <c r="AT671" s="447"/>
      <c r="AU671"/>
      <c r="AV671"/>
      <c r="AW671" s="447"/>
      <c r="AX671"/>
      <c r="AY671"/>
      <c r="AZ671" s="447"/>
      <c r="BA671"/>
      <c r="BB671"/>
      <c r="BC671" s="447"/>
      <c r="BD671"/>
      <c r="BE671"/>
    </row>
    <row r="672" spans="4:57">
      <c r="D672" s="447"/>
      <c r="G672" s="447"/>
      <c r="J672" s="447"/>
      <c r="M672" s="447"/>
      <c r="R672" s="447"/>
      <c r="S672"/>
      <c r="T672"/>
      <c r="U672" s="447"/>
      <c r="V672"/>
      <c r="W672"/>
      <c r="X672" s="447"/>
      <c r="Y672"/>
      <c r="Z672"/>
      <c r="AA672" s="447"/>
      <c r="AB672"/>
      <c r="AC672"/>
      <c r="AE672"/>
      <c r="AF672" s="447"/>
      <c r="AG672"/>
      <c r="AH672"/>
      <c r="AI672" s="447"/>
      <c r="AJ672"/>
      <c r="AK672"/>
      <c r="AL672" s="447"/>
      <c r="AM672"/>
      <c r="AN672"/>
      <c r="AO672" s="447"/>
      <c r="AP672"/>
      <c r="AQ672"/>
      <c r="AS672"/>
      <c r="AT672" s="447"/>
      <c r="AU672"/>
      <c r="AV672"/>
      <c r="AW672" s="447"/>
      <c r="AX672"/>
      <c r="AY672"/>
      <c r="AZ672" s="447"/>
      <c r="BA672"/>
      <c r="BB672"/>
      <c r="BC672" s="447"/>
      <c r="BD672"/>
      <c r="BE672"/>
    </row>
    <row r="673" spans="4:57">
      <c r="D673" s="447"/>
      <c r="G673" s="447"/>
      <c r="J673" s="447"/>
      <c r="M673" s="447"/>
      <c r="R673" s="447"/>
      <c r="S673"/>
      <c r="T673"/>
      <c r="U673" s="447"/>
      <c r="V673"/>
      <c r="W673"/>
      <c r="X673" s="447"/>
      <c r="Y673"/>
      <c r="Z673"/>
      <c r="AA673" s="447"/>
      <c r="AB673"/>
      <c r="AC673"/>
      <c r="AE673"/>
      <c r="AF673" s="447"/>
      <c r="AG673"/>
      <c r="AH673"/>
      <c r="AI673" s="447"/>
      <c r="AJ673"/>
      <c r="AK673"/>
      <c r="AL673" s="447"/>
      <c r="AM673"/>
      <c r="AN673"/>
      <c r="AO673" s="447"/>
      <c r="AP673"/>
      <c r="AQ673"/>
      <c r="AS673"/>
      <c r="AT673" s="447"/>
      <c r="AU673"/>
      <c r="AV673"/>
      <c r="AW673" s="447"/>
      <c r="AX673"/>
      <c r="AY673"/>
      <c r="AZ673" s="447"/>
      <c r="BA673"/>
      <c r="BB673"/>
      <c r="BC673" s="447"/>
      <c r="BD673"/>
      <c r="BE673"/>
    </row>
    <row r="674" spans="4:57">
      <c r="D674" s="447"/>
      <c r="G674" s="447"/>
      <c r="J674" s="447"/>
      <c r="M674" s="447"/>
      <c r="R674" s="447"/>
      <c r="S674"/>
      <c r="T674"/>
      <c r="U674" s="447"/>
      <c r="V674"/>
      <c r="W674"/>
      <c r="X674" s="447"/>
      <c r="Y674"/>
      <c r="Z674"/>
      <c r="AA674" s="447"/>
      <c r="AB674"/>
      <c r="AC674"/>
      <c r="AE674"/>
      <c r="AF674" s="447"/>
      <c r="AG674"/>
      <c r="AH674"/>
      <c r="AI674" s="447"/>
      <c r="AJ674"/>
      <c r="AK674"/>
      <c r="AL674" s="447"/>
      <c r="AM674"/>
      <c r="AN674"/>
      <c r="AO674" s="447"/>
      <c r="AP674"/>
      <c r="AQ674"/>
      <c r="AS674"/>
      <c r="AT674" s="447"/>
      <c r="AU674"/>
      <c r="AV674"/>
      <c r="AW674" s="447"/>
      <c r="AX674"/>
      <c r="AY674"/>
      <c r="AZ674" s="447"/>
      <c r="BA674"/>
      <c r="BB674"/>
      <c r="BC674" s="447"/>
      <c r="BD674"/>
      <c r="BE674"/>
    </row>
    <row r="675" spans="4:57">
      <c r="D675" s="447"/>
      <c r="G675" s="447"/>
      <c r="J675" s="447"/>
      <c r="M675" s="447"/>
      <c r="R675" s="447"/>
      <c r="S675"/>
      <c r="T675"/>
      <c r="U675" s="447"/>
      <c r="V675"/>
      <c r="W675"/>
      <c r="X675" s="447"/>
      <c r="Y675"/>
      <c r="Z675"/>
      <c r="AA675" s="447"/>
      <c r="AB675"/>
      <c r="AC675"/>
      <c r="AE675"/>
      <c r="AF675" s="447"/>
      <c r="AG675"/>
      <c r="AH675"/>
      <c r="AI675" s="447"/>
      <c r="AJ675"/>
      <c r="AK675"/>
      <c r="AL675" s="447"/>
      <c r="AM675"/>
      <c r="AN675"/>
      <c r="AO675" s="447"/>
      <c r="AP675"/>
      <c r="AQ675"/>
      <c r="AS675"/>
      <c r="AT675" s="447"/>
      <c r="AU675"/>
      <c r="AV675"/>
      <c r="AW675" s="447"/>
      <c r="AX675"/>
      <c r="AY675"/>
      <c r="AZ675" s="447"/>
      <c r="BA675"/>
      <c r="BB675"/>
      <c r="BC675" s="447"/>
      <c r="BD675"/>
      <c r="BE675"/>
    </row>
    <row r="676" spans="4:57">
      <c r="D676" s="447"/>
      <c r="G676" s="447"/>
      <c r="J676" s="447"/>
      <c r="M676" s="447"/>
      <c r="R676" s="447"/>
      <c r="S676"/>
      <c r="T676"/>
      <c r="U676" s="447"/>
      <c r="V676"/>
      <c r="W676"/>
      <c r="X676" s="447"/>
      <c r="Y676"/>
      <c r="Z676"/>
      <c r="AA676" s="447"/>
      <c r="AB676"/>
      <c r="AC676"/>
      <c r="AE676"/>
      <c r="AF676" s="447"/>
      <c r="AG676"/>
      <c r="AH676"/>
      <c r="AI676" s="447"/>
      <c r="AJ676"/>
      <c r="AK676"/>
      <c r="AL676" s="447"/>
      <c r="AM676"/>
      <c r="AN676"/>
      <c r="AO676" s="447"/>
      <c r="AP676"/>
      <c r="AQ676"/>
      <c r="AS676"/>
      <c r="AT676" s="447"/>
      <c r="AU676"/>
      <c r="AV676"/>
      <c r="AW676" s="447"/>
      <c r="AX676"/>
      <c r="AY676"/>
      <c r="AZ676" s="447"/>
      <c r="BA676"/>
      <c r="BB676"/>
      <c r="BC676" s="447"/>
      <c r="BD676"/>
      <c r="BE676"/>
    </row>
    <row r="677" spans="4:57">
      <c r="D677" s="447"/>
      <c r="G677" s="447"/>
      <c r="J677" s="447"/>
      <c r="M677" s="447"/>
      <c r="R677" s="447"/>
      <c r="S677"/>
      <c r="T677"/>
      <c r="U677" s="447"/>
      <c r="V677"/>
      <c r="W677"/>
      <c r="X677" s="447"/>
      <c r="Y677"/>
      <c r="Z677"/>
      <c r="AA677" s="447"/>
      <c r="AB677"/>
      <c r="AC677"/>
      <c r="AE677"/>
      <c r="AF677" s="447"/>
      <c r="AG677"/>
      <c r="AH677"/>
      <c r="AI677" s="447"/>
      <c r="AJ677"/>
      <c r="AK677"/>
      <c r="AL677" s="447"/>
      <c r="AM677"/>
      <c r="AN677"/>
      <c r="AO677" s="447"/>
      <c r="AP677"/>
      <c r="AQ677"/>
      <c r="AS677"/>
      <c r="AT677" s="447"/>
      <c r="AU677"/>
      <c r="AV677"/>
      <c r="AW677" s="447"/>
      <c r="AX677"/>
      <c r="AY677"/>
      <c r="AZ677" s="447"/>
      <c r="BA677"/>
      <c r="BB677"/>
      <c r="BC677" s="447"/>
      <c r="BD677"/>
      <c r="BE677"/>
    </row>
    <row r="678" spans="4:57">
      <c r="D678" s="447"/>
      <c r="G678" s="447"/>
      <c r="J678" s="447"/>
      <c r="M678" s="447"/>
      <c r="R678" s="447"/>
      <c r="S678"/>
      <c r="T678"/>
      <c r="U678" s="447"/>
      <c r="V678"/>
      <c r="W678"/>
      <c r="X678" s="447"/>
      <c r="Y678"/>
      <c r="Z678"/>
      <c r="AA678" s="447"/>
      <c r="AB678"/>
      <c r="AC678"/>
      <c r="AE678"/>
      <c r="AF678" s="447"/>
      <c r="AG678"/>
      <c r="AH678"/>
      <c r="AI678" s="447"/>
      <c r="AJ678"/>
      <c r="AK678"/>
      <c r="AL678" s="447"/>
      <c r="AM678"/>
      <c r="AN678"/>
      <c r="AO678" s="447"/>
      <c r="AP678"/>
      <c r="AQ678"/>
      <c r="AS678"/>
      <c r="AT678" s="447"/>
      <c r="AU678"/>
      <c r="AV678"/>
      <c r="AW678" s="447"/>
      <c r="AX678"/>
      <c r="AY678"/>
      <c r="AZ678" s="447"/>
      <c r="BA678"/>
      <c r="BB678"/>
      <c r="BC678" s="447"/>
      <c r="BD678"/>
      <c r="BE678"/>
    </row>
    <row r="679" spans="4:57">
      <c r="D679" s="447"/>
      <c r="G679" s="447"/>
      <c r="J679" s="447"/>
      <c r="M679" s="447"/>
      <c r="R679" s="447"/>
      <c r="S679"/>
      <c r="T679"/>
      <c r="U679" s="447"/>
      <c r="V679"/>
      <c r="W679"/>
      <c r="X679" s="447"/>
      <c r="Y679"/>
      <c r="Z679"/>
      <c r="AA679" s="447"/>
      <c r="AB679"/>
      <c r="AC679"/>
      <c r="AE679"/>
      <c r="AF679" s="447"/>
      <c r="AG679"/>
      <c r="AH679"/>
      <c r="AI679" s="447"/>
      <c r="AJ679"/>
      <c r="AK679"/>
      <c r="AL679" s="447"/>
      <c r="AM679"/>
      <c r="AN679"/>
      <c r="AO679" s="447"/>
      <c r="AP679"/>
      <c r="AQ679"/>
      <c r="AS679"/>
      <c r="AT679" s="447"/>
      <c r="AU679"/>
      <c r="AV679"/>
      <c r="AW679" s="447"/>
      <c r="AX679"/>
      <c r="AY679"/>
      <c r="AZ679" s="447"/>
      <c r="BA679"/>
      <c r="BB679"/>
      <c r="BC679" s="447"/>
      <c r="BD679"/>
      <c r="BE679"/>
    </row>
    <row r="680" spans="4:57">
      <c r="D680" s="447"/>
      <c r="G680" s="447"/>
      <c r="J680" s="447"/>
      <c r="M680" s="447"/>
      <c r="R680" s="447"/>
      <c r="S680"/>
      <c r="T680"/>
      <c r="U680" s="447"/>
      <c r="V680"/>
      <c r="W680"/>
      <c r="X680" s="447"/>
      <c r="Y680"/>
      <c r="Z680"/>
      <c r="AA680" s="447"/>
      <c r="AB680"/>
      <c r="AC680"/>
      <c r="AE680"/>
      <c r="AF680" s="447"/>
      <c r="AG680"/>
      <c r="AH680"/>
      <c r="AI680" s="447"/>
      <c r="AJ680"/>
      <c r="AK680"/>
      <c r="AL680" s="447"/>
      <c r="AM680"/>
      <c r="AN680"/>
      <c r="AO680" s="447"/>
      <c r="AP680"/>
      <c r="AQ680"/>
      <c r="AS680"/>
      <c r="AT680" s="447"/>
      <c r="AU680"/>
      <c r="AV680"/>
      <c r="AW680" s="447"/>
      <c r="AX680"/>
      <c r="AY680"/>
      <c r="AZ680" s="447"/>
      <c r="BA680"/>
      <c r="BB680"/>
      <c r="BC680" s="447"/>
      <c r="BD680"/>
      <c r="BE680"/>
    </row>
    <row r="681" spans="4:57">
      <c r="D681" s="447"/>
      <c r="G681" s="447"/>
      <c r="J681" s="447"/>
      <c r="M681" s="447"/>
      <c r="R681" s="447"/>
      <c r="S681"/>
      <c r="T681"/>
      <c r="U681" s="447"/>
      <c r="V681"/>
      <c r="W681"/>
      <c r="X681" s="447"/>
      <c r="Y681"/>
      <c r="Z681"/>
      <c r="AA681" s="447"/>
      <c r="AB681"/>
      <c r="AC681"/>
      <c r="AE681"/>
      <c r="AF681" s="447"/>
      <c r="AG681"/>
      <c r="AH681"/>
      <c r="AI681" s="447"/>
      <c r="AJ681"/>
      <c r="AK681"/>
      <c r="AL681" s="447"/>
      <c r="AM681"/>
      <c r="AN681"/>
      <c r="AO681" s="447"/>
      <c r="AP681"/>
      <c r="AQ681"/>
      <c r="AS681"/>
      <c r="AT681" s="447"/>
      <c r="AU681"/>
      <c r="AV681"/>
      <c r="AW681" s="447"/>
      <c r="AX681"/>
      <c r="AY681"/>
      <c r="AZ681" s="447"/>
      <c r="BA681"/>
      <c r="BB681"/>
      <c r="BC681" s="447"/>
      <c r="BD681"/>
      <c r="BE681"/>
    </row>
    <row r="682" spans="4:57">
      <c r="D682" s="447"/>
      <c r="G682" s="447"/>
      <c r="J682" s="447"/>
      <c r="M682" s="447"/>
      <c r="R682" s="447"/>
      <c r="S682"/>
      <c r="T682"/>
      <c r="U682" s="447"/>
      <c r="V682"/>
      <c r="W682"/>
      <c r="X682" s="447"/>
      <c r="Y682"/>
      <c r="Z682"/>
      <c r="AA682" s="447"/>
      <c r="AB682"/>
      <c r="AC682"/>
      <c r="AE682"/>
      <c r="AF682" s="447"/>
      <c r="AG682"/>
      <c r="AH682"/>
      <c r="AI682" s="447"/>
      <c r="AJ682"/>
      <c r="AK682"/>
      <c r="AL682" s="447"/>
      <c r="AM682"/>
      <c r="AN682"/>
      <c r="AO682" s="447"/>
      <c r="AP682"/>
      <c r="AQ682"/>
      <c r="AS682"/>
      <c r="AT682" s="447"/>
      <c r="AU682"/>
      <c r="AV682"/>
      <c r="AW682" s="447"/>
      <c r="AX682"/>
      <c r="AY682"/>
      <c r="AZ682" s="447"/>
      <c r="BA682"/>
      <c r="BB682"/>
      <c r="BC682" s="447"/>
      <c r="BD682"/>
      <c r="BE682"/>
    </row>
    <row r="683" spans="4:57">
      <c r="D683" s="447"/>
      <c r="G683" s="447"/>
      <c r="J683" s="447"/>
      <c r="M683" s="447"/>
      <c r="R683" s="447"/>
      <c r="S683"/>
      <c r="T683"/>
      <c r="U683" s="447"/>
      <c r="V683"/>
      <c r="W683"/>
      <c r="X683" s="447"/>
      <c r="Y683"/>
      <c r="Z683"/>
      <c r="AA683" s="447"/>
      <c r="AB683"/>
      <c r="AC683"/>
      <c r="AE683"/>
      <c r="AF683" s="447"/>
      <c r="AG683"/>
      <c r="AH683"/>
      <c r="AI683" s="447"/>
      <c r="AJ683"/>
      <c r="AK683"/>
      <c r="AL683" s="447"/>
      <c r="AM683"/>
      <c r="AN683"/>
      <c r="AO683" s="447"/>
      <c r="AP683"/>
      <c r="AQ683"/>
      <c r="AS683"/>
      <c r="AT683" s="447"/>
      <c r="AU683"/>
      <c r="AV683"/>
      <c r="AW683" s="447"/>
      <c r="AX683"/>
      <c r="AY683"/>
      <c r="AZ683" s="447"/>
      <c r="BA683"/>
      <c r="BB683"/>
      <c r="BC683" s="447"/>
      <c r="BD683"/>
      <c r="BE683"/>
    </row>
    <row r="684" spans="4:57">
      <c r="D684" s="447"/>
      <c r="G684" s="447"/>
      <c r="J684" s="447"/>
      <c r="M684" s="447"/>
      <c r="R684" s="447"/>
      <c r="S684"/>
      <c r="T684"/>
      <c r="U684" s="447"/>
      <c r="V684"/>
      <c r="W684"/>
      <c r="X684" s="447"/>
      <c r="Y684"/>
      <c r="Z684"/>
      <c r="AA684" s="447"/>
      <c r="AB684"/>
      <c r="AC684"/>
      <c r="AE684"/>
      <c r="AF684" s="447"/>
      <c r="AG684"/>
      <c r="AH684"/>
      <c r="AI684" s="447"/>
      <c r="AJ684"/>
      <c r="AK684"/>
      <c r="AL684" s="447"/>
      <c r="AM684"/>
      <c r="AN684"/>
      <c r="AO684" s="447"/>
      <c r="AP684"/>
      <c r="AQ684"/>
      <c r="AS684"/>
      <c r="AT684" s="447"/>
      <c r="AU684"/>
      <c r="AV684"/>
      <c r="AW684" s="447"/>
      <c r="AX684"/>
      <c r="AY684"/>
      <c r="AZ684" s="447"/>
      <c r="BA684"/>
      <c r="BB684"/>
      <c r="BC684" s="447"/>
      <c r="BD684"/>
      <c r="BE684"/>
    </row>
    <row r="685" spans="4:57">
      <c r="D685" s="447"/>
      <c r="G685" s="447"/>
      <c r="J685" s="447"/>
      <c r="M685" s="447"/>
      <c r="R685" s="447"/>
      <c r="S685"/>
      <c r="T685"/>
      <c r="U685" s="447"/>
      <c r="V685"/>
      <c r="W685"/>
      <c r="X685" s="447"/>
      <c r="Y685"/>
      <c r="Z685"/>
      <c r="AA685" s="447"/>
      <c r="AB685"/>
      <c r="AC685"/>
      <c r="AE685"/>
      <c r="AF685" s="447"/>
      <c r="AG685"/>
      <c r="AH685"/>
      <c r="AI685" s="447"/>
      <c r="AJ685"/>
      <c r="AK685"/>
      <c r="AL685" s="447"/>
      <c r="AM685"/>
      <c r="AN685"/>
      <c r="AO685" s="447"/>
      <c r="AP685"/>
      <c r="AQ685"/>
      <c r="AS685"/>
      <c r="AT685" s="447"/>
      <c r="AU685"/>
      <c r="AV685"/>
      <c r="AW685" s="447"/>
      <c r="AX685"/>
      <c r="AY685"/>
      <c r="AZ685" s="447"/>
      <c r="BA685"/>
      <c r="BB685"/>
      <c r="BC685" s="447"/>
      <c r="BD685"/>
      <c r="BE685"/>
    </row>
    <row r="686" spans="4:57">
      <c r="D686" s="447"/>
      <c r="G686" s="447"/>
      <c r="J686" s="447"/>
      <c r="M686" s="447"/>
      <c r="R686" s="447"/>
      <c r="S686"/>
      <c r="T686"/>
      <c r="U686" s="447"/>
      <c r="V686"/>
      <c r="W686"/>
      <c r="X686" s="447"/>
      <c r="Y686"/>
      <c r="Z686"/>
      <c r="AA686" s="447"/>
      <c r="AB686"/>
      <c r="AC686"/>
      <c r="AE686"/>
      <c r="AF686" s="447"/>
      <c r="AG686"/>
      <c r="AH686"/>
      <c r="AI686" s="447"/>
      <c r="AJ686"/>
      <c r="AK686"/>
      <c r="AL686" s="447"/>
      <c r="AM686"/>
      <c r="AN686"/>
      <c r="AO686" s="447"/>
      <c r="AP686"/>
      <c r="AQ686"/>
      <c r="AS686"/>
      <c r="AT686" s="447"/>
      <c r="AU686"/>
      <c r="AV686"/>
      <c r="AW686" s="447"/>
      <c r="AX686"/>
      <c r="AY686"/>
      <c r="AZ686" s="447"/>
      <c r="BA686"/>
      <c r="BB686"/>
      <c r="BC686" s="447"/>
      <c r="BD686"/>
      <c r="BE686"/>
    </row>
    <row r="687" spans="4:57">
      <c r="D687" s="447"/>
      <c r="G687" s="447"/>
      <c r="J687" s="447"/>
      <c r="M687" s="447"/>
      <c r="R687" s="447"/>
      <c r="S687"/>
      <c r="T687"/>
      <c r="U687" s="447"/>
      <c r="V687"/>
      <c r="W687"/>
      <c r="X687" s="447"/>
      <c r="Y687"/>
      <c r="Z687"/>
      <c r="AA687" s="447"/>
      <c r="AB687"/>
      <c r="AC687"/>
      <c r="AE687"/>
      <c r="AF687" s="447"/>
      <c r="AG687"/>
      <c r="AH687"/>
      <c r="AI687" s="447"/>
      <c r="AJ687"/>
      <c r="AK687"/>
      <c r="AL687" s="447"/>
      <c r="AM687"/>
      <c r="AN687"/>
      <c r="AO687" s="447"/>
      <c r="AP687"/>
      <c r="AQ687"/>
      <c r="AS687"/>
      <c r="AT687" s="447"/>
      <c r="AU687"/>
      <c r="AV687"/>
      <c r="AW687" s="447"/>
      <c r="AX687"/>
      <c r="AY687"/>
      <c r="AZ687" s="447"/>
      <c r="BA687"/>
      <c r="BB687"/>
      <c r="BC687" s="447"/>
      <c r="BD687"/>
      <c r="BE687"/>
    </row>
    <row r="688" spans="4:57">
      <c r="D688" s="447"/>
      <c r="G688" s="447"/>
      <c r="J688" s="447"/>
      <c r="M688" s="447"/>
      <c r="R688" s="447"/>
      <c r="S688"/>
      <c r="T688"/>
      <c r="U688" s="447"/>
      <c r="V688"/>
      <c r="W688"/>
      <c r="X688" s="447"/>
      <c r="Y688"/>
      <c r="Z688"/>
      <c r="AA688" s="447"/>
      <c r="AB688"/>
      <c r="AC688"/>
      <c r="AE688"/>
      <c r="AF688" s="447"/>
      <c r="AG688"/>
      <c r="AH688"/>
      <c r="AI688" s="447"/>
      <c r="AJ688"/>
      <c r="AK688"/>
      <c r="AL688" s="447"/>
      <c r="AM688"/>
      <c r="AN688"/>
      <c r="AO688" s="447"/>
      <c r="AP688"/>
      <c r="AQ688"/>
      <c r="AS688"/>
      <c r="AT688" s="447"/>
      <c r="AU688"/>
      <c r="AV688"/>
      <c r="AW688" s="447"/>
      <c r="AX688"/>
      <c r="AY688"/>
      <c r="AZ688" s="447"/>
      <c r="BA688"/>
      <c r="BB688"/>
      <c r="BC688" s="447"/>
      <c r="BD688"/>
      <c r="BE688"/>
    </row>
    <row r="689" spans="4:57">
      <c r="D689" s="447"/>
      <c r="G689" s="447"/>
      <c r="J689" s="447"/>
      <c r="M689" s="447"/>
      <c r="R689" s="447"/>
      <c r="S689"/>
      <c r="T689"/>
      <c r="U689" s="447"/>
      <c r="V689"/>
      <c r="W689"/>
      <c r="X689" s="447"/>
      <c r="Y689"/>
      <c r="Z689"/>
      <c r="AA689" s="447"/>
      <c r="AB689"/>
      <c r="AC689"/>
      <c r="AE689"/>
      <c r="AF689" s="447"/>
      <c r="AG689"/>
      <c r="AH689"/>
      <c r="AI689" s="447"/>
      <c r="AJ689"/>
      <c r="AK689"/>
      <c r="AL689" s="447"/>
      <c r="AM689"/>
      <c r="AN689"/>
      <c r="AO689" s="447"/>
      <c r="AP689"/>
      <c r="AQ689"/>
      <c r="AS689"/>
      <c r="AT689" s="447"/>
      <c r="AU689"/>
      <c r="AV689"/>
      <c r="AW689" s="447"/>
      <c r="AX689"/>
      <c r="AY689"/>
      <c r="AZ689" s="447"/>
      <c r="BA689"/>
      <c r="BB689"/>
      <c r="BC689" s="447"/>
      <c r="BD689"/>
      <c r="BE689"/>
    </row>
    <row r="690" spans="4:57">
      <c r="D690" s="447"/>
      <c r="G690" s="447"/>
      <c r="J690" s="447"/>
      <c r="M690" s="447"/>
      <c r="R690" s="447"/>
      <c r="S690"/>
      <c r="T690"/>
      <c r="U690" s="447"/>
      <c r="V690"/>
      <c r="W690"/>
      <c r="X690" s="447"/>
      <c r="Y690"/>
      <c r="Z690"/>
      <c r="AA690" s="447"/>
      <c r="AB690"/>
      <c r="AC690"/>
      <c r="AE690"/>
      <c r="AF690" s="447"/>
      <c r="AG690"/>
      <c r="AH690"/>
      <c r="AI690" s="447"/>
      <c r="AJ690"/>
      <c r="AK690"/>
      <c r="AL690" s="447"/>
      <c r="AM690"/>
      <c r="AN690"/>
      <c r="AO690" s="447"/>
      <c r="AP690"/>
      <c r="AQ690"/>
      <c r="AS690"/>
      <c r="AT690" s="447"/>
      <c r="AU690"/>
      <c r="AV690"/>
      <c r="AW690" s="447"/>
      <c r="AX690"/>
      <c r="AY690"/>
      <c r="AZ690" s="447"/>
      <c r="BA690"/>
      <c r="BB690"/>
      <c r="BC690" s="447"/>
      <c r="BD690"/>
      <c r="BE690"/>
    </row>
    <row r="691" spans="4:57">
      <c r="D691" s="447"/>
      <c r="G691" s="447"/>
      <c r="J691" s="447"/>
      <c r="M691" s="447"/>
      <c r="R691" s="447"/>
      <c r="S691"/>
      <c r="T691"/>
      <c r="U691" s="447"/>
      <c r="V691"/>
      <c r="W691"/>
      <c r="X691" s="447"/>
      <c r="Y691"/>
      <c r="Z691"/>
      <c r="AA691" s="447"/>
      <c r="AB691"/>
      <c r="AC691"/>
      <c r="AE691"/>
      <c r="AF691" s="447"/>
      <c r="AG691"/>
      <c r="AH691"/>
      <c r="AI691" s="447"/>
      <c r="AJ691"/>
      <c r="AK691"/>
      <c r="AL691" s="447"/>
      <c r="AM691"/>
      <c r="AN691"/>
      <c r="AO691" s="447"/>
      <c r="AP691"/>
      <c r="AQ691"/>
      <c r="AS691"/>
      <c r="AT691" s="447"/>
      <c r="AU691"/>
      <c r="AV691"/>
      <c r="AW691" s="447"/>
      <c r="AX691"/>
      <c r="AY691"/>
      <c r="AZ691" s="447"/>
      <c r="BA691"/>
      <c r="BB691"/>
      <c r="BC691" s="447"/>
      <c r="BD691"/>
      <c r="BE691"/>
    </row>
    <row r="692" spans="4:57">
      <c r="D692" s="447"/>
      <c r="G692" s="447"/>
      <c r="J692" s="447"/>
      <c r="M692" s="447"/>
      <c r="R692" s="447"/>
      <c r="S692"/>
      <c r="T692"/>
      <c r="U692" s="447"/>
      <c r="V692"/>
      <c r="W692"/>
      <c r="X692" s="447"/>
      <c r="Y692"/>
      <c r="Z692"/>
      <c r="AA692" s="447"/>
      <c r="AB692"/>
      <c r="AC692"/>
      <c r="AE692"/>
      <c r="AF692" s="447"/>
      <c r="AG692"/>
      <c r="AH692"/>
      <c r="AI692" s="447"/>
      <c r="AJ692"/>
      <c r="AK692"/>
      <c r="AL692" s="447"/>
      <c r="AM692"/>
      <c r="AN692"/>
      <c r="AO692" s="447"/>
      <c r="AP692"/>
      <c r="AQ692"/>
      <c r="AS692"/>
      <c r="AT692" s="447"/>
      <c r="AU692"/>
      <c r="AV692"/>
      <c r="AW692" s="447"/>
      <c r="AX692"/>
      <c r="AY692"/>
      <c r="AZ692" s="447"/>
      <c r="BA692"/>
      <c r="BB692"/>
      <c r="BC692" s="447"/>
      <c r="BD692"/>
      <c r="BE692"/>
    </row>
    <row r="693" spans="4:57">
      <c r="D693" s="447"/>
      <c r="G693" s="447"/>
      <c r="J693" s="447"/>
      <c r="M693" s="447"/>
      <c r="R693" s="447"/>
      <c r="S693"/>
      <c r="T693"/>
      <c r="U693" s="447"/>
      <c r="V693"/>
      <c r="W693"/>
      <c r="X693" s="447"/>
      <c r="Y693"/>
      <c r="Z693"/>
      <c r="AA693" s="447"/>
      <c r="AB693"/>
      <c r="AC693"/>
      <c r="AE693"/>
      <c r="AF693" s="447"/>
      <c r="AG693"/>
      <c r="AH693"/>
      <c r="AI693" s="447"/>
      <c r="AJ693"/>
      <c r="AK693"/>
      <c r="AL693" s="447"/>
      <c r="AM693"/>
      <c r="AN693"/>
      <c r="AO693" s="447"/>
      <c r="AP693"/>
      <c r="AQ693"/>
      <c r="AS693"/>
      <c r="AT693" s="447"/>
      <c r="AU693"/>
      <c r="AV693"/>
      <c r="AW693" s="447"/>
      <c r="AX693"/>
      <c r="AY693"/>
      <c r="AZ693" s="447"/>
      <c r="BA693"/>
      <c r="BB693"/>
      <c r="BC693" s="447"/>
      <c r="BD693"/>
      <c r="BE693"/>
    </row>
    <row r="694" spans="4:57">
      <c r="D694" s="447"/>
      <c r="G694" s="447"/>
      <c r="J694" s="447"/>
      <c r="M694" s="447"/>
      <c r="R694" s="447"/>
      <c r="S694"/>
      <c r="T694"/>
      <c r="U694" s="447"/>
      <c r="V694"/>
      <c r="W694"/>
      <c r="X694" s="447"/>
      <c r="Y694"/>
      <c r="Z694"/>
      <c r="AA694" s="447"/>
      <c r="AB694"/>
      <c r="AC694"/>
      <c r="AE694"/>
      <c r="AF694" s="447"/>
      <c r="AG694"/>
      <c r="AH694"/>
      <c r="AI694" s="447"/>
      <c r="AJ694"/>
      <c r="AK694"/>
      <c r="AL694" s="447"/>
      <c r="AM694"/>
      <c r="AN694"/>
      <c r="AO694" s="447"/>
      <c r="AP694"/>
      <c r="AQ694"/>
      <c r="AS694"/>
      <c r="AT694" s="447"/>
      <c r="AU694"/>
      <c r="AV694"/>
      <c r="AW694" s="447"/>
      <c r="AX694"/>
      <c r="AY694"/>
      <c r="AZ694" s="447"/>
      <c r="BA694"/>
      <c r="BB694"/>
      <c r="BC694" s="447"/>
      <c r="BD694"/>
      <c r="BE694"/>
    </row>
    <row r="695" spans="4:57">
      <c r="D695" s="447"/>
      <c r="G695" s="447"/>
      <c r="J695" s="447"/>
      <c r="M695" s="447"/>
      <c r="R695" s="447"/>
      <c r="S695"/>
      <c r="T695"/>
      <c r="U695" s="447"/>
      <c r="V695"/>
      <c r="W695"/>
      <c r="X695" s="447"/>
      <c r="Y695"/>
      <c r="Z695"/>
      <c r="AA695" s="447"/>
      <c r="AB695"/>
      <c r="AC695"/>
      <c r="AE695"/>
      <c r="AF695" s="447"/>
      <c r="AG695"/>
      <c r="AH695"/>
      <c r="AI695" s="447"/>
      <c r="AJ695"/>
      <c r="AK695"/>
      <c r="AL695" s="447"/>
      <c r="AM695"/>
      <c r="AN695"/>
      <c r="AO695" s="447"/>
      <c r="AP695"/>
      <c r="AQ695"/>
      <c r="AS695"/>
      <c r="AT695" s="447"/>
      <c r="AU695"/>
      <c r="AV695"/>
      <c r="AW695" s="447"/>
      <c r="AX695"/>
      <c r="AY695"/>
      <c r="AZ695" s="447"/>
      <c r="BA695"/>
      <c r="BB695"/>
      <c r="BC695" s="447"/>
      <c r="BD695"/>
      <c r="BE695"/>
    </row>
    <row r="696" spans="4:57">
      <c r="D696" s="447"/>
      <c r="G696" s="447"/>
      <c r="J696" s="447"/>
      <c r="M696" s="447"/>
      <c r="R696" s="447"/>
      <c r="S696"/>
      <c r="T696"/>
      <c r="U696" s="447"/>
      <c r="V696"/>
      <c r="W696"/>
      <c r="X696" s="447"/>
      <c r="Y696"/>
      <c r="Z696"/>
      <c r="AA696" s="447"/>
      <c r="AB696"/>
      <c r="AC696"/>
      <c r="AE696"/>
      <c r="AF696" s="447"/>
      <c r="AG696"/>
      <c r="AH696"/>
      <c r="AI696" s="447"/>
      <c r="AJ696"/>
      <c r="AK696"/>
      <c r="AL696" s="447"/>
      <c r="AM696"/>
      <c r="AN696"/>
      <c r="AO696" s="447"/>
      <c r="AP696"/>
      <c r="AQ696"/>
      <c r="AS696"/>
      <c r="AT696" s="447"/>
      <c r="AU696"/>
      <c r="AV696"/>
      <c r="AW696" s="447"/>
      <c r="AX696"/>
      <c r="AY696"/>
      <c r="AZ696" s="447"/>
      <c r="BA696"/>
      <c r="BB696"/>
      <c r="BC696" s="447"/>
      <c r="BD696"/>
      <c r="BE696"/>
    </row>
    <row r="697" spans="4:57">
      <c r="D697" s="447"/>
      <c r="G697" s="447"/>
      <c r="J697" s="447"/>
      <c r="M697" s="447"/>
      <c r="R697" s="447"/>
      <c r="S697"/>
      <c r="T697"/>
      <c r="U697" s="447"/>
      <c r="V697"/>
      <c r="W697"/>
      <c r="X697" s="447"/>
      <c r="Y697"/>
      <c r="Z697"/>
      <c r="AA697" s="447"/>
      <c r="AB697"/>
      <c r="AC697"/>
      <c r="AE697"/>
      <c r="AF697" s="447"/>
      <c r="AG697"/>
      <c r="AH697"/>
      <c r="AI697" s="447"/>
      <c r="AJ697"/>
      <c r="AK697"/>
      <c r="AL697" s="447"/>
      <c r="AM697"/>
      <c r="AN697"/>
      <c r="AO697" s="447"/>
      <c r="AP697"/>
      <c r="AQ697"/>
      <c r="AS697"/>
      <c r="AT697" s="447"/>
      <c r="AU697"/>
      <c r="AV697"/>
      <c r="AW697" s="447"/>
      <c r="AX697"/>
      <c r="AY697"/>
      <c r="AZ697" s="447"/>
      <c r="BA697"/>
      <c r="BB697"/>
      <c r="BC697" s="447"/>
      <c r="BD697"/>
      <c r="BE697"/>
    </row>
    <row r="698" spans="4:57">
      <c r="D698" s="447"/>
      <c r="G698" s="447"/>
      <c r="J698" s="447"/>
      <c r="M698" s="447"/>
      <c r="R698" s="447"/>
      <c r="S698"/>
      <c r="T698"/>
      <c r="U698" s="447"/>
      <c r="V698"/>
      <c r="W698"/>
      <c r="X698" s="447"/>
      <c r="Y698"/>
      <c r="Z698"/>
      <c r="AA698" s="447"/>
      <c r="AB698"/>
      <c r="AC698"/>
      <c r="AE698"/>
      <c r="AF698" s="447"/>
      <c r="AG698"/>
      <c r="AH698"/>
      <c r="AI698" s="447"/>
      <c r="AJ698"/>
      <c r="AK698"/>
      <c r="AL698" s="447"/>
      <c r="AM698"/>
      <c r="AN698"/>
      <c r="AO698" s="447"/>
      <c r="AP698"/>
      <c r="AQ698"/>
      <c r="AS698"/>
      <c r="AT698" s="447"/>
      <c r="AU698"/>
      <c r="AV698"/>
      <c r="AW698" s="447"/>
      <c r="AX698"/>
      <c r="AY698"/>
      <c r="AZ698" s="447"/>
      <c r="BA698"/>
      <c r="BB698"/>
      <c r="BC698" s="447"/>
      <c r="BD698"/>
      <c r="BE698"/>
    </row>
    <row r="699" spans="4:57">
      <c r="D699" s="447"/>
      <c r="G699" s="447"/>
      <c r="J699" s="447"/>
      <c r="M699" s="447"/>
      <c r="R699" s="447"/>
      <c r="S699"/>
      <c r="T699"/>
      <c r="U699" s="447"/>
      <c r="V699"/>
      <c r="W699"/>
      <c r="X699" s="447"/>
      <c r="Y699"/>
      <c r="Z699"/>
      <c r="AA699" s="447"/>
      <c r="AB699"/>
      <c r="AC699"/>
      <c r="AE699"/>
      <c r="AF699" s="447"/>
      <c r="AG699"/>
      <c r="AH699"/>
      <c r="AI699" s="447"/>
      <c r="AJ699"/>
      <c r="AK699"/>
      <c r="AL699" s="447"/>
      <c r="AM699"/>
      <c r="AN699"/>
      <c r="AO699" s="447"/>
      <c r="AP699"/>
      <c r="AQ699"/>
      <c r="AS699"/>
      <c r="AT699" s="447"/>
      <c r="AU699"/>
      <c r="AV699"/>
      <c r="AW699" s="447"/>
      <c r="AX699"/>
      <c r="AY699"/>
      <c r="AZ699" s="447"/>
      <c r="BA699"/>
      <c r="BB699"/>
      <c r="BC699" s="447"/>
      <c r="BD699"/>
      <c r="BE699"/>
    </row>
    <row r="700" spans="4:57">
      <c r="D700" s="447"/>
      <c r="G700" s="447"/>
      <c r="J700" s="447"/>
      <c r="M700" s="447"/>
      <c r="R700" s="447"/>
      <c r="S700"/>
      <c r="T700"/>
      <c r="U700" s="447"/>
      <c r="V700"/>
      <c r="W700"/>
      <c r="X700" s="447"/>
      <c r="Y700"/>
      <c r="Z700"/>
      <c r="AA700" s="447"/>
      <c r="AB700"/>
      <c r="AC700"/>
      <c r="AE700"/>
      <c r="AF700" s="447"/>
      <c r="AG700"/>
      <c r="AH700"/>
      <c r="AI700" s="447"/>
      <c r="AJ700"/>
      <c r="AK700"/>
      <c r="AL700" s="447"/>
      <c r="AM700"/>
      <c r="AN700"/>
      <c r="AO700" s="447"/>
      <c r="AP700"/>
      <c r="AQ700"/>
      <c r="AS700"/>
      <c r="AT700" s="447"/>
      <c r="AU700"/>
      <c r="AV700"/>
      <c r="AW700" s="447"/>
      <c r="AX700"/>
      <c r="AY700"/>
      <c r="AZ700" s="447"/>
      <c r="BA700"/>
      <c r="BB700"/>
      <c r="BC700" s="447"/>
      <c r="BD700"/>
      <c r="BE700"/>
    </row>
    <row r="701" spans="4:57">
      <c r="D701" s="447"/>
      <c r="G701" s="447"/>
      <c r="J701" s="447"/>
      <c r="M701" s="447"/>
      <c r="R701" s="447"/>
      <c r="S701"/>
      <c r="T701"/>
      <c r="U701" s="447"/>
      <c r="V701"/>
      <c r="W701"/>
      <c r="X701" s="447"/>
      <c r="Y701"/>
      <c r="Z701"/>
      <c r="AA701" s="447"/>
      <c r="AB701"/>
      <c r="AC701"/>
      <c r="AE701"/>
      <c r="AF701" s="447"/>
      <c r="AG701"/>
      <c r="AH701"/>
      <c r="AI701" s="447"/>
      <c r="AJ701"/>
      <c r="AK701"/>
      <c r="AL701" s="447"/>
      <c r="AM701"/>
      <c r="AN701"/>
      <c r="AO701" s="447"/>
      <c r="AP701"/>
      <c r="AQ701"/>
      <c r="AS701"/>
      <c r="AT701" s="447"/>
      <c r="AU701"/>
      <c r="AV701"/>
      <c r="AW701" s="447"/>
      <c r="AX701"/>
      <c r="AY701"/>
      <c r="AZ701" s="447"/>
      <c r="BA701"/>
      <c r="BB701"/>
      <c r="BC701" s="447"/>
      <c r="BD701"/>
      <c r="BE701"/>
    </row>
    <row r="702" spans="4:57">
      <c r="D702" s="447"/>
      <c r="G702" s="447"/>
      <c r="J702" s="447"/>
      <c r="M702" s="447"/>
      <c r="R702" s="447"/>
      <c r="S702"/>
      <c r="T702"/>
      <c r="U702" s="447"/>
      <c r="V702"/>
      <c r="W702"/>
      <c r="X702" s="447"/>
      <c r="Y702"/>
      <c r="Z702"/>
      <c r="AA702" s="447"/>
      <c r="AB702"/>
      <c r="AC702"/>
      <c r="AE702"/>
      <c r="AF702" s="447"/>
      <c r="AG702"/>
      <c r="AH702"/>
      <c r="AI702" s="447"/>
      <c r="AJ702"/>
      <c r="AK702"/>
      <c r="AL702" s="447"/>
      <c r="AM702"/>
      <c r="AN702"/>
      <c r="AO702" s="447"/>
      <c r="AP702"/>
      <c r="AQ702"/>
      <c r="AS702"/>
      <c r="AT702" s="447"/>
      <c r="AU702"/>
      <c r="AV702"/>
      <c r="AW702" s="447"/>
      <c r="AX702"/>
      <c r="AY702"/>
      <c r="AZ702" s="447"/>
      <c r="BA702"/>
      <c r="BB702"/>
      <c r="BC702" s="447"/>
      <c r="BD702"/>
      <c r="BE702"/>
    </row>
    <row r="703" spans="4:57">
      <c r="D703" s="447"/>
      <c r="G703" s="447"/>
      <c r="J703" s="447"/>
      <c r="M703" s="447"/>
      <c r="R703" s="447"/>
      <c r="S703"/>
      <c r="T703"/>
      <c r="U703" s="447"/>
      <c r="V703"/>
      <c r="W703"/>
      <c r="X703" s="447"/>
      <c r="Y703"/>
      <c r="Z703"/>
      <c r="AA703" s="447"/>
      <c r="AB703"/>
      <c r="AC703"/>
      <c r="AE703"/>
      <c r="AF703" s="447"/>
      <c r="AG703"/>
      <c r="AH703"/>
      <c r="AI703" s="447"/>
      <c r="AJ703"/>
      <c r="AK703"/>
      <c r="AL703" s="447"/>
      <c r="AM703"/>
      <c r="AN703"/>
      <c r="AO703" s="447"/>
      <c r="AP703"/>
      <c r="AQ703"/>
      <c r="AS703"/>
      <c r="AT703" s="447"/>
      <c r="AU703"/>
      <c r="AV703"/>
      <c r="AW703" s="447"/>
      <c r="AX703"/>
      <c r="AY703"/>
      <c r="AZ703" s="447"/>
      <c r="BA703"/>
      <c r="BB703"/>
      <c r="BC703" s="447"/>
      <c r="BD703"/>
      <c r="BE703"/>
    </row>
    <row r="704" spans="4:57">
      <c r="D704" s="447"/>
      <c r="G704" s="447"/>
      <c r="J704" s="447"/>
      <c r="M704" s="447"/>
      <c r="R704" s="447"/>
      <c r="S704"/>
      <c r="T704"/>
      <c r="U704" s="447"/>
      <c r="V704"/>
      <c r="W704"/>
      <c r="X704" s="447"/>
      <c r="Y704"/>
      <c r="Z704"/>
      <c r="AA704" s="447"/>
      <c r="AB704"/>
      <c r="AC704"/>
      <c r="AE704"/>
      <c r="AF704" s="447"/>
      <c r="AG704"/>
      <c r="AH704"/>
      <c r="AI704" s="447"/>
      <c r="AJ704"/>
      <c r="AK704"/>
      <c r="AL704" s="447"/>
      <c r="AM704"/>
      <c r="AN704"/>
      <c r="AO704" s="447"/>
      <c r="AP704"/>
      <c r="AQ704"/>
      <c r="AS704"/>
      <c r="AT704" s="447"/>
      <c r="AU704"/>
      <c r="AV704"/>
      <c r="AW704" s="447"/>
      <c r="AX704"/>
      <c r="AY704"/>
      <c r="AZ704" s="447"/>
      <c r="BA704"/>
      <c r="BB704"/>
      <c r="BC704" s="447"/>
      <c r="BD704"/>
      <c r="BE704"/>
    </row>
    <row r="705" spans="4:57">
      <c r="D705" s="447"/>
      <c r="G705" s="447"/>
      <c r="J705" s="447"/>
      <c r="M705" s="447"/>
      <c r="R705" s="447"/>
      <c r="S705"/>
      <c r="T705"/>
      <c r="U705" s="447"/>
      <c r="V705"/>
      <c r="W705"/>
      <c r="X705" s="447"/>
      <c r="Y705"/>
      <c r="Z705"/>
      <c r="AA705" s="447"/>
      <c r="AB705"/>
      <c r="AC705"/>
      <c r="AE705"/>
      <c r="AF705" s="447"/>
      <c r="AG705"/>
      <c r="AH705"/>
      <c r="AI705" s="447"/>
      <c r="AJ705"/>
      <c r="AK705"/>
      <c r="AL705" s="447"/>
      <c r="AM705"/>
      <c r="AN705"/>
      <c r="AO705" s="447"/>
      <c r="AP705"/>
      <c r="AQ705"/>
      <c r="AS705"/>
      <c r="AT705" s="447"/>
      <c r="AU705"/>
      <c r="AV705"/>
      <c r="AW705" s="447"/>
      <c r="AX705"/>
      <c r="AY705"/>
      <c r="AZ705" s="447"/>
      <c r="BA705"/>
      <c r="BB705"/>
      <c r="BC705" s="447"/>
      <c r="BD705"/>
      <c r="BE705"/>
    </row>
    <row r="706" spans="4:57">
      <c r="D706" s="447"/>
      <c r="G706" s="447"/>
      <c r="J706" s="447"/>
      <c r="M706" s="447"/>
      <c r="R706" s="447"/>
      <c r="S706"/>
      <c r="T706"/>
      <c r="U706" s="447"/>
      <c r="V706"/>
      <c r="W706"/>
      <c r="X706" s="447"/>
      <c r="Y706"/>
      <c r="Z706"/>
      <c r="AA706" s="447"/>
      <c r="AB706"/>
      <c r="AC706"/>
      <c r="AE706"/>
      <c r="AF706" s="447"/>
      <c r="AG706"/>
      <c r="AH706"/>
      <c r="AI706" s="447"/>
      <c r="AJ706"/>
      <c r="AK706"/>
      <c r="AL706" s="447"/>
      <c r="AM706"/>
      <c r="AN706"/>
      <c r="AO706" s="447"/>
      <c r="AP706"/>
      <c r="AQ706"/>
      <c r="AS706"/>
      <c r="AT706" s="447"/>
      <c r="AU706"/>
      <c r="AV706"/>
      <c r="AW706" s="447"/>
      <c r="AX706"/>
      <c r="AY706"/>
      <c r="AZ706" s="447"/>
      <c r="BA706"/>
      <c r="BB706"/>
      <c r="BC706" s="447"/>
      <c r="BD706"/>
      <c r="BE706"/>
    </row>
    <row r="707" spans="4:57">
      <c r="D707" s="447"/>
      <c r="G707" s="447"/>
      <c r="J707" s="447"/>
      <c r="M707" s="447"/>
      <c r="R707" s="447"/>
      <c r="S707"/>
      <c r="T707"/>
      <c r="U707" s="447"/>
      <c r="V707"/>
      <c r="W707"/>
      <c r="X707" s="447"/>
      <c r="Y707"/>
      <c r="Z707"/>
      <c r="AA707" s="447"/>
      <c r="AB707"/>
      <c r="AC707"/>
      <c r="AE707"/>
      <c r="AF707" s="447"/>
      <c r="AG707"/>
      <c r="AH707"/>
      <c r="AI707" s="447"/>
      <c r="AJ707"/>
      <c r="AK707"/>
      <c r="AL707" s="447"/>
      <c r="AM707"/>
      <c r="AN707"/>
      <c r="AO707" s="447"/>
      <c r="AP707"/>
      <c r="AQ707"/>
      <c r="AS707"/>
      <c r="AT707" s="447"/>
      <c r="AU707"/>
      <c r="AV707"/>
      <c r="AW707" s="447"/>
      <c r="AX707"/>
      <c r="AY707"/>
      <c r="AZ707" s="447"/>
      <c r="BA707"/>
      <c r="BB707"/>
      <c r="BC707" s="447"/>
      <c r="BD707"/>
      <c r="BE707"/>
    </row>
    <row r="708" spans="4:57">
      <c r="D708" s="447"/>
      <c r="G708" s="447"/>
      <c r="J708" s="447"/>
      <c r="M708" s="447"/>
      <c r="R708" s="447"/>
      <c r="S708"/>
      <c r="T708"/>
      <c r="U708" s="447"/>
      <c r="V708"/>
      <c r="W708"/>
      <c r="X708" s="447"/>
      <c r="Y708"/>
      <c r="Z708"/>
      <c r="AA708" s="447"/>
      <c r="AB708"/>
      <c r="AC708"/>
      <c r="AE708"/>
      <c r="AF708" s="447"/>
      <c r="AG708"/>
      <c r="AH708"/>
      <c r="AI708" s="447"/>
      <c r="AJ708"/>
      <c r="AK708"/>
      <c r="AL708" s="447"/>
      <c r="AM708"/>
      <c r="AN708"/>
      <c r="AO708" s="447"/>
      <c r="AP708"/>
      <c r="AQ708"/>
      <c r="AS708"/>
      <c r="AT708" s="447"/>
      <c r="AU708"/>
      <c r="AV708"/>
      <c r="AW708" s="447"/>
      <c r="AX708"/>
      <c r="AY708"/>
      <c r="AZ708" s="447"/>
      <c r="BA708"/>
      <c r="BB708"/>
      <c r="BC708" s="447"/>
      <c r="BD708"/>
      <c r="BE708"/>
    </row>
    <row r="709" spans="4:57">
      <c r="D709" s="447"/>
      <c r="G709" s="447"/>
      <c r="J709" s="447"/>
      <c r="M709" s="447"/>
      <c r="R709" s="447"/>
      <c r="S709"/>
      <c r="T709"/>
      <c r="U709" s="447"/>
      <c r="V709"/>
      <c r="W709"/>
      <c r="X709" s="447"/>
      <c r="Y709"/>
      <c r="Z709"/>
      <c r="AA709" s="447"/>
      <c r="AB709"/>
      <c r="AC709"/>
      <c r="AE709"/>
      <c r="AF709" s="447"/>
      <c r="AG709"/>
      <c r="AH709"/>
      <c r="AI709" s="447"/>
      <c r="AJ709"/>
      <c r="AK709"/>
      <c r="AL709" s="447"/>
      <c r="AM709"/>
      <c r="AN709"/>
      <c r="AO709" s="447"/>
      <c r="AP709"/>
      <c r="AQ709"/>
      <c r="AS709"/>
      <c r="AT709" s="447"/>
      <c r="AU709"/>
      <c r="AV709"/>
      <c r="AW709" s="447"/>
      <c r="AX709"/>
      <c r="AY709"/>
      <c r="AZ709" s="447"/>
      <c r="BA709"/>
      <c r="BB709"/>
      <c r="BC709" s="447"/>
      <c r="BD709"/>
      <c r="BE709"/>
    </row>
    <row r="710" spans="4:57">
      <c r="D710" s="447"/>
      <c r="G710" s="447"/>
      <c r="J710" s="447"/>
      <c r="M710" s="447"/>
      <c r="R710" s="447"/>
      <c r="S710"/>
      <c r="T710"/>
      <c r="U710" s="447"/>
      <c r="V710"/>
      <c r="W710"/>
      <c r="X710" s="447"/>
      <c r="Y710"/>
      <c r="Z710"/>
      <c r="AA710" s="447"/>
      <c r="AB710"/>
      <c r="AC710"/>
      <c r="AE710"/>
      <c r="AF710" s="447"/>
      <c r="AG710"/>
      <c r="AH710"/>
      <c r="AI710" s="447"/>
      <c r="AJ710"/>
      <c r="AK710"/>
      <c r="AL710" s="447"/>
      <c r="AM710"/>
      <c r="AN710"/>
      <c r="AO710" s="447"/>
      <c r="AP710"/>
      <c r="AQ710"/>
      <c r="AS710"/>
      <c r="AT710" s="447"/>
      <c r="AU710"/>
      <c r="AV710"/>
      <c r="AW710" s="447"/>
      <c r="AX710"/>
      <c r="AY710"/>
      <c r="AZ710" s="447"/>
      <c r="BA710"/>
      <c r="BB710"/>
      <c r="BC710" s="447"/>
      <c r="BD710"/>
      <c r="BE710"/>
    </row>
    <row r="711" spans="4:57">
      <c r="D711" s="447"/>
      <c r="G711" s="447"/>
      <c r="J711" s="447"/>
      <c r="M711" s="447"/>
      <c r="R711" s="447"/>
      <c r="S711"/>
      <c r="T711"/>
      <c r="U711" s="447"/>
      <c r="V711"/>
      <c r="W711"/>
      <c r="X711" s="447"/>
      <c r="Y711"/>
      <c r="Z711"/>
      <c r="AA711" s="447"/>
      <c r="AB711"/>
      <c r="AC711"/>
      <c r="AE711"/>
      <c r="AF711" s="447"/>
      <c r="AG711"/>
      <c r="AH711"/>
      <c r="AI711" s="447"/>
      <c r="AJ711"/>
      <c r="AK711"/>
      <c r="AL711" s="447"/>
      <c r="AM711"/>
      <c r="AN711"/>
      <c r="AO711" s="447"/>
      <c r="AP711"/>
      <c r="AQ711"/>
      <c r="AS711"/>
      <c r="AT711" s="447"/>
      <c r="AU711"/>
      <c r="AV711"/>
      <c r="AW711" s="447"/>
      <c r="AX711"/>
      <c r="AY711"/>
      <c r="AZ711" s="447"/>
      <c r="BA711"/>
      <c r="BB711"/>
      <c r="BC711" s="447"/>
      <c r="BD711"/>
      <c r="BE711"/>
    </row>
    <row r="712" spans="4:57">
      <c r="D712" s="447"/>
      <c r="G712" s="447"/>
      <c r="J712" s="447"/>
      <c r="M712" s="447"/>
      <c r="R712" s="447"/>
      <c r="S712"/>
      <c r="T712"/>
      <c r="U712" s="447"/>
      <c r="V712"/>
      <c r="W712"/>
      <c r="X712" s="447"/>
      <c r="Y712"/>
      <c r="Z712"/>
      <c r="AA712" s="447"/>
      <c r="AB712"/>
      <c r="AC712"/>
      <c r="AE712"/>
      <c r="AF712" s="447"/>
      <c r="AG712"/>
      <c r="AH712"/>
      <c r="AI712" s="447"/>
      <c r="AJ712"/>
      <c r="AK712"/>
      <c r="AL712" s="447"/>
      <c r="AM712"/>
      <c r="AN712"/>
      <c r="AO712" s="447"/>
      <c r="AP712"/>
      <c r="AQ712"/>
      <c r="AS712"/>
      <c r="AT712" s="447"/>
      <c r="AU712"/>
      <c r="AV712"/>
      <c r="AW712" s="447"/>
      <c r="AX712"/>
      <c r="AY712"/>
      <c r="AZ712" s="447"/>
      <c r="BA712"/>
      <c r="BB712"/>
      <c r="BC712" s="447"/>
      <c r="BD712"/>
      <c r="BE712"/>
    </row>
    <row r="713" spans="4:57">
      <c r="D713" s="447"/>
      <c r="G713" s="447"/>
      <c r="J713" s="447"/>
      <c r="M713" s="447"/>
      <c r="R713" s="447"/>
      <c r="S713"/>
      <c r="T713"/>
      <c r="U713" s="447"/>
      <c r="V713"/>
      <c r="W713"/>
      <c r="X713" s="447"/>
      <c r="Y713"/>
      <c r="Z713"/>
      <c r="AA713" s="447"/>
      <c r="AB713"/>
      <c r="AC713"/>
      <c r="AE713"/>
      <c r="AF713" s="447"/>
      <c r="AG713"/>
      <c r="AH713"/>
      <c r="AI713" s="447"/>
      <c r="AJ713"/>
      <c r="AK713"/>
      <c r="AL713" s="447"/>
      <c r="AM713"/>
      <c r="AN713"/>
      <c r="AO713" s="447"/>
      <c r="AP713"/>
      <c r="AQ713"/>
      <c r="AS713"/>
      <c r="AT713" s="447"/>
      <c r="AU713"/>
      <c r="AV713"/>
      <c r="AW713" s="447"/>
      <c r="AX713"/>
      <c r="AY713"/>
      <c r="AZ713" s="447"/>
      <c r="BA713"/>
      <c r="BB713"/>
      <c r="BC713" s="447"/>
      <c r="BD713"/>
      <c r="BE713"/>
    </row>
    <row r="714" spans="4:57">
      <c r="D714" s="447"/>
      <c r="G714" s="447"/>
      <c r="J714" s="447"/>
      <c r="M714" s="447"/>
      <c r="R714" s="447"/>
      <c r="S714"/>
      <c r="T714"/>
      <c r="U714" s="447"/>
      <c r="V714"/>
      <c r="W714"/>
      <c r="X714" s="447"/>
      <c r="Y714"/>
      <c r="Z714"/>
      <c r="AA714" s="447"/>
      <c r="AB714"/>
      <c r="AC714"/>
      <c r="AE714"/>
      <c r="AF714" s="447"/>
      <c r="AG714"/>
      <c r="AH714"/>
      <c r="AI714" s="447"/>
      <c r="AJ714"/>
      <c r="AK714"/>
      <c r="AL714" s="447"/>
      <c r="AM714"/>
      <c r="AN714"/>
      <c r="AO714" s="447"/>
      <c r="AP714"/>
      <c r="AQ714"/>
      <c r="AS714"/>
      <c r="AT714" s="447"/>
      <c r="AU714"/>
      <c r="AV714"/>
      <c r="AW714" s="447"/>
      <c r="AX714"/>
      <c r="AY714"/>
      <c r="AZ714" s="447"/>
      <c r="BA714"/>
      <c r="BB714"/>
      <c r="BC714" s="447"/>
      <c r="BD714"/>
      <c r="BE714"/>
    </row>
    <row r="715" spans="4:57">
      <c r="D715" s="447"/>
      <c r="G715" s="447"/>
      <c r="J715" s="447"/>
      <c r="M715" s="447"/>
      <c r="R715" s="447"/>
      <c r="S715"/>
      <c r="T715"/>
      <c r="U715" s="447"/>
      <c r="V715"/>
      <c r="W715"/>
      <c r="X715" s="447"/>
      <c r="Y715"/>
      <c r="Z715"/>
      <c r="AA715" s="447"/>
      <c r="AB715"/>
      <c r="AC715"/>
      <c r="AE715"/>
      <c r="AF715" s="447"/>
      <c r="AG715"/>
      <c r="AH715"/>
      <c r="AI715" s="447"/>
      <c r="AJ715"/>
      <c r="AK715"/>
      <c r="AL715" s="447"/>
      <c r="AM715"/>
      <c r="AN715"/>
      <c r="AO715" s="447"/>
      <c r="AP715"/>
      <c r="AQ715"/>
      <c r="AS715"/>
      <c r="AT715" s="447"/>
      <c r="AU715"/>
      <c r="AV715"/>
      <c r="AW715" s="447"/>
      <c r="AX715"/>
      <c r="AY715"/>
      <c r="AZ715" s="447"/>
      <c r="BA715"/>
      <c r="BB715"/>
      <c r="BC715" s="447"/>
      <c r="BD715"/>
      <c r="BE715"/>
    </row>
    <row r="716" spans="4:57">
      <c r="D716" s="447"/>
      <c r="G716" s="447"/>
      <c r="J716" s="447"/>
      <c r="M716" s="447"/>
      <c r="R716" s="447"/>
      <c r="S716"/>
      <c r="T716"/>
      <c r="U716" s="447"/>
      <c r="V716"/>
      <c r="W716"/>
      <c r="X716" s="447"/>
      <c r="Y716"/>
      <c r="Z716"/>
      <c r="AA716" s="447"/>
      <c r="AB716"/>
      <c r="AC716"/>
      <c r="AE716"/>
      <c r="AF716" s="447"/>
      <c r="AG716"/>
      <c r="AH716"/>
      <c r="AI716" s="447"/>
      <c r="AJ716"/>
      <c r="AK716"/>
      <c r="AL716" s="447"/>
      <c r="AM716"/>
      <c r="AN716"/>
      <c r="AO716" s="447"/>
      <c r="AP716"/>
      <c r="AQ716"/>
      <c r="AS716"/>
      <c r="AT716" s="447"/>
      <c r="AU716"/>
      <c r="AV716"/>
      <c r="AW716" s="447"/>
      <c r="AX716"/>
      <c r="AY716"/>
      <c r="AZ716" s="447"/>
      <c r="BA716"/>
      <c r="BB716"/>
      <c r="BC716" s="447"/>
      <c r="BD716"/>
      <c r="BE716"/>
    </row>
    <row r="717" spans="4:57">
      <c r="D717" s="447"/>
      <c r="G717" s="447"/>
      <c r="J717" s="447"/>
      <c r="M717" s="447"/>
      <c r="R717" s="447"/>
      <c r="S717"/>
      <c r="T717"/>
      <c r="U717" s="447"/>
      <c r="V717"/>
      <c r="W717"/>
      <c r="X717" s="447"/>
      <c r="Y717"/>
      <c r="Z717"/>
      <c r="AA717" s="447"/>
      <c r="AB717"/>
      <c r="AC717"/>
      <c r="AE717"/>
      <c r="AF717" s="447"/>
      <c r="AG717"/>
      <c r="AH717"/>
      <c r="AI717" s="447"/>
      <c r="AJ717"/>
      <c r="AK717"/>
      <c r="AL717" s="447"/>
      <c r="AM717"/>
      <c r="AN717"/>
      <c r="AO717" s="447"/>
      <c r="AP717"/>
      <c r="AQ717"/>
      <c r="AS717"/>
      <c r="AT717" s="447"/>
      <c r="AU717"/>
      <c r="AV717"/>
      <c r="AW717" s="447"/>
      <c r="AX717"/>
      <c r="AY717"/>
      <c r="AZ717" s="447"/>
      <c r="BA717"/>
      <c r="BB717"/>
      <c r="BC717" s="447"/>
      <c r="BD717"/>
      <c r="BE717"/>
    </row>
    <row r="718" spans="4:57">
      <c r="D718" s="447"/>
      <c r="G718" s="447"/>
      <c r="J718" s="447"/>
      <c r="M718" s="447"/>
      <c r="R718" s="447"/>
      <c r="S718"/>
      <c r="T718"/>
      <c r="U718" s="447"/>
      <c r="V718"/>
      <c r="W718"/>
      <c r="X718" s="447"/>
      <c r="Y718"/>
      <c r="Z718"/>
      <c r="AA718" s="447"/>
      <c r="AB718"/>
      <c r="AC718"/>
      <c r="AE718"/>
      <c r="AF718" s="447"/>
      <c r="AG718"/>
      <c r="AH718"/>
      <c r="AI718" s="447"/>
      <c r="AJ718"/>
      <c r="AK718"/>
      <c r="AL718" s="447"/>
      <c r="AM718"/>
      <c r="AN718"/>
      <c r="AO718" s="447"/>
      <c r="AP718"/>
      <c r="AQ718"/>
      <c r="AS718"/>
      <c r="AT718" s="447"/>
      <c r="AU718"/>
      <c r="AV718"/>
      <c r="AW718" s="447"/>
      <c r="AX718"/>
      <c r="AY718"/>
      <c r="AZ718" s="447"/>
      <c r="BA718"/>
      <c r="BB718"/>
      <c r="BC718" s="447"/>
      <c r="BD718"/>
      <c r="BE718"/>
    </row>
    <row r="719" spans="4:57">
      <c r="D719" s="447"/>
      <c r="G719" s="447"/>
      <c r="J719" s="447"/>
      <c r="M719" s="447"/>
      <c r="R719" s="447"/>
      <c r="S719"/>
      <c r="T719"/>
      <c r="U719" s="447"/>
      <c r="V719"/>
      <c r="W719"/>
      <c r="X719" s="447"/>
      <c r="Y719"/>
      <c r="Z719"/>
      <c r="AA719" s="447"/>
      <c r="AB719"/>
      <c r="AC719"/>
      <c r="AE719"/>
      <c r="AF719" s="447"/>
      <c r="AG719"/>
      <c r="AH719"/>
      <c r="AI719" s="447"/>
      <c r="AJ719"/>
      <c r="AK719"/>
      <c r="AL719" s="447"/>
      <c r="AM719"/>
      <c r="AN719"/>
      <c r="AO719" s="447"/>
      <c r="AP719"/>
      <c r="AQ719"/>
      <c r="AS719"/>
      <c r="AT719" s="447"/>
      <c r="AU719"/>
      <c r="AV719"/>
      <c r="AW719" s="447"/>
      <c r="AX719"/>
      <c r="AY719"/>
      <c r="AZ719" s="447"/>
      <c r="BA719"/>
      <c r="BB719"/>
      <c r="BC719" s="447"/>
      <c r="BD719"/>
      <c r="BE719"/>
    </row>
    <row r="720" spans="4:57">
      <c r="D720" s="447"/>
      <c r="G720" s="447"/>
      <c r="J720" s="447"/>
      <c r="M720" s="447"/>
      <c r="R720" s="447"/>
      <c r="S720"/>
      <c r="T720"/>
      <c r="U720" s="447"/>
      <c r="V720"/>
      <c r="W720"/>
      <c r="X720" s="447"/>
      <c r="Y720"/>
      <c r="Z720"/>
      <c r="AA720" s="447"/>
      <c r="AB720"/>
      <c r="AC720"/>
      <c r="AE720"/>
      <c r="AF720" s="447"/>
      <c r="AG720"/>
      <c r="AH720"/>
      <c r="AI720" s="447"/>
      <c r="AJ720"/>
      <c r="AK720"/>
      <c r="AL720" s="447"/>
      <c r="AM720"/>
      <c r="AN720"/>
      <c r="AO720" s="447"/>
      <c r="AP720"/>
      <c r="AQ720"/>
      <c r="AS720"/>
      <c r="AT720" s="447"/>
      <c r="AU720"/>
      <c r="AV720"/>
      <c r="AW720" s="447"/>
      <c r="AX720"/>
      <c r="AY720"/>
      <c r="AZ720" s="447"/>
      <c r="BA720"/>
      <c r="BB720"/>
      <c r="BC720" s="447"/>
      <c r="BD720"/>
      <c r="BE720"/>
    </row>
    <row r="721" spans="4:57">
      <c r="D721" s="447"/>
      <c r="G721" s="447"/>
      <c r="J721" s="447"/>
      <c r="M721" s="447"/>
      <c r="R721" s="447"/>
      <c r="S721"/>
      <c r="T721"/>
      <c r="U721" s="447"/>
      <c r="V721"/>
      <c r="W721"/>
      <c r="X721" s="447"/>
      <c r="Y721"/>
      <c r="Z721"/>
      <c r="AA721" s="447"/>
      <c r="AB721"/>
      <c r="AC721"/>
      <c r="AE721"/>
      <c r="AF721" s="447"/>
      <c r="AG721"/>
      <c r="AH721"/>
      <c r="AI721" s="447"/>
      <c r="AJ721"/>
      <c r="AK721"/>
      <c r="AL721" s="447"/>
      <c r="AM721"/>
      <c r="AN721"/>
      <c r="AO721" s="447"/>
      <c r="AP721"/>
      <c r="AQ721"/>
      <c r="AS721"/>
      <c r="AT721" s="447"/>
      <c r="AU721"/>
      <c r="AV721"/>
      <c r="AW721" s="447"/>
      <c r="AX721"/>
      <c r="AY721"/>
      <c r="AZ721" s="447"/>
      <c r="BA721"/>
      <c r="BB721"/>
      <c r="BC721" s="447"/>
      <c r="BD721"/>
      <c r="BE721"/>
    </row>
    <row r="722" spans="4:57">
      <c r="D722" s="447"/>
      <c r="G722" s="447"/>
      <c r="J722" s="447"/>
      <c r="M722" s="447"/>
      <c r="R722" s="447"/>
      <c r="S722"/>
      <c r="T722"/>
      <c r="U722" s="447"/>
      <c r="V722"/>
      <c r="W722"/>
      <c r="X722" s="447"/>
      <c r="Y722"/>
      <c r="Z722"/>
      <c r="AA722" s="447"/>
      <c r="AB722"/>
      <c r="AC722"/>
      <c r="AE722"/>
      <c r="AF722" s="447"/>
      <c r="AG722"/>
      <c r="AH722"/>
      <c r="AI722" s="447"/>
      <c r="AJ722"/>
      <c r="AK722"/>
      <c r="AL722" s="447"/>
      <c r="AM722"/>
      <c r="AN722"/>
      <c r="AO722" s="447"/>
      <c r="AP722"/>
      <c r="AQ722"/>
      <c r="AS722"/>
      <c r="AT722" s="447"/>
      <c r="AU722"/>
      <c r="AV722"/>
      <c r="AW722" s="447"/>
      <c r="AX722"/>
      <c r="AY722"/>
      <c r="AZ722" s="447"/>
      <c r="BA722"/>
      <c r="BB722"/>
      <c r="BC722" s="447"/>
      <c r="BD722"/>
      <c r="BE722"/>
    </row>
    <row r="723" spans="4:57">
      <c r="D723" s="447"/>
      <c r="G723" s="447"/>
      <c r="J723" s="447"/>
      <c r="M723" s="447"/>
      <c r="R723" s="447"/>
      <c r="S723"/>
      <c r="T723"/>
      <c r="U723" s="447"/>
      <c r="V723"/>
      <c r="W723"/>
      <c r="X723" s="447"/>
      <c r="Y723"/>
      <c r="Z723"/>
      <c r="AA723" s="447"/>
      <c r="AB723"/>
      <c r="AC723"/>
      <c r="AE723"/>
      <c r="AF723" s="447"/>
      <c r="AG723"/>
      <c r="AH723"/>
      <c r="AI723" s="447"/>
      <c r="AJ723"/>
      <c r="AK723"/>
      <c r="AL723" s="447"/>
      <c r="AM723"/>
      <c r="AN723"/>
      <c r="AO723" s="447"/>
      <c r="AP723"/>
      <c r="AQ723"/>
      <c r="AS723"/>
      <c r="AT723" s="447"/>
      <c r="AU723"/>
      <c r="AV723"/>
      <c r="AW723" s="447"/>
      <c r="AX723"/>
      <c r="AY723"/>
      <c r="AZ723" s="447"/>
      <c r="BA723"/>
      <c r="BB723"/>
      <c r="BC723" s="447"/>
      <c r="BD723"/>
      <c r="BE723"/>
    </row>
    <row r="724" spans="4:57">
      <c r="D724" s="447"/>
      <c r="G724" s="447"/>
      <c r="J724" s="447"/>
      <c r="M724" s="447"/>
      <c r="R724" s="447"/>
      <c r="S724"/>
      <c r="T724"/>
      <c r="U724" s="447"/>
      <c r="V724"/>
      <c r="W724"/>
      <c r="X724" s="447"/>
      <c r="Y724"/>
      <c r="Z724"/>
      <c r="AA724" s="447"/>
      <c r="AB724"/>
      <c r="AC724"/>
      <c r="AE724"/>
      <c r="AF724" s="447"/>
      <c r="AG724"/>
      <c r="AH724"/>
      <c r="AI724" s="447"/>
      <c r="AJ724"/>
      <c r="AK724"/>
      <c r="AL724" s="447"/>
      <c r="AM724"/>
      <c r="AN724"/>
      <c r="AO724" s="447"/>
      <c r="AP724"/>
      <c r="AQ724"/>
      <c r="AS724"/>
      <c r="AT724" s="447"/>
      <c r="AU724"/>
      <c r="AV724"/>
      <c r="AW724" s="447"/>
      <c r="AX724"/>
      <c r="AY724"/>
      <c r="AZ724" s="447"/>
      <c r="BA724"/>
      <c r="BB724"/>
      <c r="BC724" s="447"/>
      <c r="BD724"/>
      <c r="BE724"/>
    </row>
    <row r="725" spans="4:57">
      <c r="D725" s="447"/>
      <c r="G725" s="447"/>
      <c r="J725" s="447"/>
      <c r="M725" s="447"/>
      <c r="R725" s="447"/>
      <c r="S725"/>
      <c r="T725"/>
      <c r="U725" s="447"/>
      <c r="V725"/>
      <c r="W725"/>
      <c r="X725" s="447"/>
      <c r="Y725"/>
      <c r="Z725"/>
      <c r="AA725" s="447"/>
      <c r="AB725"/>
      <c r="AC725"/>
      <c r="AE725"/>
      <c r="AF725" s="447"/>
      <c r="AG725"/>
      <c r="AH725"/>
      <c r="AI725" s="447"/>
      <c r="AJ725"/>
      <c r="AK725"/>
      <c r="AL725" s="447"/>
      <c r="AM725"/>
      <c r="AN725"/>
      <c r="AO725" s="447"/>
      <c r="AP725"/>
      <c r="AQ725"/>
      <c r="AS725"/>
      <c r="AT725" s="447"/>
      <c r="AU725"/>
      <c r="AV725"/>
      <c r="AW725" s="447"/>
      <c r="AX725"/>
      <c r="AY725"/>
      <c r="AZ725" s="447"/>
      <c r="BA725"/>
      <c r="BB725"/>
      <c r="BC725" s="447"/>
      <c r="BD725"/>
      <c r="BE725"/>
    </row>
    <row r="726" spans="4:57">
      <c r="D726" s="447"/>
      <c r="G726" s="447"/>
      <c r="J726" s="447"/>
      <c r="M726" s="447"/>
      <c r="R726" s="447"/>
      <c r="S726"/>
      <c r="T726"/>
      <c r="U726" s="447"/>
      <c r="V726"/>
      <c r="W726"/>
      <c r="X726" s="447"/>
      <c r="Y726"/>
      <c r="Z726"/>
      <c r="AA726" s="447"/>
      <c r="AB726"/>
      <c r="AC726"/>
      <c r="AE726"/>
      <c r="AF726" s="447"/>
      <c r="AG726"/>
      <c r="AH726"/>
      <c r="AI726" s="447"/>
      <c r="AJ726"/>
      <c r="AK726"/>
      <c r="AL726" s="447"/>
      <c r="AM726"/>
      <c r="AN726"/>
      <c r="AO726" s="447"/>
      <c r="AP726"/>
      <c r="AQ726"/>
      <c r="AS726"/>
      <c r="AT726" s="447"/>
      <c r="AU726"/>
      <c r="AV726"/>
      <c r="AW726" s="447"/>
      <c r="AX726"/>
      <c r="AY726"/>
      <c r="AZ726" s="447"/>
      <c r="BA726"/>
      <c r="BB726"/>
      <c r="BC726" s="447"/>
      <c r="BD726"/>
      <c r="BE726"/>
    </row>
    <row r="727" spans="4:57">
      <c r="D727" s="447"/>
      <c r="G727" s="447"/>
      <c r="J727" s="447"/>
      <c r="M727" s="447"/>
      <c r="R727" s="447"/>
      <c r="S727"/>
      <c r="T727"/>
      <c r="U727" s="447"/>
      <c r="V727"/>
      <c r="W727"/>
      <c r="X727" s="447"/>
      <c r="Y727"/>
      <c r="Z727"/>
      <c r="AA727" s="447"/>
      <c r="AB727"/>
      <c r="AC727"/>
      <c r="AE727"/>
      <c r="AF727" s="447"/>
      <c r="AG727"/>
      <c r="AH727"/>
      <c r="AI727" s="447"/>
      <c r="AJ727"/>
      <c r="AK727"/>
      <c r="AL727" s="447"/>
      <c r="AM727"/>
      <c r="AN727"/>
      <c r="AO727" s="447"/>
      <c r="AP727"/>
      <c r="AQ727"/>
      <c r="AS727"/>
      <c r="AT727" s="447"/>
      <c r="AU727"/>
      <c r="AV727"/>
      <c r="AW727" s="447"/>
      <c r="AX727"/>
      <c r="AY727"/>
      <c r="AZ727" s="447"/>
      <c r="BA727"/>
      <c r="BB727"/>
      <c r="BC727" s="447"/>
      <c r="BD727"/>
      <c r="BE727"/>
    </row>
    <row r="728" spans="4:57">
      <c r="D728" s="447"/>
      <c r="G728" s="447"/>
      <c r="J728" s="447"/>
      <c r="M728" s="447"/>
      <c r="R728" s="447"/>
      <c r="S728"/>
      <c r="T728"/>
      <c r="U728" s="447"/>
      <c r="V728"/>
      <c r="W728"/>
      <c r="X728" s="447"/>
      <c r="Y728"/>
      <c r="Z728"/>
      <c r="AA728" s="447"/>
      <c r="AB728"/>
      <c r="AC728"/>
      <c r="AE728"/>
      <c r="AF728" s="447"/>
      <c r="AG728"/>
      <c r="AH728"/>
      <c r="AI728" s="447"/>
      <c r="AJ728"/>
      <c r="AK728"/>
      <c r="AL728" s="447"/>
      <c r="AM728"/>
      <c r="AN728"/>
      <c r="AO728" s="447"/>
      <c r="AP728"/>
      <c r="AQ728"/>
      <c r="AS728"/>
      <c r="AT728" s="447"/>
      <c r="AU728"/>
      <c r="AV728"/>
      <c r="AW728" s="447"/>
      <c r="AX728"/>
      <c r="AY728"/>
      <c r="AZ728" s="447"/>
      <c r="BA728"/>
      <c r="BB728"/>
      <c r="BC728" s="447"/>
      <c r="BD728"/>
      <c r="BE728"/>
    </row>
    <row r="729" spans="4:57">
      <c r="D729" s="447"/>
      <c r="G729" s="447"/>
      <c r="J729" s="447"/>
      <c r="M729" s="447"/>
      <c r="R729" s="447"/>
      <c r="S729"/>
      <c r="T729"/>
      <c r="U729" s="447"/>
      <c r="V729"/>
      <c r="W729"/>
      <c r="X729" s="447"/>
      <c r="Y729"/>
      <c r="Z729"/>
      <c r="AA729" s="447"/>
      <c r="AB729"/>
      <c r="AC729"/>
      <c r="AE729"/>
      <c r="AF729" s="447"/>
      <c r="AG729"/>
      <c r="AH729"/>
      <c r="AI729" s="447"/>
      <c r="AJ729"/>
      <c r="AK729"/>
      <c r="AL729" s="447"/>
      <c r="AM729"/>
      <c r="AN729"/>
      <c r="AO729" s="447"/>
      <c r="AP729"/>
      <c r="AQ729"/>
      <c r="AS729"/>
      <c r="AT729" s="447"/>
      <c r="AU729"/>
      <c r="AV729"/>
      <c r="AW729" s="447"/>
      <c r="AX729"/>
      <c r="AY729"/>
      <c r="AZ729" s="447"/>
      <c r="BA729"/>
      <c r="BB729"/>
      <c r="BC729" s="447"/>
      <c r="BD729"/>
      <c r="BE729"/>
    </row>
    <row r="730" spans="4:57">
      <c r="D730" s="447"/>
      <c r="G730" s="447"/>
      <c r="J730" s="447"/>
      <c r="M730" s="447"/>
      <c r="R730" s="447"/>
      <c r="S730"/>
      <c r="T730"/>
      <c r="U730" s="447"/>
      <c r="V730"/>
      <c r="W730"/>
      <c r="X730" s="447"/>
      <c r="Y730"/>
      <c r="Z730"/>
      <c r="AA730" s="447"/>
      <c r="AB730"/>
      <c r="AC730"/>
      <c r="AE730"/>
      <c r="AF730" s="447"/>
      <c r="AG730"/>
      <c r="AH730"/>
      <c r="AI730" s="447"/>
      <c r="AJ730"/>
      <c r="AK730"/>
      <c r="AL730" s="447"/>
      <c r="AM730"/>
      <c r="AN730"/>
      <c r="AO730" s="447"/>
      <c r="AP730"/>
      <c r="AQ730"/>
      <c r="AS730"/>
      <c r="AT730" s="447"/>
      <c r="AU730"/>
      <c r="AV730"/>
      <c r="AW730" s="447"/>
      <c r="AX730"/>
      <c r="AY730"/>
      <c r="AZ730" s="447"/>
      <c r="BA730"/>
      <c r="BB730"/>
      <c r="BC730" s="447"/>
      <c r="BD730"/>
      <c r="BE730"/>
    </row>
    <row r="731" spans="4:57">
      <c r="D731" s="447"/>
      <c r="G731" s="447"/>
      <c r="J731" s="447"/>
      <c r="M731" s="447"/>
      <c r="R731" s="447"/>
      <c r="S731"/>
      <c r="T731"/>
      <c r="U731" s="447"/>
      <c r="V731"/>
      <c r="W731"/>
      <c r="X731" s="447"/>
      <c r="Y731"/>
      <c r="Z731"/>
      <c r="AA731" s="447"/>
      <c r="AB731"/>
      <c r="AC731"/>
      <c r="AE731"/>
      <c r="AF731" s="447"/>
      <c r="AG731"/>
      <c r="AH731"/>
      <c r="AI731" s="447"/>
      <c r="AJ731"/>
      <c r="AK731"/>
      <c r="AL731" s="447"/>
      <c r="AM731"/>
      <c r="AN731"/>
      <c r="AO731" s="447"/>
      <c r="AP731"/>
      <c r="AQ731"/>
      <c r="AS731"/>
      <c r="AT731" s="447"/>
      <c r="AU731"/>
      <c r="AV731"/>
      <c r="AW731" s="447"/>
      <c r="AX731"/>
      <c r="AY731"/>
      <c r="AZ731" s="447"/>
      <c r="BA731"/>
      <c r="BB731"/>
      <c r="BC731" s="447"/>
      <c r="BD731"/>
      <c r="BE731"/>
    </row>
    <row r="732" spans="4:57">
      <c r="D732" s="447"/>
      <c r="G732" s="447"/>
      <c r="J732" s="447"/>
      <c r="M732" s="447"/>
      <c r="R732" s="447"/>
      <c r="S732"/>
      <c r="T732"/>
      <c r="U732" s="447"/>
      <c r="V732"/>
      <c r="W732"/>
      <c r="X732" s="447"/>
      <c r="Y732"/>
      <c r="Z732"/>
      <c r="AA732" s="447"/>
      <c r="AB732"/>
      <c r="AC732"/>
      <c r="AE732"/>
      <c r="AF732" s="447"/>
      <c r="AG732"/>
      <c r="AH732"/>
      <c r="AI732" s="447"/>
      <c r="AJ732"/>
      <c r="AK732"/>
      <c r="AL732" s="447"/>
      <c r="AM732"/>
      <c r="AN732"/>
      <c r="AO732" s="447"/>
      <c r="AP732"/>
      <c r="AQ732"/>
      <c r="AS732"/>
      <c r="AT732" s="447"/>
      <c r="AU732"/>
      <c r="AV732"/>
      <c r="AW732" s="447"/>
      <c r="AX732"/>
      <c r="AY732"/>
      <c r="AZ732" s="447"/>
      <c r="BA732"/>
      <c r="BB732"/>
      <c r="BC732" s="447"/>
      <c r="BD732"/>
      <c r="BE732"/>
    </row>
    <row r="733" spans="4:57">
      <c r="D733" s="447"/>
      <c r="G733" s="447"/>
      <c r="J733" s="447"/>
      <c r="M733" s="447"/>
      <c r="R733" s="447"/>
      <c r="S733"/>
      <c r="T733"/>
      <c r="U733" s="447"/>
      <c r="V733"/>
      <c r="W733"/>
      <c r="X733" s="447"/>
      <c r="Y733"/>
      <c r="Z733"/>
      <c r="AA733" s="447"/>
      <c r="AB733"/>
      <c r="AC733"/>
      <c r="AE733"/>
      <c r="AF733" s="447"/>
      <c r="AG733"/>
      <c r="AH733"/>
      <c r="AI733" s="447"/>
      <c r="AJ733"/>
      <c r="AK733"/>
      <c r="AL733" s="447"/>
      <c r="AM733"/>
      <c r="AN733"/>
      <c r="AO733" s="447"/>
      <c r="AP733"/>
      <c r="AQ733"/>
      <c r="AS733"/>
      <c r="AT733" s="447"/>
      <c r="AU733"/>
      <c r="AV733"/>
      <c r="AW733" s="447"/>
      <c r="AX733"/>
      <c r="AY733"/>
      <c r="AZ733" s="447"/>
      <c r="BA733"/>
      <c r="BB733"/>
      <c r="BC733" s="447"/>
      <c r="BD733"/>
      <c r="BE733"/>
    </row>
    <row r="734" spans="4:57">
      <c r="D734" s="447"/>
      <c r="G734" s="447"/>
      <c r="J734" s="447"/>
      <c r="M734" s="447"/>
      <c r="R734" s="447"/>
      <c r="S734"/>
      <c r="T734"/>
      <c r="U734" s="447"/>
      <c r="V734"/>
      <c r="W734"/>
      <c r="X734" s="447"/>
      <c r="Y734"/>
      <c r="Z734"/>
      <c r="AA734" s="447"/>
      <c r="AB734"/>
      <c r="AC734"/>
      <c r="AE734"/>
      <c r="AF734" s="447"/>
      <c r="AG734"/>
      <c r="AH734"/>
      <c r="AI734" s="447"/>
      <c r="AJ734"/>
      <c r="AK734"/>
      <c r="AL734" s="447"/>
      <c r="AM734"/>
      <c r="AN734"/>
      <c r="AO734" s="447"/>
      <c r="AP734"/>
      <c r="AQ734"/>
      <c r="AS734"/>
      <c r="AT734" s="447"/>
      <c r="AU734"/>
      <c r="AV734"/>
      <c r="AW734" s="447"/>
      <c r="AX734"/>
      <c r="AY734"/>
      <c r="AZ734" s="447"/>
      <c r="BA734"/>
      <c r="BB734"/>
      <c r="BC734" s="447"/>
      <c r="BD734"/>
      <c r="BE734"/>
    </row>
    <row r="735" spans="4:57">
      <c r="D735" s="447"/>
      <c r="G735" s="447"/>
      <c r="J735" s="447"/>
      <c r="M735" s="447"/>
      <c r="R735" s="447"/>
      <c r="S735"/>
      <c r="T735"/>
      <c r="U735" s="447"/>
      <c r="V735"/>
      <c r="W735"/>
      <c r="X735" s="447"/>
      <c r="Y735"/>
      <c r="Z735"/>
      <c r="AA735" s="447"/>
      <c r="AB735"/>
      <c r="AC735"/>
      <c r="AE735"/>
      <c r="AF735" s="447"/>
      <c r="AG735"/>
      <c r="AH735"/>
      <c r="AI735" s="447"/>
      <c r="AJ735"/>
      <c r="AK735"/>
      <c r="AL735" s="447"/>
      <c r="AM735"/>
      <c r="AN735"/>
      <c r="AO735" s="447"/>
      <c r="AP735"/>
      <c r="AQ735"/>
      <c r="AS735"/>
      <c r="AT735" s="447"/>
      <c r="AU735"/>
      <c r="AV735"/>
      <c r="AW735" s="447"/>
      <c r="AX735"/>
      <c r="AY735"/>
      <c r="AZ735" s="447"/>
      <c r="BA735"/>
      <c r="BB735"/>
      <c r="BC735" s="447"/>
      <c r="BD735"/>
      <c r="BE735"/>
    </row>
    <row r="736" spans="4:57">
      <c r="D736" s="447"/>
      <c r="G736" s="447"/>
      <c r="J736" s="447"/>
      <c r="M736" s="447"/>
      <c r="R736" s="447"/>
      <c r="S736"/>
      <c r="T736"/>
      <c r="U736" s="447"/>
      <c r="V736"/>
      <c r="W736"/>
      <c r="X736" s="447"/>
      <c r="Y736"/>
      <c r="Z736"/>
      <c r="AA736" s="447"/>
      <c r="AB736"/>
      <c r="AC736"/>
      <c r="AE736"/>
      <c r="AF736" s="447"/>
      <c r="AG736"/>
      <c r="AH736"/>
      <c r="AI736" s="447"/>
      <c r="AJ736"/>
      <c r="AK736"/>
      <c r="AL736" s="447"/>
      <c r="AM736"/>
      <c r="AN736"/>
      <c r="AO736" s="447"/>
      <c r="AP736"/>
      <c r="AQ736"/>
      <c r="AS736"/>
      <c r="AT736" s="447"/>
      <c r="AU736"/>
      <c r="AV736"/>
      <c r="AW736" s="447"/>
      <c r="AX736"/>
      <c r="AY736"/>
      <c r="AZ736" s="447"/>
      <c r="BA736"/>
      <c r="BB736"/>
      <c r="BC736" s="447"/>
      <c r="BD736"/>
      <c r="BE736"/>
    </row>
    <row r="737" spans="4:57">
      <c r="D737" s="447"/>
      <c r="G737" s="447"/>
      <c r="J737" s="447"/>
      <c r="M737" s="447"/>
      <c r="R737" s="447"/>
      <c r="S737"/>
      <c r="T737"/>
      <c r="U737" s="447"/>
      <c r="V737"/>
      <c r="W737"/>
      <c r="X737" s="447"/>
      <c r="Y737"/>
      <c r="Z737"/>
      <c r="AA737" s="447"/>
      <c r="AB737"/>
      <c r="AC737"/>
      <c r="AE737"/>
      <c r="AF737" s="447"/>
      <c r="AG737"/>
      <c r="AH737"/>
      <c r="AI737" s="447"/>
      <c r="AJ737"/>
      <c r="AK737"/>
      <c r="AL737" s="447"/>
      <c r="AM737"/>
      <c r="AN737"/>
      <c r="AO737" s="447"/>
      <c r="AP737"/>
      <c r="AQ737"/>
      <c r="AS737"/>
      <c r="AT737" s="447"/>
      <c r="AU737"/>
      <c r="AV737"/>
      <c r="AW737" s="447"/>
      <c r="AX737"/>
      <c r="AY737"/>
      <c r="AZ737" s="447"/>
      <c r="BA737"/>
      <c r="BB737"/>
      <c r="BC737" s="447"/>
      <c r="BD737"/>
      <c r="BE737"/>
    </row>
    <row r="738" spans="4:57">
      <c r="D738" s="447"/>
      <c r="G738" s="447"/>
      <c r="J738" s="447"/>
      <c r="M738" s="447"/>
      <c r="R738" s="447"/>
      <c r="S738"/>
      <c r="T738"/>
      <c r="U738" s="447"/>
      <c r="V738"/>
      <c r="W738"/>
      <c r="X738" s="447"/>
      <c r="Y738"/>
      <c r="Z738"/>
      <c r="AA738" s="447"/>
      <c r="AB738"/>
      <c r="AC738"/>
      <c r="AE738"/>
      <c r="AF738" s="447"/>
      <c r="AG738"/>
      <c r="AH738"/>
      <c r="AI738" s="447"/>
      <c r="AJ738"/>
      <c r="AK738"/>
      <c r="AL738" s="447"/>
      <c r="AM738"/>
      <c r="AN738"/>
      <c r="AO738" s="447"/>
      <c r="AP738"/>
      <c r="AQ738"/>
      <c r="AS738"/>
      <c r="AT738" s="447"/>
      <c r="AU738"/>
      <c r="AV738"/>
      <c r="AW738" s="447"/>
      <c r="AX738"/>
      <c r="AY738"/>
      <c r="AZ738" s="447"/>
      <c r="BA738"/>
      <c r="BB738"/>
      <c r="BC738" s="447"/>
      <c r="BD738"/>
      <c r="BE738"/>
    </row>
    <row r="739" spans="4:57">
      <c r="D739" s="447"/>
      <c r="G739" s="447"/>
      <c r="J739" s="447"/>
      <c r="M739" s="447"/>
      <c r="R739" s="447"/>
      <c r="S739"/>
      <c r="T739"/>
      <c r="U739" s="447"/>
      <c r="V739"/>
      <c r="W739"/>
      <c r="X739" s="447"/>
      <c r="Y739"/>
      <c r="Z739"/>
      <c r="AA739" s="447"/>
      <c r="AB739"/>
      <c r="AC739"/>
      <c r="AE739"/>
      <c r="AF739" s="447"/>
      <c r="AG739"/>
      <c r="AH739"/>
      <c r="AI739" s="447"/>
      <c r="AJ739"/>
      <c r="AK739"/>
      <c r="AL739" s="447"/>
      <c r="AM739"/>
      <c r="AN739"/>
      <c r="AO739" s="447"/>
      <c r="AP739"/>
      <c r="AQ739"/>
      <c r="AS739"/>
      <c r="AT739" s="447"/>
      <c r="AU739"/>
      <c r="AV739"/>
      <c r="AW739" s="447"/>
      <c r="AX739"/>
      <c r="AY739"/>
      <c r="AZ739" s="447"/>
      <c r="BA739"/>
      <c r="BB739"/>
      <c r="BC739" s="447"/>
      <c r="BD739"/>
      <c r="BE739"/>
    </row>
    <row r="740" spans="4:57">
      <c r="D740" s="447"/>
      <c r="G740" s="447"/>
      <c r="J740" s="447"/>
      <c r="M740" s="447"/>
      <c r="R740" s="447"/>
      <c r="S740"/>
      <c r="T740"/>
      <c r="U740" s="447"/>
      <c r="V740"/>
      <c r="W740"/>
      <c r="X740" s="447"/>
      <c r="Y740"/>
      <c r="Z740"/>
      <c r="AA740" s="447"/>
      <c r="AB740"/>
      <c r="AC740"/>
      <c r="AE740"/>
      <c r="AF740" s="447"/>
      <c r="AG740"/>
      <c r="AH740"/>
      <c r="AI740" s="447"/>
      <c r="AJ740"/>
      <c r="AK740"/>
      <c r="AL740" s="447"/>
      <c r="AM740"/>
      <c r="AN740"/>
      <c r="AO740" s="447"/>
      <c r="AP740"/>
      <c r="AQ740"/>
      <c r="AS740"/>
      <c r="AT740" s="447"/>
      <c r="AU740"/>
      <c r="AV740"/>
      <c r="AW740" s="447"/>
      <c r="AX740"/>
      <c r="AY740"/>
      <c r="AZ740" s="447"/>
      <c r="BA740"/>
      <c r="BB740"/>
      <c r="BC740" s="447"/>
      <c r="BD740"/>
      <c r="BE740"/>
    </row>
    <row r="741" spans="4:57">
      <c r="D741" s="447"/>
      <c r="G741" s="447"/>
      <c r="J741" s="447"/>
      <c r="M741" s="447"/>
      <c r="R741" s="447"/>
      <c r="S741"/>
      <c r="T741"/>
      <c r="U741" s="447"/>
      <c r="V741"/>
      <c r="W741"/>
      <c r="X741" s="447"/>
      <c r="Y741"/>
      <c r="Z741"/>
      <c r="AA741" s="447"/>
      <c r="AB741"/>
      <c r="AC741"/>
      <c r="AE741"/>
      <c r="AF741" s="447"/>
      <c r="AG741"/>
      <c r="AH741"/>
      <c r="AI741" s="447"/>
      <c r="AJ741"/>
      <c r="AK741"/>
      <c r="AL741" s="447"/>
      <c r="AM741"/>
      <c r="AN741"/>
      <c r="AO741" s="447"/>
      <c r="AP741"/>
      <c r="AQ741"/>
      <c r="AS741"/>
      <c r="AT741" s="447"/>
      <c r="AU741"/>
      <c r="AV741"/>
      <c r="AW741" s="447"/>
      <c r="AX741"/>
      <c r="AY741"/>
      <c r="AZ741" s="447"/>
      <c r="BA741"/>
      <c r="BB741"/>
      <c r="BC741" s="447"/>
      <c r="BD741"/>
      <c r="BE741"/>
    </row>
    <row r="742" spans="4:57">
      <c r="D742" s="447"/>
      <c r="G742" s="447"/>
      <c r="J742" s="447"/>
      <c r="M742" s="447"/>
      <c r="R742" s="447"/>
      <c r="S742"/>
      <c r="T742"/>
      <c r="U742" s="447"/>
      <c r="V742"/>
      <c r="W742"/>
      <c r="X742" s="447"/>
      <c r="Y742"/>
      <c r="Z742"/>
      <c r="AA742" s="447"/>
      <c r="AB742"/>
      <c r="AC742"/>
      <c r="AE742"/>
      <c r="AF742" s="447"/>
      <c r="AG742"/>
      <c r="AH742"/>
      <c r="AI742" s="447"/>
      <c r="AJ742"/>
      <c r="AK742"/>
      <c r="AL742" s="447"/>
      <c r="AM742"/>
      <c r="AN742"/>
      <c r="AO742" s="447"/>
      <c r="AP742"/>
      <c r="AQ742"/>
      <c r="AS742"/>
      <c r="AT742" s="447"/>
      <c r="AU742"/>
      <c r="AV742"/>
      <c r="AW742" s="447"/>
      <c r="AX742"/>
      <c r="AY742"/>
      <c r="AZ742" s="447"/>
      <c r="BA742"/>
      <c r="BB742"/>
      <c r="BC742" s="447"/>
      <c r="BD742"/>
      <c r="BE742"/>
    </row>
    <row r="743" spans="4:57">
      <c r="D743" s="447"/>
      <c r="G743" s="447"/>
      <c r="J743" s="447"/>
      <c r="M743" s="447"/>
      <c r="R743" s="447"/>
      <c r="S743"/>
      <c r="T743"/>
      <c r="U743" s="447"/>
      <c r="V743"/>
      <c r="W743"/>
      <c r="X743" s="447"/>
      <c r="Y743"/>
      <c r="Z743"/>
      <c r="AA743" s="447"/>
      <c r="AB743"/>
      <c r="AC743"/>
      <c r="AE743"/>
      <c r="AF743" s="447"/>
      <c r="AG743"/>
      <c r="AH743"/>
      <c r="AI743" s="447"/>
      <c r="AJ743"/>
      <c r="AK743"/>
      <c r="AL743" s="447"/>
      <c r="AM743"/>
      <c r="AN743"/>
      <c r="AO743" s="447"/>
      <c r="AP743"/>
      <c r="AQ743"/>
      <c r="AS743"/>
      <c r="AT743" s="447"/>
      <c r="AU743"/>
      <c r="AV743"/>
      <c r="AW743" s="447"/>
      <c r="AX743"/>
      <c r="AY743"/>
      <c r="AZ743" s="447"/>
      <c r="BA743"/>
      <c r="BB743"/>
      <c r="BC743" s="447"/>
      <c r="BD743"/>
      <c r="BE743"/>
    </row>
    <row r="744" spans="4:57">
      <c r="D744" s="447"/>
      <c r="G744" s="447"/>
      <c r="J744" s="447"/>
      <c r="M744" s="447"/>
      <c r="R744" s="447"/>
      <c r="S744"/>
      <c r="T744"/>
      <c r="U744" s="447"/>
      <c r="V744"/>
      <c r="W744"/>
      <c r="X744" s="447"/>
      <c r="Y744"/>
      <c r="Z744"/>
      <c r="AA744" s="447"/>
      <c r="AB744"/>
      <c r="AC744"/>
      <c r="AE744"/>
      <c r="AF744" s="447"/>
      <c r="AG744"/>
      <c r="AH744"/>
      <c r="AI744" s="447"/>
      <c r="AJ744"/>
      <c r="AK744"/>
      <c r="AL744" s="447"/>
      <c r="AM744"/>
      <c r="AN744"/>
      <c r="AO744" s="447"/>
      <c r="AP744"/>
      <c r="AQ744"/>
      <c r="AS744"/>
      <c r="AT744" s="447"/>
      <c r="AU744"/>
      <c r="AV744"/>
      <c r="AW744" s="447"/>
      <c r="AX744"/>
      <c r="AY744"/>
      <c r="AZ744" s="447"/>
      <c r="BA744"/>
      <c r="BB744"/>
      <c r="BC744" s="447"/>
      <c r="BD744"/>
      <c r="BE744"/>
    </row>
    <row r="745" spans="4:57">
      <c r="D745" s="447"/>
      <c r="G745" s="447"/>
      <c r="J745" s="447"/>
      <c r="M745" s="447"/>
      <c r="R745" s="447"/>
      <c r="S745"/>
      <c r="T745"/>
      <c r="U745" s="447"/>
      <c r="V745"/>
      <c r="W745"/>
      <c r="X745" s="447"/>
      <c r="Y745"/>
      <c r="Z745"/>
      <c r="AA745" s="447"/>
      <c r="AB745"/>
      <c r="AC745"/>
      <c r="AE745"/>
      <c r="AF745" s="447"/>
      <c r="AG745"/>
      <c r="AH745"/>
      <c r="AI745" s="447"/>
      <c r="AJ745"/>
      <c r="AK745"/>
      <c r="AL745" s="447"/>
      <c r="AM745"/>
      <c r="AN745"/>
      <c r="AO745" s="447"/>
      <c r="AP745"/>
      <c r="AQ745"/>
      <c r="AS745"/>
      <c r="AT745" s="447"/>
      <c r="AU745"/>
      <c r="AV745"/>
      <c r="AW745" s="447"/>
      <c r="AX745"/>
      <c r="AY745"/>
      <c r="AZ745" s="447"/>
      <c r="BA745"/>
      <c r="BB745"/>
      <c r="BC745" s="447"/>
      <c r="BD745"/>
      <c r="BE745"/>
    </row>
    <row r="746" spans="4:57">
      <c r="D746" s="447"/>
      <c r="G746" s="447"/>
      <c r="J746" s="447"/>
      <c r="M746" s="447"/>
      <c r="R746" s="447"/>
      <c r="S746"/>
      <c r="T746"/>
      <c r="U746" s="447"/>
      <c r="V746"/>
      <c r="W746"/>
      <c r="X746" s="447"/>
      <c r="Y746"/>
      <c r="Z746"/>
      <c r="AA746" s="447"/>
      <c r="AB746"/>
      <c r="AC746"/>
      <c r="AE746"/>
      <c r="AF746" s="447"/>
      <c r="AG746"/>
      <c r="AH746"/>
      <c r="AI746" s="447"/>
      <c r="AJ746"/>
      <c r="AK746"/>
      <c r="AL746" s="447"/>
      <c r="AM746"/>
      <c r="AN746"/>
      <c r="AO746" s="447"/>
      <c r="AP746"/>
      <c r="AQ746"/>
      <c r="AS746"/>
      <c r="AT746" s="447"/>
      <c r="AU746"/>
      <c r="AV746"/>
      <c r="AW746" s="447"/>
      <c r="AX746"/>
      <c r="AY746"/>
      <c r="AZ746" s="447"/>
      <c r="BA746"/>
      <c r="BB746"/>
      <c r="BC746" s="447"/>
      <c r="BD746"/>
      <c r="BE746"/>
    </row>
    <row r="747" spans="4:57">
      <c r="D747" s="447"/>
      <c r="G747" s="447"/>
      <c r="J747" s="447"/>
      <c r="M747" s="447"/>
      <c r="R747" s="447"/>
      <c r="S747"/>
      <c r="T747"/>
      <c r="U747" s="447"/>
      <c r="V747"/>
      <c r="W747"/>
      <c r="X747" s="447"/>
      <c r="Y747"/>
      <c r="Z747"/>
      <c r="AA747" s="447"/>
      <c r="AB747"/>
      <c r="AC747"/>
      <c r="AE747"/>
      <c r="AF747" s="447"/>
      <c r="AG747"/>
      <c r="AH747"/>
      <c r="AI747" s="447"/>
      <c r="AJ747"/>
      <c r="AK747"/>
      <c r="AL747" s="447"/>
      <c r="AM747"/>
      <c r="AN747"/>
      <c r="AO747" s="447"/>
      <c r="AP747"/>
      <c r="AQ747"/>
      <c r="AS747"/>
      <c r="AT747" s="447"/>
      <c r="AU747"/>
      <c r="AV747"/>
      <c r="AW747" s="447"/>
      <c r="AX747"/>
      <c r="AY747"/>
      <c r="AZ747" s="447"/>
      <c r="BA747"/>
      <c r="BB747"/>
      <c r="BC747" s="447"/>
      <c r="BD747"/>
      <c r="BE747"/>
    </row>
    <row r="748" spans="4:57">
      <c r="D748" s="447"/>
      <c r="G748" s="447"/>
      <c r="J748" s="447"/>
      <c r="M748" s="447"/>
      <c r="R748" s="447"/>
      <c r="S748"/>
      <c r="T748"/>
      <c r="U748" s="447"/>
      <c r="V748"/>
      <c r="W748"/>
      <c r="X748" s="447"/>
      <c r="Y748"/>
      <c r="Z748"/>
      <c r="AA748" s="447"/>
      <c r="AB748"/>
      <c r="AC748"/>
      <c r="AE748"/>
      <c r="AF748" s="447"/>
      <c r="AG748"/>
      <c r="AH748"/>
      <c r="AI748" s="447"/>
      <c r="AJ748"/>
      <c r="AK748"/>
      <c r="AL748" s="447"/>
      <c r="AM748"/>
      <c r="AN748"/>
      <c r="AO748" s="447"/>
      <c r="AP748"/>
      <c r="AQ748"/>
      <c r="AS748"/>
      <c r="AT748" s="447"/>
      <c r="AU748"/>
      <c r="AV748"/>
      <c r="AW748" s="447"/>
      <c r="AX748"/>
      <c r="AY748"/>
      <c r="AZ748" s="447"/>
      <c r="BA748"/>
      <c r="BB748"/>
      <c r="BC748" s="447"/>
      <c r="BD748"/>
      <c r="BE748"/>
    </row>
    <row r="749" spans="4:57">
      <c r="D749" s="447"/>
      <c r="G749" s="447"/>
      <c r="J749" s="447"/>
      <c r="M749" s="447"/>
      <c r="R749" s="447"/>
      <c r="S749"/>
      <c r="T749"/>
      <c r="U749" s="447"/>
      <c r="V749"/>
      <c r="W749"/>
      <c r="X749" s="447"/>
      <c r="Y749"/>
      <c r="Z749"/>
      <c r="AA749" s="447"/>
      <c r="AB749"/>
      <c r="AC749"/>
      <c r="AE749"/>
      <c r="AF749" s="447"/>
      <c r="AG749"/>
      <c r="AH749"/>
      <c r="AI749" s="447"/>
      <c r="AJ749"/>
      <c r="AK749"/>
      <c r="AL749" s="447"/>
      <c r="AM749"/>
      <c r="AN749"/>
      <c r="AO749" s="447"/>
      <c r="AP749"/>
      <c r="AQ749"/>
      <c r="AS749"/>
      <c r="AT749" s="447"/>
      <c r="AU749"/>
      <c r="AV749"/>
      <c r="AW749" s="447"/>
      <c r="AX749"/>
      <c r="AY749"/>
      <c r="AZ749" s="447"/>
      <c r="BA749"/>
      <c r="BB749"/>
      <c r="BC749" s="447"/>
      <c r="BD749"/>
      <c r="BE749"/>
    </row>
    <row r="750" spans="4:57">
      <c r="D750" s="447"/>
      <c r="G750" s="447"/>
      <c r="J750" s="447"/>
      <c r="M750" s="447"/>
      <c r="R750" s="447"/>
      <c r="S750"/>
      <c r="T750"/>
      <c r="U750" s="447"/>
      <c r="V750"/>
      <c r="W750"/>
      <c r="X750" s="447"/>
      <c r="Y750"/>
      <c r="Z750"/>
      <c r="AA750" s="447"/>
      <c r="AB750"/>
      <c r="AC750"/>
      <c r="AE750"/>
      <c r="AF750" s="447"/>
      <c r="AG750"/>
      <c r="AH750"/>
      <c r="AI750" s="447"/>
      <c r="AJ750"/>
      <c r="AK750"/>
      <c r="AL750" s="447"/>
      <c r="AM750"/>
      <c r="AN750"/>
      <c r="AO750" s="447"/>
      <c r="AP750"/>
      <c r="AQ750"/>
      <c r="AS750"/>
      <c r="AT750" s="447"/>
      <c r="AU750"/>
      <c r="AV750"/>
      <c r="AW750" s="447"/>
      <c r="AX750"/>
      <c r="AY750"/>
      <c r="AZ750" s="447"/>
      <c r="BA750"/>
      <c r="BB750"/>
      <c r="BC750" s="447"/>
      <c r="BD750"/>
      <c r="BE750"/>
    </row>
    <row r="751" spans="4:57">
      <c r="D751" s="447"/>
      <c r="G751" s="447"/>
      <c r="J751" s="447"/>
      <c r="M751" s="447"/>
      <c r="R751" s="447"/>
      <c r="S751"/>
      <c r="T751"/>
      <c r="U751" s="447"/>
      <c r="V751"/>
      <c r="W751"/>
      <c r="X751" s="447"/>
      <c r="Y751"/>
      <c r="Z751"/>
      <c r="AA751" s="447"/>
      <c r="AB751"/>
      <c r="AC751"/>
      <c r="AE751"/>
      <c r="AF751" s="447"/>
      <c r="AG751"/>
      <c r="AH751"/>
      <c r="AI751" s="447"/>
      <c r="AJ751"/>
      <c r="AK751"/>
      <c r="AL751" s="447"/>
      <c r="AM751"/>
      <c r="AN751"/>
      <c r="AO751" s="447"/>
      <c r="AP751"/>
      <c r="AQ751"/>
      <c r="AS751"/>
      <c r="AT751" s="447"/>
      <c r="AU751"/>
      <c r="AV751"/>
      <c r="AW751" s="447"/>
      <c r="AX751"/>
      <c r="AY751"/>
      <c r="AZ751" s="447"/>
      <c r="BA751"/>
      <c r="BB751"/>
      <c r="BC751" s="447"/>
      <c r="BD751"/>
      <c r="BE751"/>
    </row>
    <row r="752" spans="4:57">
      <c r="D752" s="447"/>
      <c r="G752" s="447"/>
      <c r="J752" s="447"/>
      <c r="M752" s="447"/>
      <c r="R752" s="447"/>
      <c r="S752"/>
      <c r="T752"/>
      <c r="U752" s="447"/>
      <c r="V752"/>
      <c r="W752"/>
      <c r="X752" s="447"/>
      <c r="Y752"/>
      <c r="Z752"/>
      <c r="AA752" s="447"/>
      <c r="AB752"/>
      <c r="AC752"/>
      <c r="AE752"/>
      <c r="AF752" s="447"/>
      <c r="AG752"/>
      <c r="AH752"/>
      <c r="AI752" s="447"/>
      <c r="AJ752"/>
      <c r="AK752"/>
      <c r="AL752" s="447"/>
      <c r="AM752"/>
      <c r="AN752"/>
      <c r="AO752" s="447"/>
      <c r="AP752"/>
      <c r="AQ752"/>
      <c r="AS752"/>
      <c r="AT752" s="447"/>
      <c r="AU752"/>
      <c r="AV752"/>
      <c r="AW752" s="447"/>
      <c r="AX752"/>
      <c r="AY752"/>
      <c r="AZ752" s="447"/>
      <c r="BA752"/>
      <c r="BB752"/>
      <c r="BC752" s="447"/>
      <c r="BD752"/>
      <c r="BE752"/>
    </row>
    <row r="753" spans="4:57">
      <c r="D753" s="447"/>
      <c r="G753" s="447"/>
      <c r="J753" s="447"/>
      <c r="M753" s="447"/>
      <c r="R753" s="447"/>
      <c r="S753"/>
      <c r="T753"/>
      <c r="U753" s="447"/>
      <c r="V753"/>
      <c r="W753"/>
      <c r="X753" s="447"/>
      <c r="Y753"/>
      <c r="Z753"/>
      <c r="AA753" s="447"/>
      <c r="AB753"/>
      <c r="AC753"/>
      <c r="AE753"/>
      <c r="AF753" s="447"/>
      <c r="AG753"/>
      <c r="AH753"/>
      <c r="AI753" s="447"/>
      <c r="AJ753"/>
      <c r="AK753"/>
      <c r="AL753" s="447"/>
      <c r="AM753"/>
      <c r="AN753"/>
      <c r="AO753" s="447"/>
      <c r="AP753"/>
      <c r="AQ753"/>
      <c r="AS753"/>
      <c r="AT753" s="447"/>
      <c r="AU753"/>
      <c r="AV753"/>
      <c r="AW753" s="447"/>
      <c r="AX753"/>
      <c r="AY753"/>
      <c r="AZ753" s="447"/>
      <c r="BA753"/>
      <c r="BB753"/>
      <c r="BC753" s="447"/>
      <c r="BD753"/>
      <c r="BE753"/>
    </row>
    <row r="754" spans="4:57">
      <c r="D754" s="447"/>
      <c r="G754" s="447"/>
      <c r="J754" s="447"/>
      <c r="M754" s="447"/>
      <c r="R754" s="447"/>
      <c r="S754"/>
      <c r="T754"/>
      <c r="U754" s="447"/>
      <c r="V754"/>
      <c r="W754"/>
      <c r="X754" s="447"/>
      <c r="Y754"/>
      <c r="Z754"/>
      <c r="AA754" s="447"/>
      <c r="AB754"/>
      <c r="AC754"/>
      <c r="AE754"/>
      <c r="AF754" s="447"/>
      <c r="AG754"/>
      <c r="AH754"/>
      <c r="AI754" s="447"/>
      <c r="AJ754"/>
      <c r="AK754"/>
      <c r="AL754" s="447"/>
      <c r="AM754"/>
      <c r="AN754"/>
      <c r="AO754" s="447"/>
      <c r="AP754"/>
      <c r="AQ754"/>
      <c r="AS754"/>
      <c r="AT754" s="447"/>
      <c r="AU754"/>
      <c r="AV754"/>
      <c r="AW754" s="447"/>
      <c r="AX754"/>
      <c r="AY754"/>
      <c r="AZ754" s="447"/>
      <c r="BA754"/>
      <c r="BB754"/>
      <c r="BC754" s="447"/>
      <c r="BD754"/>
      <c r="BE754"/>
    </row>
    <row r="755" spans="4:57">
      <c r="D755" s="447"/>
      <c r="G755" s="447"/>
      <c r="J755" s="447"/>
      <c r="M755" s="447"/>
      <c r="R755" s="447"/>
      <c r="S755"/>
      <c r="T755"/>
      <c r="U755" s="447"/>
      <c r="V755"/>
      <c r="W755"/>
      <c r="X755" s="447"/>
      <c r="Y755"/>
      <c r="Z755"/>
      <c r="AA755" s="447"/>
      <c r="AB755"/>
      <c r="AC755"/>
      <c r="AE755"/>
      <c r="AF755" s="447"/>
      <c r="AG755"/>
      <c r="AH755"/>
      <c r="AI755" s="447"/>
      <c r="AJ755"/>
      <c r="AK755"/>
      <c r="AL755" s="447"/>
      <c r="AM755"/>
      <c r="AN755"/>
      <c r="AO755" s="447"/>
      <c r="AP755"/>
      <c r="AQ755"/>
      <c r="AS755"/>
      <c r="AT755" s="447"/>
      <c r="AU755"/>
      <c r="AV755"/>
      <c r="AW755" s="447"/>
      <c r="AX755"/>
      <c r="AY755"/>
      <c r="AZ755" s="447"/>
      <c r="BA755"/>
      <c r="BB755"/>
      <c r="BC755" s="447"/>
      <c r="BD755"/>
      <c r="BE755"/>
    </row>
    <row r="756" spans="4:57">
      <c r="D756" s="447"/>
      <c r="G756" s="447"/>
      <c r="J756" s="447"/>
      <c r="M756" s="447"/>
      <c r="R756" s="447"/>
      <c r="S756"/>
      <c r="T756"/>
      <c r="U756" s="447"/>
      <c r="V756"/>
      <c r="W756"/>
      <c r="X756" s="447"/>
      <c r="Y756"/>
      <c r="Z756"/>
      <c r="AA756" s="447"/>
      <c r="AB756"/>
      <c r="AC756"/>
      <c r="AE756"/>
      <c r="AF756" s="447"/>
      <c r="AG756"/>
      <c r="AH756"/>
      <c r="AI756" s="447"/>
      <c r="AJ756"/>
      <c r="AK756"/>
      <c r="AL756" s="447"/>
      <c r="AM756"/>
      <c r="AN756"/>
      <c r="AO756" s="447"/>
      <c r="AP756"/>
      <c r="AQ756"/>
      <c r="AS756"/>
      <c r="AT756" s="447"/>
      <c r="AU756"/>
      <c r="AV756"/>
      <c r="AW756" s="447"/>
      <c r="AX756"/>
      <c r="AY756"/>
      <c r="AZ756" s="447"/>
      <c r="BA756"/>
      <c r="BB756"/>
      <c r="BC756" s="447"/>
      <c r="BD756"/>
      <c r="BE756"/>
    </row>
    <row r="757" spans="4:57">
      <c r="D757" s="447"/>
      <c r="G757" s="447"/>
      <c r="J757" s="447"/>
      <c r="M757" s="447"/>
      <c r="R757" s="447"/>
      <c r="S757"/>
      <c r="T757"/>
      <c r="U757" s="447"/>
      <c r="V757"/>
      <c r="W757"/>
      <c r="X757" s="447"/>
      <c r="Y757"/>
      <c r="Z757"/>
      <c r="AA757" s="447"/>
      <c r="AB757"/>
      <c r="AC757"/>
      <c r="AE757"/>
      <c r="AF757" s="447"/>
      <c r="AG757"/>
      <c r="AH757"/>
      <c r="AI757" s="447"/>
      <c r="AJ757"/>
      <c r="AK757"/>
      <c r="AL757" s="447"/>
      <c r="AM757"/>
      <c r="AN757"/>
      <c r="AO757" s="447"/>
      <c r="AP757"/>
      <c r="AQ757"/>
      <c r="AS757"/>
      <c r="AT757" s="447"/>
      <c r="AU757"/>
      <c r="AV757"/>
      <c r="AW757" s="447"/>
      <c r="AX757"/>
      <c r="AY757"/>
      <c r="AZ757" s="447"/>
      <c r="BA757"/>
      <c r="BB757"/>
      <c r="BC757" s="447"/>
      <c r="BD757"/>
      <c r="BE757"/>
    </row>
    <row r="758" spans="4:57">
      <c r="D758" s="447"/>
      <c r="G758" s="447"/>
      <c r="J758" s="447"/>
      <c r="M758" s="447"/>
      <c r="R758" s="447"/>
      <c r="S758"/>
      <c r="T758"/>
      <c r="U758" s="447"/>
      <c r="V758"/>
      <c r="W758"/>
      <c r="X758" s="447"/>
      <c r="Y758"/>
      <c r="Z758"/>
      <c r="AA758" s="447"/>
      <c r="AB758"/>
      <c r="AC758"/>
      <c r="AE758"/>
      <c r="AF758" s="447"/>
      <c r="AG758"/>
      <c r="AH758"/>
      <c r="AI758" s="447"/>
      <c r="AJ758"/>
      <c r="AK758"/>
      <c r="AL758" s="447"/>
      <c r="AM758"/>
      <c r="AN758"/>
      <c r="AO758" s="447"/>
      <c r="AP758"/>
      <c r="AQ758"/>
      <c r="AS758"/>
      <c r="AT758" s="447"/>
      <c r="AU758"/>
      <c r="AV758"/>
      <c r="AW758" s="447"/>
      <c r="AX758"/>
      <c r="AY758"/>
      <c r="AZ758" s="447"/>
      <c r="BA758"/>
      <c r="BB758"/>
      <c r="BC758" s="447"/>
      <c r="BD758"/>
      <c r="BE758"/>
    </row>
    <row r="759" spans="4:57">
      <c r="D759" s="447"/>
      <c r="G759" s="447"/>
      <c r="J759" s="447"/>
      <c r="M759" s="447"/>
      <c r="R759" s="447"/>
      <c r="S759"/>
      <c r="T759"/>
      <c r="U759" s="447"/>
      <c r="V759"/>
      <c r="W759"/>
      <c r="X759" s="447"/>
      <c r="Y759"/>
      <c r="Z759"/>
      <c r="AA759" s="447"/>
      <c r="AB759"/>
      <c r="AC759"/>
      <c r="AE759"/>
      <c r="AF759" s="447"/>
      <c r="AG759"/>
      <c r="AH759"/>
      <c r="AI759" s="447"/>
      <c r="AJ759"/>
      <c r="AK759"/>
      <c r="AL759" s="447"/>
      <c r="AM759"/>
      <c r="AN759"/>
      <c r="AO759" s="447"/>
      <c r="AP759"/>
      <c r="AQ759"/>
      <c r="AS759"/>
      <c r="AT759" s="447"/>
      <c r="AU759"/>
      <c r="AV759"/>
      <c r="AW759" s="447"/>
      <c r="AX759"/>
      <c r="AY759"/>
      <c r="AZ759" s="447"/>
      <c r="BA759"/>
      <c r="BB759"/>
      <c r="BC759" s="447"/>
      <c r="BD759"/>
      <c r="BE759"/>
    </row>
    <row r="760" spans="4:57">
      <c r="D760" s="447"/>
      <c r="G760" s="447"/>
      <c r="J760" s="447"/>
      <c r="M760" s="447"/>
      <c r="R760" s="447"/>
      <c r="S760"/>
      <c r="T760"/>
      <c r="U760" s="447"/>
      <c r="V760"/>
      <c r="W760"/>
      <c r="X760" s="447"/>
      <c r="Y760"/>
      <c r="Z760"/>
      <c r="AA760" s="447"/>
      <c r="AB760"/>
      <c r="AC760"/>
      <c r="AE760"/>
      <c r="AF760" s="447"/>
      <c r="AG760"/>
      <c r="AH760"/>
      <c r="AI760" s="447"/>
      <c r="AJ760"/>
      <c r="AK760"/>
      <c r="AL760" s="447"/>
      <c r="AM760"/>
      <c r="AN760"/>
      <c r="AO760" s="447"/>
      <c r="AP760"/>
      <c r="AQ760"/>
      <c r="AS760"/>
      <c r="AT760" s="447"/>
      <c r="AU760"/>
      <c r="AV760"/>
      <c r="AW760" s="447"/>
      <c r="AX760"/>
      <c r="AY760"/>
      <c r="AZ760" s="447"/>
      <c r="BA760"/>
      <c r="BB760"/>
      <c r="BC760" s="447"/>
      <c r="BD760"/>
      <c r="BE760"/>
    </row>
    <row r="761" spans="4:57">
      <c r="D761" s="447"/>
      <c r="G761" s="447"/>
      <c r="J761" s="447"/>
      <c r="M761" s="447"/>
      <c r="R761" s="447"/>
      <c r="S761"/>
      <c r="T761"/>
      <c r="U761" s="447"/>
      <c r="V761"/>
      <c r="W761"/>
      <c r="X761" s="447"/>
      <c r="Y761"/>
      <c r="Z761"/>
      <c r="AA761" s="447"/>
      <c r="AB761"/>
      <c r="AC761"/>
      <c r="AE761"/>
      <c r="AF761" s="447"/>
      <c r="AG761"/>
      <c r="AH761"/>
      <c r="AI761" s="447"/>
      <c r="AJ761"/>
      <c r="AK761"/>
      <c r="AL761" s="447"/>
      <c r="AM761"/>
      <c r="AN761"/>
      <c r="AO761" s="447"/>
      <c r="AP761"/>
      <c r="AQ761"/>
      <c r="AS761"/>
      <c r="AT761" s="447"/>
      <c r="AU761"/>
      <c r="AV761"/>
      <c r="AW761" s="447"/>
      <c r="AX761"/>
      <c r="AY761"/>
      <c r="AZ761" s="447"/>
      <c r="BA761"/>
      <c r="BB761"/>
      <c r="BC761" s="447"/>
      <c r="BD761"/>
      <c r="BE761"/>
    </row>
    <row r="762" spans="4:57">
      <c r="D762" s="447"/>
      <c r="G762" s="447"/>
      <c r="J762" s="447"/>
      <c r="M762" s="447"/>
      <c r="R762" s="447"/>
      <c r="S762"/>
      <c r="T762"/>
      <c r="U762" s="447"/>
      <c r="V762"/>
      <c r="W762"/>
      <c r="X762" s="447"/>
      <c r="Y762"/>
      <c r="Z762"/>
      <c r="AA762" s="447"/>
      <c r="AB762"/>
      <c r="AC762"/>
      <c r="AE762"/>
      <c r="AF762" s="447"/>
      <c r="AG762"/>
      <c r="AH762"/>
      <c r="AI762" s="447"/>
      <c r="AJ762"/>
      <c r="AK762"/>
      <c r="AL762" s="447"/>
      <c r="AM762"/>
      <c r="AN762"/>
      <c r="AO762" s="447"/>
      <c r="AP762"/>
      <c r="AQ762"/>
      <c r="AS762"/>
      <c r="AT762" s="447"/>
      <c r="AU762"/>
      <c r="AV762"/>
      <c r="AW762" s="447"/>
      <c r="AX762"/>
      <c r="AY762"/>
      <c r="AZ762" s="447"/>
      <c r="BA762"/>
      <c r="BB762"/>
      <c r="BC762" s="447"/>
      <c r="BD762"/>
      <c r="BE762"/>
    </row>
    <row r="763" spans="4:57">
      <c r="D763" s="447"/>
      <c r="G763" s="447"/>
      <c r="J763" s="447"/>
      <c r="M763" s="447"/>
      <c r="R763" s="447"/>
      <c r="S763"/>
      <c r="T763"/>
      <c r="U763" s="447"/>
      <c r="V763"/>
      <c r="W763"/>
      <c r="X763" s="447"/>
      <c r="Y763"/>
      <c r="Z763"/>
      <c r="AA763" s="447"/>
      <c r="AB763"/>
      <c r="AC763"/>
      <c r="AE763"/>
      <c r="AF763" s="447"/>
      <c r="AG763"/>
      <c r="AH763"/>
      <c r="AI763" s="447"/>
      <c r="AJ763"/>
      <c r="AK763"/>
      <c r="AL763" s="447"/>
      <c r="AM763"/>
      <c r="AN763"/>
      <c r="AO763" s="447"/>
      <c r="AP763"/>
      <c r="AQ763"/>
      <c r="AS763"/>
      <c r="AT763" s="447"/>
      <c r="AU763"/>
      <c r="AV763"/>
      <c r="AW763" s="447"/>
      <c r="AX763"/>
      <c r="AY763"/>
      <c r="AZ763" s="447"/>
      <c r="BA763"/>
      <c r="BB763"/>
      <c r="BC763" s="447"/>
      <c r="BD763"/>
      <c r="BE763"/>
    </row>
    <row r="764" spans="4:57">
      <c r="D764" s="447"/>
      <c r="G764" s="447"/>
      <c r="J764" s="447"/>
      <c r="M764" s="447"/>
      <c r="R764" s="447"/>
      <c r="S764"/>
      <c r="T764"/>
      <c r="U764" s="447"/>
      <c r="V764"/>
      <c r="W764"/>
      <c r="X764" s="447"/>
      <c r="Y764"/>
      <c r="Z764"/>
      <c r="AA764" s="447"/>
      <c r="AB764"/>
      <c r="AC764"/>
      <c r="AE764"/>
      <c r="AF764" s="447"/>
      <c r="AG764"/>
      <c r="AH764"/>
      <c r="AI764" s="447"/>
      <c r="AJ764"/>
      <c r="AK764"/>
      <c r="AL764" s="447"/>
      <c r="AM764"/>
      <c r="AN764"/>
      <c r="AO764" s="447"/>
      <c r="AP764"/>
      <c r="AQ764"/>
      <c r="AS764"/>
      <c r="AT764" s="447"/>
      <c r="AU764"/>
      <c r="AV764"/>
      <c r="AW764" s="447"/>
      <c r="AX764"/>
      <c r="AY764"/>
      <c r="AZ764" s="447"/>
      <c r="BA764"/>
      <c r="BB764"/>
      <c r="BC764" s="447"/>
      <c r="BD764"/>
      <c r="BE764"/>
    </row>
    <row r="765" spans="4:57">
      <c r="D765" s="447"/>
      <c r="G765" s="447"/>
      <c r="J765" s="447"/>
      <c r="M765" s="447"/>
      <c r="R765" s="447"/>
      <c r="S765"/>
      <c r="T765"/>
      <c r="U765" s="447"/>
      <c r="V765"/>
      <c r="W765"/>
      <c r="X765" s="447"/>
      <c r="Y765"/>
      <c r="Z765"/>
      <c r="AA765" s="447"/>
      <c r="AB765"/>
      <c r="AC765"/>
      <c r="AE765"/>
      <c r="AF765" s="447"/>
      <c r="AG765"/>
      <c r="AH765"/>
      <c r="AI765" s="447"/>
      <c r="AJ765"/>
      <c r="AK765"/>
      <c r="AL765" s="447"/>
      <c r="AM765"/>
      <c r="AN765"/>
      <c r="AO765" s="447"/>
      <c r="AP765"/>
      <c r="AQ765"/>
      <c r="AS765"/>
      <c r="AT765" s="447"/>
      <c r="AU765"/>
      <c r="AV765"/>
      <c r="AW765" s="447"/>
      <c r="AX765"/>
      <c r="AY765"/>
      <c r="AZ765" s="447"/>
      <c r="BA765"/>
      <c r="BB765"/>
      <c r="BC765" s="447"/>
      <c r="BD765"/>
      <c r="BE765"/>
    </row>
    <row r="766" spans="4:57">
      <c r="D766" s="447"/>
      <c r="G766" s="447"/>
      <c r="J766" s="447"/>
      <c r="M766" s="447"/>
      <c r="R766" s="447"/>
      <c r="S766"/>
      <c r="T766"/>
      <c r="U766" s="447"/>
      <c r="V766"/>
      <c r="W766"/>
      <c r="X766" s="447"/>
      <c r="Y766"/>
      <c r="Z766"/>
      <c r="AA766" s="447"/>
      <c r="AB766"/>
      <c r="AC766"/>
      <c r="AE766"/>
      <c r="AF766" s="447"/>
      <c r="AG766"/>
      <c r="AH766"/>
      <c r="AI766" s="447"/>
      <c r="AJ766"/>
      <c r="AK766"/>
      <c r="AL766" s="447"/>
      <c r="AM766"/>
      <c r="AN766"/>
      <c r="AO766" s="447"/>
      <c r="AP766"/>
      <c r="AQ766"/>
      <c r="AS766"/>
      <c r="AT766" s="447"/>
      <c r="AU766"/>
      <c r="AV766"/>
      <c r="AW766" s="447"/>
      <c r="AX766"/>
      <c r="AY766"/>
      <c r="AZ766" s="447"/>
      <c r="BA766"/>
      <c r="BB766"/>
      <c r="BC766" s="447"/>
      <c r="BD766"/>
      <c r="BE766"/>
    </row>
    <row r="767" spans="4:57">
      <c r="D767" s="447"/>
      <c r="G767" s="447"/>
      <c r="J767" s="447"/>
      <c r="M767" s="447"/>
      <c r="R767" s="447"/>
      <c r="S767"/>
      <c r="T767"/>
      <c r="U767" s="447"/>
      <c r="V767"/>
      <c r="W767"/>
      <c r="X767" s="447"/>
      <c r="Y767"/>
      <c r="Z767"/>
      <c r="AA767" s="447"/>
      <c r="AB767"/>
      <c r="AC767"/>
      <c r="AE767"/>
      <c r="AF767" s="447"/>
      <c r="AG767"/>
      <c r="AH767"/>
      <c r="AI767" s="447"/>
      <c r="AJ767"/>
      <c r="AK767"/>
      <c r="AL767" s="447"/>
      <c r="AM767"/>
      <c r="AN767"/>
      <c r="AO767" s="447"/>
      <c r="AP767"/>
      <c r="AQ767"/>
      <c r="AS767"/>
      <c r="AT767" s="447"/>
      <c r="AU767"/>
      <c r="AV767"/>
      <c r="AW767" s="447"/>
      <c r="AX767"/>
      <c r="AY767"/>
      <c r="AZ767" s="447"/>
      <c r="BA767"/>
      <c r="BB767"/>
      <c r="BC767" s="447"/>
      <c r="BD767"/>
      <c r="BE767"/>
    </row>
    <row r="768" spans="4:57">
      <c r="D768" s="447"/>
      <c r="G768" s="447"/>
      <c r="J768" s="447"/>
      <c r="M768" s="447"/>
      <c r="R768" s="447"/>
      <c r="S768"/>
      <c r="T768"/>
      <c r="U768" s="447"/>
      <c r="V768"/>
      <c r="W768"/>
      <c r="X768" s="447"/>
      <c r="Y768"/>
      <c r="Z768"/>
      <c r="AA768" s="447"/>
      <c r="AB768"/>
      <c r="AC768"/>
      <c r="AE768"/>
      <c r="AF768" s="447"/>
      <c r="AG768"/>
      <c r="AH768"/>
      <c r="AI768" s="447"/>
      <c r="AJ768"/>
      <c r="AK768"/>
      <c r="AL768" s="447"/>
      <c r="AM768"/>
      <c r="AN768"/>
      <c r="AO768" s="447"/>
      <c r="AP768"/>
      <c r="AQ768"/>
      <c r="AS768"/>
      <c r="AT768" s="447"/>
      <c r="AU768"/>
      <c r="AV768"/>
      <c r="AW768" s="447"/>
      <c r="AX768"/>
      <c r="AY768"/>
      <c r="AZ768" s="447"/>
      <c r="BA768"/>
      <c r="BB768"/>
      <c r="BC768" s="447"/>
      <c r="BD768"/>
      <c r="BE768"/>
    </row>
    <row r="769" spans="4:57">
      <c r="D769" s="447"/>
      <c r="G769" s="447"/>
      <c r="J769" s="447"/>
      <c r="M769" s="447"/>
      <c r="R769" s="447"/>
      <c r="S769"/>
      <c r="T769"/>
      <c r="U769" s="447"/>
      <c r="V769"/>
      <c r="W769"/>
      <c r="X769" s="447"/>
      <c r="Y769"/>
      <c r="Z769"/>
      <c r="AA769" s="447"/>
      <c r="AB769"/>
      <c r="AC769"/>
      <c r="AE769"/>
      <c r="AF769" s="447"/>
      <c r="AG769"/>
      <c r="AH769"/>
      <c r="AI769" s="447"/>
      <c r="AJ769"/>
      <c r="AK769"/>
      <c r="AL769" s="447"/>
      <c r="AM769"/>
      <c r="AN769"/>
      <c r="AO769" s="447"/>
      <c r="AP769"/>
      <c r="AQ769"/>
      <c r="AS769"/>
      <c r="AT769" s="447"/>
      <c r="AU769"/>
      <c r="AV769"/>
      <c r="AW769" s="447"/>
      <c r="AX769"/>
      <c r="AY769"/>
      <c r="AZ769" s="447"/>
      <c r="BA769"/>
      <c r="BB769"/>
      <c r="BC769" s="447"/>
      <c r="BD769"/>
      <c r="BE769"/>
    </row>
    <row r="770" spans="4:57">
      <c r="D770" s="447"/>
      <c r="G770" s="447"/>
      <c r="J770" s="447"/>
      <c r="M770" s="447"/>
      <c r="R770" s="447"/>
      <c r="S770"/>
      <c r="T770"/>
      <c r="U770" s="447"/>
      <c r="V770"/>
      <c r="W770"/>
      <c r="X770" s="447"/>
      <c r="Y770"/>
      <c r="Z770"/>
      <c r="AA770" s="447"/>
      <c r="AB770"/>
      <c r="AC770"/>
      <c r="AE770"/>
      <c r="AF770" s="447"/>
      <c r="AG770"/>
      <c r="AH770"/>
      <c r="AI770" s="447"/>
      <c r="AJ770"/>
      <c r="AK770"/>
      <c r="AL770" s="447"/>
      <c r="AM770"/>
      <c r="AN770"/>
      <c r="AO770" s="447"/>
      <c r="AP770"/>
      <c r="AQ770"/>
      <c r="AS770"/>
      <c r="AT770" s="447"/>
      <c r="AU770"/>
      <c r="AV770"/>
      <c r="AW770" s="447"/>
      <c r="AX770"/>
      <c r="AY770"/>
      <c r="AZ770" s="447"/>
      <c r="BA770"/>
      <c r="BB770"/>
      <c r="BC770" s="447"/>
      <c r="BD770"/>
      <c r="BE770"/>
    </row>
    <row r="771" spans="4:57">
      <c r="D771" s="447"/>
      <c r="G771" s="447"/>
      <c r="J771" s="447"/>
      <c r="M771" s="447"/>
      <c r="R771" s="447"/>
      <c r="S771"/>
      <c r="T771"/>
      <c r="U771" s="447"/>
      <c r="V771"/>
      <c r="W771"/>
      <c r="X771" s="447"/>
      <c r="Y771"/>
      <c r="Z771"/>
      <c r="AA771" s="447"/>
      <c r="AB771"/>
      <c r="AC771"/>
      <c r="AE771"/>
      <c r="AF771" s="447"/>
      <c r="AG771"/>
      <c r="AH771"/>
      <c r="AI771" s="447"/>
      <c r="AJ771"/>
      <c r="AK771"/>
      <c r="AL771" s="447"/>
      <c r="AM771"/>
      <c r="AN771"/>
      <c r="AO771" s="447"/>
      <c r="AP771"/>
      <c r="AQ771"/>
      <c r="AS771"/>
      <c r="AT771" s="447"/>
      <c r="AU771"/>
      <c r="AV771"/>
      <c r="AW771" s="447"/>
      <c r="AX771"/>
      <c r="AY771"/>
      <c r="AZ771" s="447"/>
      <c r="BA771"/>
      <c r="BB771"/>
      <c r="BC771" s="447"/>
      <c r="BD771"/>
      <c r="BE771"/>
    </row>
    <row r="772" spans="4:57">
      <c r="D772" s="447"/>
      <c r="G772" s="447"/>
      <c r="J772" s="447"/>
      <c r="M772" s="447"/>
      <c r="R772" s="447"/>
      <c r="S772"/>
      <c r="T772"/>
      <c r="U772" s="447"/>
      <c r="V772"/>
      <c r="W772"/>
      <c r="X772" s="447"/>
      <c r="Y772"/>
      <c r="Z772"/>
      <c r="AA772" s="447"/>
      <c r="AB772"/>
      <c r="AC772"/>
      <c r="AE772"/>
      <c r="AF772" s="447"/>
      <c r="AG772"/>
      <c r="AH772"/>
      <c r="AI772" s="447"/>
      <c r="AJ772"/>
      <c r="AK772"/>
      <c r="AL772" s="447"/>
      <c r="AM772"/>
      <c r="AN772"/>
      <c r="AO772" s="447"/>
      <c r="AP772"/>
      <c r="AQ772"/>
      <c r="AS772"/>
      <c r="AT772" s="447"/>
      <c r="AU772"/>
      <c r="AV772"/>
      <c r="AW772" s="447"/>
      <c r="AX772"/>
      <c r="AY772"/>
      <c r="AZ772" s="447"/>
      <c r="BA772"/>
      <c r="BB772"/>
      <c r="BC772" s="447"/>
      <c r="BD772"/>
      <c r="BE772"/>
    </row>
    <row r="773" spans="4:57">
      <c r="D773" s="447"/>
      <c r="G773" s="447"/>
      <c r="J773" s="447"/>
      <c r="M773" s="447"/>
      <c r="R773" s="447"/>
      <c r="S773"/>
      <c r="T773"/>
      <c r="U773" s="447"/>
      <c r="V773"/>
      <c r="W773"/>
      <c r="X773" s="447"/>
      <c r="Y773"/>
      <c r="Z773"/>
      <c r="AA773" s="447"/>
      <c r="AB773"/>
      <c r="AC773"/>
      <c r="AE773"/>
      <c r="AF773" s="447"/>
      <c r="AG773"/>
      <c r="AH773"/>
      <c r="AI773" s="447"/>
      <c r="AJ773"/>
      <c r="AK773"/>
      <c r="AL773" s="447"/>
      <c r="AM773"/>
      <c r="AN773"/>
      <c r="AO773" s="447"/>
      <c r="AP773"/>
      <c r="AQ773"/>
      <c r="AS773"/>
      <c r="AT773" s="447"/>
      <c r="AU773"/>
      <c r="AV773"/>
      <c r="AW773" s="447"/>
      <c r="AX773"/>
      <c r="AY773"/>
      <c r="AZ773" s="447"/>
      <c r="BA773"/>
      <c r="BB773"/>
      <c r="BC773" s="447"/>
      <c r="BD773"/>
      <c r="BE773"/>
    </row>
    <row r="774" spans="4:57">
      <c r="D774" s="447"/>
      <c r="G774" s="447"/>
      <c r="J774" s="447"/>
      <c r="M774" s="447"/>
      <c r="R774" s="447"/>
      <c r="S774"/>
      <c r="T774"/>
      <c r="U774" s="447"/>
      <c r="V774"/>
      <c r="W774"/>
      <c r="X774" s="447"/>
      <c r="Y774"/>
      <c r="Z774"/>
      <c r="AA774" s="447"/>
      <c r="AB774"/>
      <c r="AC774"/>
      <c r="AE774"/>
      <c r="AF774" s="447"/>
      <c r="AG774"/>
      <c r="AH774"/>
      <c r="AI774" s="447"/>
      <c r="AJ774"/>
      <c r="AK774"/>
      <c r="AL774" s="447"/>
      <c r="AM774"/>
      <c r="AN774"/>
      <c r="AO774" s="447"/>
      <c r="AP774"/>
      <c r="AQ774"/>
      <c r="AS774"/>
      <c r="AT774" s="447"/>
      <c r="AU774"/>
      <c r="AV774"/>
      <c r="AW774" s="447"/>
      <c r="AX774"/>
      <c r="AY774"/>
      <c r="AZ774" s="447"/>
      <c r="BA774"/>
      <c r="BB774"/>
      <c r="BC774" s="447"/>
      <c r="BD774"/>
      <c r="BE774"/>
    </row>
    <row r="775" spans="4:57">
      <c r="D775" s="447"/>
      <c r="G775" s="447"/>
      <c r="J775" s="447"/>
      <c r="M775" s="447"/>
      <c r="R775" s="447"/>
      <c r="S775"/>
      <c r="T775"/>
      <c r="U775" s="447"/>
      <c r="V775"/>
      <c r="W775"/>
      <c r="X775" s="447"/>
      <c r="Y775"/>
      <c r="Z775"/>
      <c r="AA775" s="447"/>
      <c r="AB775"/>
      <c r="AC775"/>
      <c r="AE775"/>
      <c r="AF775" s="447"/>
      <c r="AG775"/>
      <c r="AH775"/>
      <c r="AI775" s="447"/>
      <c r="AJ775"/>
      <c r="AK775"/>
      <c r="AL775" s="447"/>
      <c r="AM775"/>
      <c r="AN775"/>
      <c r="AO775" s="447"/>
      <c r="AP775"/>
      <c r="AQ775"/>
      <c r="AS775"/>
      <c r="AT775" s="447"/>
      <c r="AU775"/>
      <c r="AV775"/>
      <c r="AW775" s="447"/>
      <c r="AX775"/>
      <c r="AY775"/>
      <c r="AZ775" s="447"/>
      <c r="BA775"/>
      <c r="BB775"/>
      <c r="BC775" s="447"/>
      <c r="BD775"/>
      <c r="BE775"/>
    </row>
    <row r="776" spans="4:57">
      <c r="D776" s="447"/>
      <c r="G776" s="447"/>
      <c r="J776" s="447"/>
      <c r="M776" s="447"/>
      <c r="R776" s="447"/>
      <c r="S776"/>
      <c r="T776"/>
      <c r="U776" s="447"/>
      <c r="V776"/>
      <c r="W776"/>
      <c r="X776" s="447"/>
      <c r="Y776"/>
      <c r="Z776"/>
      <c r="AA776" s="447"/>
      <c r="AB776"/>
      <c r="AC776"/>
      <c r="AE776"/>
      <c r="AF776" s="447"/>
      <c r="AG776"/>
      <c r="AH776"/>
      <c r="AI776" s="447"/>
      <c r="AJ776"/>
      <c r="AK776"/>
      <c r="AL776" s="447"/>
      <c r="AM776"/>
      <c r="AN776"/>
      <c r="AO776" s="447"/>
      <c r="AP776"/>
      <c r="AQ776"/>
      <c r="AS776"/>
      <c r="AT776" s="447"/>
      <c r="AU776"/>
      <c r="AV776"/>
      <c r="AW776" s="447"/>
      <c r="AX776"/>
      <c r="AY776"/>
      <c r="AZ776" s="447"/>
      <c r="BA776"/>
      <c r="BB776"/>
      <c r="BC776" s="447"/>
      <c r="BD776"/>
      <c r="BE776"/>
    </row>
    <row r="777" spans="4:57">
      <c r="D777" s="447"/>
      <c r="G777" s="447"/>
      <c r="J777" s="447"/>
      <c r="M777" s="447"/>
      <c r="R777" s="447"/>
      <c r="S777"/>
      <c r="T777"/>
      <c r="U777" s="447"/>
      <c r="V777"/>
      <c r="W777"/>
      <c r="X777" s="447"/>
      <c r="Y777"/>
      <c r="Z777"/>
      <c r="AA777" s="447"/>
      <c r="AB777"/>
      <c r="AC777"/>
      <c r="AE777"/>
      <c r="AF777" s="447"/>
      <c r="AG777"/>
      <c r="AH777"/>
      <c r="AI777" s="447"/>
      <c r="AJ777"/>
      <c r="AK777"/>
      <c r="AL777" s="447"/>
      <c r="AM777"/>
      <c r="AN777"/>
      <c r="AO777" s="447"/>
      <c r="AP777"/>
      <c r="AQ777"/>
      <c r="AS777"/>
      <c r="AT777" s="447"/>
      <c r="AU777"/>
      <c r="AV777"/>
      <c r="AW777" s="447"/>
      <c r="AX777"/>
      <c r="AY777"/>
      <c r="AZ777" s="447"/>
      <c r="BA777"/>
      <c r="BB777"/>
      <c r="BC777" s="447"/>
      <c r="BD777"/>
      <c r="BE777"/>
    </row>
    <row r="778" spans="4:57">
      <c r="D778" s="447"/>
      <c r="G778" s="447"/>
      <c r="J778" s="447"/>
      <c r="M778" s="447"/>
      <c r="R778" s="447"/>
      <c r="S778"/>
      <c r="T778"/>
      <c r="U778" s="447"/>
      <c r="V778"/>
      <c r="W778"/>
      <c r="X778" s="447"/>
      <c r="Y778"/>
      <c r="Z778"/>
      <c r="AA778" s="447"/>
      <c r="AB778"/>
      <c r="AC778"/>
      <c r="AE778"/>
      <c r="AF778" s="447"/>
      <c r="AG778"/>
      <c r="AH778"/>
      <c r="AI778" s="447"/>
      <c r="AJ778"/>
      <c r="AK778"/>
      <c r="AL778" s="447"/>
      <c r="AM778"/>
      <c r="AN778"/>
      <c r="AO778" s="447"/>
      <c r="AP778"/>
      <c r="AQ778"/>
      <c r="AS778"/>
      <c r="AT778" s="447"/>
      <c r="AU778"/>
      <c r="AV778"/>
      <c r="AW778" s="447"/>
      <c r="AX778"/>
      <c r="AY778"/>
      <c r="AZ778" s="447"/>
      <c r="BA778"/>
      <c r="BB778"/>
      <c r="BC778" s="447"/>
      <c r="BD778"/>
      <c r="BE778"/>
    </row>
    <row r="779" spans="4:57">
      <c r="D779" s="447"/>
      <c r="G779" s="447"/>
      <c r="J779" s="447"/>
      <c r="M779" s="447"/>
      <c r="R779" s="447"/>
      <c r="S779"/>
      <c r="T779"/>
      <c r="U779" s="447"/>
      <c r="V779"/>
      <c r="W779"/>
      <c r="X779" s="447"/>
      <c r="Y779"/>
      <c r="Z779"/>
      <c r="AA779" s="447"/>
      <c r="AB779"/>
      <c r="AC779"/>
      <c r="AE779"/>
      <c r="AF779" s="447"/>
      <c r="AG779"/>
      <c r="AH779"/>
      <c r="AI779" s="447"/>
      <c r="AJ779"/>
      <c r="AK779"/>
      <c r="AL779" s="447"/>
      <c r="AM779"/>
      <c r="AN779"/>
      <c r="AO779" s="447"/>
      <c r="AP779"/>
      <c r="AQ779"/>
      <c r="AS779"/>
      <c r="AT779" s="447"/>
      <c r="AU779"/>
      <c r="AV779"/>
      <c r="AW779" s="447"/>
      <c r="AX779"/>
      <c r="AY779"/>
      <c r="AZ779" s="447"/>
      <c r="BA779"/>
      <c r="BB779"/>
      <c r="BC779" s="447"/>
      <c r="BD779"/>
      <c r="BE779"/>
    </row>
    <row r="780" spans="4:57">
      <c r="D780" s="447"/>
      <c r="G780" s="447"/>
      <c r="J780" s="447"/>
      <c r="M780" s="447"/>
      <c r="R780" s="447"/>
      <c r="S780"/>
      <c r="T780"/>
      <c r="U780" s="447"/>
      <c r="V780"/>
      <c r="W780"/>
      <c r="X780" s="447"/>
      <c r="Y780"/>
      <c r="Z780"/>
      <c r="AA780" s="447"/>
      <c r="AB780"/>
      <c r="AC780"/>
      <c r="AE780"/>
      <c r="AF780" s="447"/>
      <c r="AG780"/>
      <c r="AH780"/>
      <c r="AI780" s="447"/>
      <c r="AJ780"/>
      <c r="AK780"/>
      <c r="AL780" s="447"/>
      <c r="AM780"/>
      <c r="AN780"/>
      <c r="AO780" s="447"/>
      <c r="AP780"/>
      <c r="AQ780"/>
      <c r="AS780"/>
      <c r="AT780" s="447"/>
      <c r="AU780"/>
      <c r="AV780"/>
      <c r="AW780" s="447"/>
      <c r="AX780"/>
      <c r="AY780"/>
      <c r="AZ780" s="447"/>
      <c r="BA780"/>
      <c r="BB780"/>
      <c r="BC780" s="447"/>
      <c r="BD780"/>
      <c r="BE780"/>
    </row>
    <row r="781" spans="4:57">
      <c r="D781" s="447"/>
      <c r="G781" s="447"/>
      <c r="J781" s="447"/>
      <c r="M781" s="447"/>
      <c r="R781" s="447"/>
      <c r="S781"/>
      <c r="T781"/>
      <c r="U781" s="447"/>
      <c r="V781"/>
      <c r="W781"/>
      <c r="X781" s="447"/>
      <c r="Y781"/>
      <c r="Z781"/>
      <c r="AA781" s="447"/>
      <c r="AB781"/>
      <c r="AC781"/>
      <c r="AE781"/>
      <c r="AF781" s="447"/>
      <c r="AG781"/>
      <c r="AH781"/>
      <c r="AI781" s="447"/>
      <c r="AJ781"/>
      <c r="AK781"/>
      <c r="AL781" s="447"/>
      <c r="AM781"/>
      <c r="AN781"/>
      <c r="AO781" s="447"/>
      <c r="AP781"/>
      <c r="AQ781"/>
      <c r="AS781"/>
      <c r="AT781" s="447"/>
      <c r="AU781"/>
      <c r="AV781"/>
      <c r="AW781" s="447"/>
      <c r="AX781"/>
      <c r="AY781"/>
      <c r="AZ781" s="447"/>
      <c r="BA781"/>
      <c r="BB781"/>
      <c r="BC781" s="447"/>
      <c r="BD781"/>
      <c r="BE781"/>
    </row>
    <row r="782" spans="4:57">
      <c r="D782" s="447"/>
      <c r="G782" s="447"/>
      <c r="J782" s="447"/>
      <c r="M782" s="447"/>
      <c r="R782" s="447"/>
      <c r="S782"/>
      <c r="T782"/>
      <c r="U782" s="447"/>
      <c r="V782"/>
      <c r="W782"/>
      <c r="X782" s="447"/>
      <c r="Y782"/>
      <c r="Z782"/>
      <c r="AA782" s="447"/>
      <c r="AB782"/>
      <c r="AC782"/>
      <c r="AE782"/>
      <c r="AF782" s="447"/>
      <c r="AG782"/>
      <c r="AH782"/>
      <c r="AI782" s="447"/>
      <c r="AJ782"/>
      <c r="AK782"/>
      <c r="AL782" s="447"/>
      <c r="AM782"/>
      <c r="AN782"/>
      <c r="AO782" s="447"/>
      <c r="AP782"/>
      <c r="AQ782"/>
      <c r="AS782"/>
      <c r="AT782" s="447"/>
      <c r="AU782"/>
      <c r="AV782"/>
      <c r="AW782" s="447"/>
      <c r="AX782"/>
      <c r="AY782"/>
      <c r="AZ782" s="447"/>
      <c r="BA782"/>
      <c r="BB782"/>
      <c r="BC782" s="447"/>
      <c r="BD782"/>
      <c r="BE782"/>
    </row>
    <row r="783" spans="4:57">
      <c r="D783" s="447"/>
      <c r="G783" s="447"/>
      <c r="J783" s="447"/>
      <c r="M783" s="447"/>
      <c r="R783" s="447"/>
      <c r="S783"/>
      <c r="T783"/>
      <c r="U783" s="447"/>
      <c r="V783"/>
      <c r="W783"/>
      <c r="X783" s="447"/>
      <c r="Y783"/>
      <c r="Z783"/>
      <c r="AA783" s="447"/>
      <c r="AB783"/>
      <c r="AC783"/>
      <c r="AE783"/>
      <c r="AF783" s="447"/>
      <c r="AG783"/>
      <c r="AH783"/>
      <c r="AI783" s="447"/>
      <c r="AJ783"/>
      <c r="AK783"/>
      <c r="AL783" s="447"/>
      <c r="AM783"/>
      <c r="AN783"/>
      <c r="AO783" s="447"/>
      <c r="AP783"/>
      <c r="AQ783"/>
      <c r="AS783"/>
      <c r="AT783" s="447"/>
      <c r="AU783"/>
      <c r="AV783"/>
      <c r="AW783" s="447"/>
      <c r="AX783"/>
      <c r="AY783"/>
      <c r="AZ783" s="447"/>
      <c r="BA783"/>
      <c r="BB783"/>
      <c r="BC783" s="447"/>
      <c r="BD783"/>
      <c r="BE783"/>
    </row>
    <row r="784" spans="4:57">
      <c r="D784" s="447"/>
      <c r="G784" s="447"/>
      <c r="J784" s="447"/>
      <c r="M784" s="447"/>
      <c r="R784" s="447"/>
      <c r="S784"/>
      <c r="T784"/>
      <c r="U784" s="447"/>
      <c r="V784"/>
      <c r="W784"/>
      <c r="X784" s="447"/>
      <c r="Y784"/>
      <c r="Z784"/>
      <c r="AA784" s="447"/>
      <c r="AB784"/>
      <c r="AC784"/>
      <c r="AE784"/>
      <c r="AF784" s="447"/>
      <c r="AG784"/>
      <c r="AH784"/>
      <c r="AI784" s="447"/>
      <c r="AJ784"/>
      <c r="AK784"/>
      <c r="AL784" s="447"/>
      <c r="AM784"/>
      <c r="AN784"/>
      <c r="AO784" s="447"/>
      <c r="AP784"/>
      <c r="AQ784"/>
      <c r="AS784"/>
      <c r="AT784" s="447"/>
      <c r="AU784"/>
      <c r="AV784"/>
      <c r="AW784" s="447"/>
      <c r="AX784"/>
      <c r="AY784"/>
      <c r="AZ784" s="447"/>
      <c r="BA784"/>
      <c r="BB784"/>
      <c r="BC784" s="447"/>
      <c r="BD784"/>
      <c r="BE784"/>
    </row>
    <row r="785" spans="4:57">
      <c r="D785" s="447"/>
      <c r="G785" s="447"/>
      <c r="J785" s="447"/>
      <c r="M785" s="447"/>
      <c r="R785" s="447"/>
      <c r="S785"/>
      <c r="T785"/>
      <c r="U785" s="447"/>
      <c r="V785"/>
      <c r="W785"/>
      <c r="X785" s="447"/>
      <c r="Y785"/>
      <c r="Z785"/>
      <c r="AA785" s="447"/>
      <c r="AB785"/>
      <c r="AC785"/>
      <c r="AE785"/>
      <c r="AF785" s="447"/>
      <c r="AG785"/>
      <c r="AH785"/>
      <c r="AI785" s="447"/>
      <c r="AJ785"/>
      <c r="AK785"/>
      <c r="AL785" s="447"/>
      <c r="AM785"/>
      <c r="AN785"/>
      <c r="AO785" s="447"/>
      <c r="AP785"/>
      <c r="AQ785"/>
      <c r="AS785"/>
      <c r="AT785" s="447"/>
      <c r="AU785"/>
      <c r="AV785"/>
      <c r="AW785" s="447"/>
      <c r="AX785"/>
      <c r="AY785"/>
      <c r="AZ785" s="447"/>
      <c r="BA785"/>
      <c r="BB785"/>
      <c r="BC785" s="447"/>
      <c r="BD785"/>
      <c r="BE785"/>
    </row>
    <row r="786" spans="4:57">
      <c r="D786" s="447"/>
      <c r="G786" s="447"/>
      <c r="J786" s="447"/>
      <c r="M786" s="447"/>
      <c r="R786" s="447"/>
      <c r="S786"/>
      <c r="T786"/>
      <c r="U786" s="447"/>
      <c r="V786"/>
      <c r="W786"/>
      <c r="X786" s="447"/>
      <c r="Y786"/>
      <c r="Z786"/>
      <c r="AA786" s="447"/>
      <c r="AB786"/>
      <c r="AC786"/>
      <c r="AE786"/>
      <c r="AF786" s="447"/>
      <c r="AG786"/>
      <c r="AH786"/>
      <c r="AI786" s="447"/>
      <c r="AJ786"/>
      <c r="AK786"/>
      <c r="AL786" s="447"/>
      <c r="AM786"/>
      <c r="AN786"/>
      <c r="AO786" s="447"/>
      <c r="AP786"/>
      <c r="AQ786"/>
      <c r="AS786"/>
      <c r="AT786" s="447"/>
      <c r="AU786"/>
      <c r="AV786"/>
      <c r="AW786" s="447"/>
      <c r="AX786"/>
      <c r="AY786"/>
      <c r="AZ786" s="447"/>
      <c r="BA786"/>
      <c r="BB786"/>
      <c r="BC786" s="447"/>
      <c r="BD786"/>
      <c r="BE786"/>
    </row>
    <row r="787" spans="4:57">
      <c r="D787" s="447"/>
      <c r="G787" s="447"/>
      <c r="J787" s="447"/>
      <c r="M787" s="447"/>
      <c r="R787" s="447"/>
      <c r="S787"/>
      <c r="T787"/>
      <c r="U787" s="447"/>
      <c r="V787"/>
      <c r="W787"/>
      <c r="X787" s="447"/>
      <c r="Y787"/>
      <c r="Z787"/>
      <c r="AA787" s="447"/>
      <c r="AB787"/>
      <c r="AC787"/>
      <c r="AE787"/>
      <c r="AF787" s="447"/>
      <c r="AG787"/>
      <c r="AH787"/>
      <c r="AI787" s="447"/>
      <c r="AJ787"/>
      <c r="AK787"/>
      <c r="AL787" s="447"/>
      <c r="AM787"/>
      <c r="AN787"/>
      <c r="AO787" s="447"/>
      <c r="AP787"/>
      <c r="AQ787"/>
      <c r="AS787"/>
      <c r="AT787" s="447"/>
      <c r="AU787"/>
      <c r="AV787"/>
      <c r="AW787" s="447"/>
      <c r="AX787"/>
      <c r="AY787"/>
      <c r="AZ787" s="447"/>
      <c r="BA787"/>
      <c r="BB787"/>
      <c r="BC787" s="447"/>
      <c r="BD787"/>
      <c r="BE787"/>
    </row>
    <row r="788" spans="4:57">
      <c r="D788" s="447"/>
      <c r="G788" s="447"/>
      <c r="J788" s="447"/>
      <c r="M788" s="447"/>
      <c r="R788" s="447"/>
      <c r="S788"/>
      <c r="T788"/>
      <c r="U788" s="447"/>
      <c r="V788"/>
      <c r="W788"/>
      <c r="X788" s="447"/>
      <c r="Y788"/>
      <c r="Z788"/>
      <c r="AA788" s="447"/>
      <c r="AB788"/>
      <c r="AC788"/>
      <c r="AE788"/>
      <c r="AF788" s="447"/>
      <c r="AG788"/>
      <c r="AH788"/>
      <c r="AI788" s="447"/>
      <c r="AJ788"/>
      <c r="AK788"/>
      <c r="AL788" s="447"/>
      <c r="AM788"/>
      <c r="AN788"/>
      <c r="AO788" s="447"/>
      <c r="AP788"/>
      <c r="AQ788"/>
      <c r="AS788"/>
      <c r="AT788" s="447"/>
      <c r="AU788"/>
      <c r="AV788"/>
      <c r="AW788" s="447"/>
      <c r="AX788"/>
      <c r="AY788"/>
      <c r="AZ788" s="447"/>
      <c r="BA788"/>
      <c r="BB788"/>
      <c r="BC788" s="447"/>
      <c r="BD788"/>
      <c r="BE788"/>
    </row>
    <row r="789" spans="4:57">
      <c r="D789" s="447"/>
      <c r="G789" s="447"/>
      <c r="J789" s="447"/>
      <c r="M789" s="447"/>
      <c r="R789" s="447"/>
      <c r="S789"/>
      <c r="T789"/>
      <c r="U789" s="447"/>
      <c r="V789"/>
      <c r="W789"/>
      <c r="X789" s="447"/>
      <c r="Y789"/>
      <c r="Z789"/>
      <c r="AA789" s="447"/>
      <c r="AB789"/>
      <c r="AC789"/>
      <c r="AE789"/>
      <c r="AF789" s="447"/>
      <c r="AG789"/>
      <c r="AH789"/>
      <c r="AI789" s="447"/>
      <c r="AJ789"/>
      <c r="AK789"/>
      <c r="AL789" s="447"/>
      <c r="AM789"/>
      <c r="AN789"/>
      <c r="AO789" s="447"/>
      <c r="AP789"/>
      <c r="AQ789"/>
      <c r="AS789"/>
      <c r="AT789" s="447"/>
      <c r="AU789"/>
      <c r="AV789"/>
      <c r="AW789" s="447"/>
      <c r="AX789"/>
      <c r="AY789"/>
      <c r="AZ789" s="447"/>
      <c r="BA789"/>
      <c r="BB789"/>
      <c r="BC789" s="447"/>
      <c r="BD789"/>
      <c r="BE789"/>
    </row>
    <row r="790" spans="4:57">
      <c r="D790" s="447"/>
      <c r="G790" s="447"/>
      <c r="J790" s="447"/>
      <c r="M790" s="447"/>
      <c r="R790" s="447"/>
      <c r="S790"/>
      <c r="T790"/>
      <c r="U790" s="447"/>
      <c r="V790"/>
      <c r="W790"/>
      <c r="X790" s="447"/>
      <c r="Y790"/>
      <c r="Z790"/>
      <c r="AA790" s="447"/>
      <c r="AB790"/>
      <c r="AC790"/>
      <c r="AE790"/>
      <c r="AF790" s="447"/>
      <c r="AG790"/>
      <c r="AH790"/>
      <c r="AI790" s="447"/>
      <c r="AJ790"/>
      <c r="AK790"/>
      <c r="AL790" s="447"/>
      <c r="AM790"/>
      <c r="AN790"/>
      <c r="AO790" s="447"/>
      <c r="AP790"/>
      <c r="AQ790"/>
      <c r="AS790"/>
      <c r="AT790" s="447"/>
      <c r="AU790"/>
      <c r="AV790"/>
      <c r="AW790" s="447"/>
      <c r="AX790"/>
      <c r="AY790"/>
      <c r="AZ790" s="447"/>
      <c r="BA790"/>
      <c r="BB790"/>
      <c r="BC790" s="447"/>
      <c r="BD790"/>
      <c r="BE790"/>
    </row>
    <row r="791" spans="4:57">
      <c r="D791" s="447"/>
      <c r="G791" s="447"/>
      <c r="J791" s="447"/>
      <c r="M791" s="447"/>
      <c r="R791" s="447"/>
      <c r="S791"/>
      <c r="T791"/>
      <c r="U791" s="447"/>
      <c r="V791"/>
      <c r="W791"/>
      <c r="X791" s="447"/>
      <c r="Y791"/>
      <c r="Z791"/>
      <c r="AA791" s="447"/>
      <c r="AB791"/>
      <c r="AC791"/>
      <c r="AE791"/>
      <c r="AF791" s="447"/>
      <c r="AG791"/>
      <c r="AH791"/>
      <c r="AI791" s="447"/>
      <c r="AJ791"/>
      <c r="AK791"/>
      <c r="AL791" s="447"/>
      <c r="AM791"/>
      <c r="AN791"/>
      <c r="AO791" s="447"/>
      <c r="AP791"/>
      <c r="AQ791"/>
      <c r="AS791"/>
      <c r="AT791" s="447"/>
      <c r="AU791"/>
      <c r="AV791"/>
      <c r="AW791" s="447"/>
      <c r="AX791"/>
      <c r="AY791"/>
      <c r="AZ791" s="447"/>
      <c r="BA791"/>
      <c r="BB791"/>
      <c r="BC791" s="447"/>
      <c r="BD791"/>
      <c r="BE791"/>
    </row>
    <row r="792" spans="4:57">
      <c r="D792" s="447"/>
      <c r="G792" s="447"/>
      <c r="J792" s="447"/>
      <c r="M792" s="447"/>
      <c r="R792" s="447"/>
      <c r="S792"/>
      <c r="T792"/>
      <c r="U792" s="447"/>
      <c r="V792"/>
      <c r="W792"/>
      <c r="X792" s="447"/>
      <c r="Y792"/>
      <c r="Z792"/>
      <c r="AA792" s="447"/>
      <c r="AB792"/>
      <c r="AC792"/>
      <c r="AE792"/>
      <c r="AF792" s="447"/>
      <c r="AG792"/>
      <c r="AH792"/>
      <c r="AI792" s="447"/>
      <c r="AJ792"/>
      <c r="AK792"/>
      <c r="AL792" s="447"/>
      <c r="AM792"/>
      <c r="AN792"/>
      <c r="AO792" s="447"/>
      <c r="AP792"/>
      <c r="AQ792"/>
      <c r="AS792"/>
      <c r="AT792" s="447"/>
      <c r="AU792"/>
      <c r="AV792"/>
      <c r="AW792" s="447"/>
      <c r="AX792"/>
      <c r="AY792"/>
      <c r="AZ792" s="447"/>
      <c r="BA792"/>
      <c r="BB792"/>
      <c r="BC792" s="447"/>
      <c r="BD792"/>
      <c r="BE792"/>
    </row>
    <row r="793" spans="4:57">
      <c r="D793" s="447"/>
      <c r="G793" s="447"/>
      <c r="J793" s="447"/>
      <c r="M793" s="447"/>
      <c r="R793" s="447"/>
      <c r="S793"/>
      <c r="T793"/>
      <c r="U793" s="447"/>
      <c r="V793"/>
      <c r="W793"/>
      <c r="X793" s="447"/>
      <c r="Y793"/>
      <c r="Z793"/>
      <c r="AA793" s="447"/>
      <c r="AB793"/>
      <c r="AC793"/>
      <c r="AE793"/>
      <c r="AF793" s="447"/>
      <c r="AG793"/>
      <c r="AH793"/>
      <c r="AI793" s="447"/>
      <c r="AJ793"/>
      <c r="AK793"/>
      <c r="AL793" s="447"/>
      <c r="AM793"/>
      <c r="AN793"/>
      <c r="AO793" s="447"/>
      <c r="AP793"/>
      <c r="AQ793"/>
      <c r="AS793"/>
      <c r="AT793" s="447"/>
      <c r="AU793"/>
      <c r="AV793"/>
      <c r="AW793" s="447"/>
      <c r="AX793"/>
      <c r="AY793"/>
      <c r="AZ793" s="447"/>
      <c r="BA793"/>
      <c r="BB793"/>
      <c r="BC793" s="447"/>
      <c r="BD793"/>
      <c r="BE793"/>
    </row>
    <row r="794" spans="4:57">
      <c r="D794" s="447"/>
      <c r="G794" s="447"/>
      <c r="J794" s="447"/>
      <c r="M794" s="447"/>
      <c r="R794" s="447"/>
      <c r="S794"/>
      <c r="T794"/>
      <c r="U794" s="447"/>
      <c r="V794"/>
      <c r="W794"/>
      <c r="X794" s="447"/>
      <c r="Y794"/>
      <c r="Z794"/>
      <c r="AA794" s="447"/>
      <c r="AB794"/>
      <c r="AC794"/>
      <c r="AE794"/>
      <c r="AF794" s="447"/>
      <c r="AG794"/>
      <c r="AH794"/>
      <c r="AI794" s="447"/>
      <c r="AJ794"/>
      <c r="AK794"/>
      <c r="AL794" s="447"/>
      <c r="AM794"/>
      <c r="AN794"/>
      <c r="AO794" s="447"/>
      <c r="AP794"/>
      <c r="AQ794"/>
      <c r="AS794"/>
      <c r="AT794" s="447"/>
      <c r="AU794"/>
      <c r="AV794"/>
      <c r="AW794" s="447"/>
      <c r="AX794"/>
      <c r="AY794"/>
      <c r="AZ794" s="447"/>
      <c r="BA794"/>
      <c r="BB794"/>
      <c r="BC794" s="447"/>
      <c r="BD794"/>
      <c r="BE794"/>
    </row>
    <row r="795" spans="4:57">
      <c r="D795" s="447"/>
      <c r="G795" s="447"/>
      <c r="J795" s="447"/>
      <c r="M795" s="447"/>
      <c r="R795" s="447"/>
      <c r="S795"/>
      <c r="T795"/>
      <c r="U795" s="447"/>
      <c r="V795"/>
      <c r="W795"/>
      <c r="X795" s="447"/>
      <c r="Y795"/>
      <c r="Z795"/>
      <c r="AA795" s="447"/>
      <c r="AB795"/>
      <c r="AC795"/>
      <c r="AE795"/>
      <c r="AF795" s="447"/>
      <c r="AG795"/>
      <c r="AH795"/>
      <c r="AI795" s="447"/>
      <c r="AJ795"/>
      <c r="AK795"/>
      <c r="AL795" s="447"/>
      <c r="AM795"/>
      <c r="AN795"/>
      <c r="AO795" s="447"/>
      <c r="AP795"/>
      <c r="AQ795"/>
      <c r="AS795"/>
      <c r="AT795" s="447"/>
      <c r="AU795"/>
      <c r="AV795"/>
      <c r="AW795" s="447"/>
      <c r="AX795"/>
      <c r="AY795"/>
      <c r="AZ795" s="447"/>
      <c r="BA795"/>
      <c r="BB795"/>
      <c r="BC795" s="447"/>
      <c r="BD795"/>
      <c r="BE795"/>
    </row>
    <row r="796" spans="4:57">
      <c r="D796" s="447"/>
      <c r="G796" s="447"/>
      <c r="J796" s="447"/>
      <c r="M796" s="447"/>
      <c r="R796" s="447"/>
      <c r="S796"/>
      <c r="T796"/>
      <c r="U796" s="447"/>
      <c r="V796"/>
      <c r="W796"/>
      <c r="X796" s="447"/>
      <c r="Y796"/>
      <c r="Z796"/>
      <c r="AA796" s="447"/>
      <c r="AB796"/>
      <c r="AC796"/>
      <c r="AE796"/>
      <c r="AF796" s="447"/>
      <c r="AG796"/>
      <c r="AH796"/>
      <c r="AI796" s="447"/>
      <c r="AJ796"/>
      <c r="AK796"/>
      <c r="AL796" s="447"/>
      <c r="AM796"/>
      <c r="AN796"/>
      <c r="AO796" s="447"/>
      <c r="AP796"/>
      <c r="AQ796"/>
      <c r="AS796"/>
      <c r="AT796" s="447"/>
      <c r="AU796"/>
      <c r="AV796"/>
      <c r="AW796" s="447"/>
      <c r="AX796"/>
      <c r="AY796"/>
      <c r="AZ796" s="447"/>
      <c r="BA796"/>
      <c r="BB796"/>
      <c r="BC796" s="447"/>
      <c r="BD796"/>
      <c r="BE796"/>
    </row>
    <row r="797" spans="4:57">
      <c r="D797" s="447"/>
      <c r="G797" s="447"/>
      <c r="J797" s="447"/>
      <c r="M797" s="447"/>
      <c r="R797" s="447"/>
      <c r="S797"/>
      <c r="T797"/>
      <c r="U797" s="447"/>
      <c r="V797"/>
      <c r="W797"/>
      <c r="X797" s="447"/>
      <c r="Y797"/>
      <c r="Z797"/>
      <c r="AA797" s="447"/>
      <c r="AB797"/>
      <c r="AC797"/>
      <c r="AE797"/>
      <c r="AF797" s="447"/>
      <c r="AG797"/>
      <c r="AH797"/>
      <c r="AI797" s="447"/>
      <c r="AJ797"/>
      <c r="AK797"/>
      <c r="AL797" s="447"/>
      <c r="AM797"/>
      <c r="AN797"/>
      <c r="AO797" s="447"/>
      <c r="AP797"/>
      <c r="AQ797"/>
      <c r="AS797"/>
      <c r="AT797" s="447"/>
      <c r="AU797"/>
      <c r="AV797"/>
      <c r="AW797" s="447"/>
      <c r="AX797"/>
      <c r="AY797"/>
      <c r="AZ797" s="447"/>
      <c r="BA797"/>
      <c r="BB797"/>
      <c r="BC797" s="447"/>
      <c r="BD797"/>
      <c r="BE797"/>
    </row>
    <row r="798" spans="4:57">
      <c r="D798" s="447"/>
      <c r="G798" s="447"/>
      <c r="J798" s="447"/>
      <c r="M798" s="447"/>
      <c r="R798" s="447"/>
      <c r="S798"/>
      <c r="T798"/>
      <c r="U798" s="447"/>
      <c r="V798"/>
      <c r="W798"/>
      <c r="X798" s="447"/>
      <c r="Y798"/>
      <c r="Z798"/>
      <c r="AA798" s="447"/>
      <c r="AB798"/>
      <c r="AC798"/>
      <c r="AE798"/>
      <c r="AF798" s="447"/>
      <c r="AG798"/>
      <c r="AH798"/>
      <c r="AI798" s="447"/>
      <c r="AJ798"/>
      <c r="AK798"/>
      <c r="AL798" s="447"/>
      <c r="AM798"/>
      <c r="AN798"/>
      <c r="AO798" s="447"/>
      <c r="AP798"/>
      <c r="AQ798"/>
      <c r="AS798"/>
      <c r="AT798" s="447"/>
      <c r="AU798"/>
      <c r="AV798"/>
      <c r="AW798" s="447"/>
      <c r="AX798"/>
      <c r="AY798"/>
      <c r="AZ798" s="447"/>
      <c r="BA798"/>
      <c r="BB798"/>
      <c r="BC798" s="447"/>
      <c r="BD798"/>
      <c r="BE798"/>
    </row>
    <row r="799" spans="4:57">
      <c r="D799" s="447"/>
      <c r="G799" s="447"/>
      <c r="J799" s="447"/>
      <c r="M799" s="447"/>
      <c r="R799" s="447"/>
      <c r="S799"/>
      <c r="T799"/>
      <c r="U799" s="447"/>
      <c r="V799"/>
      <c r="W799"/>
      <c r="X799" s="447"/>
      <c r="Y799"/>
      <c r="Z799"/>
      <c r="AA799" s="447"/>
      <c r="AB799"/>
      <c r="AC799"/>
      <c r="AE799"/>
      <c r="AF799" s="447"/>
      <c r="AG799"/>
      <c r="AH799"/>
      <c r="AI799" s="447"/>
      <c r="AJ799"/>
      <c r="AK799"/>
      <c r="AL799" s="447"/>
      <c r="AM799"/>
      <c r="AN799"/>
      <c r="AO799" s="447"/>
      <c r="AP799"/>
      <c r="AQ799"/>
      <c r="AS799"/>
      <c r="AT799" s="447"/>
      <c r="AU799"/>
      <c r="AV799"/>
      <c r="AW799" s="447"/>
      <c r="AX799"/>
      <c r="AY799"/>
      <c r="AZ799" s="447"/>
      <c r="BA799"/>
      <c r="BB799"/>
      <c r="BC799" s="447"/>
      <c r="BD799"/>
      <c r="BE799"/>
    </row>
    <row r="800" spans="4:57">
      <c r="D800" s="447"/>
      <c r="G800" s="447"/>
      <c r="J800" s="447"/>
      <c r="M800" s="447"/>
      <c r="R800" s="447"/>
      <c r="S800"/>
      <c r="T800"/>
      <c r="U800" s="447"/>
      <c r="V800"/>
      <c r="W800"/>
      <c r="X800" s="447"/>
      <c r="Y800"/>
      <c r="Z800"/>
      <c r="AA800" s="447"/>
      <c r="AB800"/>
      <c r="AC800"/>
      <c r="AE800"/>
      <c r="AF800" s="447"/>
      <c r="AG800"/>
      <c r="AH800"/>
      <c r="AI800" s="447"/>
      <c r="AJ800"/>
      <c r="AK800"/>
      <c r="AL800" s="447"/>
      <c r="AM800"/>
      <c r="AN800"/>
      <c r="AO800" s="447"/>
      <c r="AP800"/>
      <c r="AQ800"/>
      <c r="AS800"/>
      <c r="AT800" s="447"/>
      <c r="AU800"/>
      <c r="AV800"/>
      <c r="AW800" s="447"/>
      <c r="AX800"/>
      <c r="AY800"/>
      <c r="AZ800" s="447"/>
      <c r="BA800"/>
      <c r="BB800"/>
      <c r="BC800" s="447"/>
      <c r="BD800"/>
      <c r="BE800"/>
    </row>
    <row r="801" spans="4:57">
      <c r="D801" s="447"/>
      <c r="G801" s="447"/>
      <c r="J801" s="447"/>
      <c r="M801" s="447"/>
      <c r="R801" s="447"/>
      <c r="S801"/>
      <c r="T801"/>
      <c r="U801" s="447"/>
      <c r="V801"/>
      <c r="W801"/>
      <c r="X801" s="447"/>
      <c r="Y801"/>
      <c r="Z801"/>
      <c r="AA801" s="447"/>
      <c r="AB801"/>
      <c r="AC801"/>
      <c r="AE801"/>
      <c r="AF801" s="447"/>
      <c r="AG801"/>
      <c r="AH801"/>
      <c r="AI801" s="447"/>
      <c r="AJ801"/>
      <c r="AK801"/>
      <c r="AL801" s="447"/>
      <c r="AM801"/>
      <c r="AN801"/>
      <c r="AO801" s="447"/>
      <c r="AP801"/>
      <c r="AQ801"/>
      <c r="AS801"/>
      <c r="AT801" s="447"/>
      <c r="AU801"/>
      <c r="AV801"/>
      <c r="AW801" s="447"/>
      <c r="AX801"/>
      <c r="AY801"/>
      <c r="AZ801" s="447"/>
      <c r="BA801"/>
      <c r="BB801"/>
      <c r="BC801" s="447"/>
      <c r="BD801"/>
      <c r="BE801"/>
    </row>
    <row r="802" spans="4:57">
      <c r="D802" s="447"/>
      <c r="G802" s="447"/>
      <c r="J802" s="447"/>
      <c r="M802" s="447"/>
      <c r="R802" s="447"/>
      <c r="S802"/>
      <c r="T802"/>
      <c r="U802" s="447"/>
      <c r="V802"/>
      <c r="W802"/>
      <c r="X802" s="447"/>
      <c r="Y802"/>
      <c r="Z802"/>
      <c r="AA802" s="447"/>
      <c r="AB802"/>
      <c r="AC802"/>
      <c r="AE802"/>
      <c r="AF802" s="447"/>
      <c r="AG802"/>
      <c r="AH802"/>
      <c r="AI802" s="447"/>
      <c r="AJ802"/>
      <c r="AK802"/>
      <c r="AL802" s="447"/>
      <c r="AM802"/>
      <c r="AN802"/>
      <c r="AO802" s="447"/>
      <c r="AP802"/>
      <c r="AQ802"/>
      <c r="AS802"/>
      <c r="AT802" s="447"/>
      <c r="AU802"/>
      <c r="AV802"/>
      <c r="AW802" s="447"/>
      <c r="AX802"/>
      <c r="AY802"/>
      <c r="AZ802" s="447"/>
      <c r="BA802"/>
      <c r="BB802"/>
      <c r="BC802" s="447"/>
      <c r="BD802"/>
      <c r="BE802"/>
    </row>
    <row r="803" spans="4:57">
      <c r="D803" s="447"/>
      <c r="G803" s="447"/>
      <c r="J803" s="447"/>
      <c r="M803" s="447"/>
      <c r="R803" s="447"/>
      <c r="S803"/>
      <c r="T803"/>
      <c r="U803" s="447"/>
      <c r="V803"/>
      <c r="W803"/>
      <c r="X803" s="447"/>
      <c r="Y803"/>
      <c r="Z803"/>
      <c r="AA803" s="447"/>
      <c r="AB803"/>
      <c r="AC803"/>
      <c r="AE803"/>
      <c r="AF803" s="447"/>
      <c r="AG803"/>
      <c r="AH803"/>
      <c r="AI803" s="447"/>
      <c r="AJ803"/>
      <c r="AK803"/>
      <c r="AL803" s="447"/>
      <c r="AM803"/>
      <c r="AN803"/>
      <c r="AO803" s="447"/>
      <c r="AP803"/>
      <c r="AQ803"/>
      <c r="AS803"/>
      <c r="AT803" s="447"/>
      <c r="AU803"/>
      <c r="AV803"/>
      <c r="AW803" s="447"/>
      <c r="AX803"/>
      <c r="AY803"/>
      <c r="AZ803" s="447"/>
      <c r="BA803"/>
      <c r="BB803"/>
      <c r="BC803" s="447"/>
      <c r="BD803"/>
      <c r="BE803"/>
    </row>
    <row r="804" spans="4:57">
      <c r="D804" s="447"/>
      <c r="G804" s="447"/>
      <c r="J804" s="447"/>
      <c r="M804" s="447"/>
      <c r="R804" s="447"/>
      <c r="S804"/>
      <c r="T804"/>
      <c r="U804" s="447"/>
      <c r="V804"/>
      <c r="W804"/>
      <c r="X804" s="447"/>
      <c r="Y804"/>
      <c r="Z804"/>
      <c r="AA804" s="447"/>
      <c r="AB804"/>
      <c r="AC804"/>
      <c r="AE804"/>
      <c r="AF804" s="447"/>
      <c r="AG804"/>
      <c r="AH804"/>
      <c r="AI804" s="447"/>
      <c r="AJ804"/>
      <c r="AK804"/>
      <c r="AL804" s="447"/>
      <c r="AM804"/>
      <c r="AN804"/>
      <c r="AO804" s="447"/>
      <c r="AP804"/>
      <c r="AQ804"/>
      <c r="AS804"/>
      <c r="AT804" s="447"/>
      <c r="AU804"/>
      <c r="AV804"/>
      <c r="AW804" s="447"/>
      <c r="AX804"/>
      <c r="AY804"/>
      <c r="AZ804" s="447"/>
      <c r="BA804"/>
      <c r="BB804"/>
      <c r="BC804" s="447"/>
      <c r="BD804"/>
      <c r="BE804"/>
    </row>
    <row r="805" spans="4:57">
      <c r="D805" s="447"/>
      <c r="G805" s="447"/>
      <c r="J805" s="447"/>
      <c r="M805" s="447"/>
      <c r="R805" s="447"/>
      <c r="S805"/>
      <c r="T805"/>
      <c r="U805" s="447"/>
      <c r="V805"/>
      <c r="W805"/>
      <c r="X805" s="447"/>
      <c r="Y805"/>
      <c r="Z805"/>
      <c r="AA805" s="447"/>
      <c r="AB805"/>
      <c r="AC805"/>
      <c r="AE805"/>
      <c r="AF805" s="447"/>
      <c r="AG805"/>
      <c r="AH805"/>
      <c r="AI805" s="447"/>
      <c r="AJ805"/>
      <c r="AK805"/>
      <c r="AL805" s="447"/>
      <c r="AM805"/>
      <c r="AN805"/>
      <c r="AO805" s="447"/>
      <c r="AP805"/>
      <c r="AQ805"/>
      <c r="AS805"/>
      <c r="AT805" s="447"/>
      <c r="AU805"/>
      <c r="AV805"/>
      <c r="AW805" s="447"/>
      <c r="AX805"/>
      <c r="AY805"/>
      <c r="AZ805" s="447"/>
      <c r="BA805"/>
      <c r="BB805"/>
      <c r="BC805" s="447"/>
      <c r="BD805"/>
      <c r="BE805"/>
    </row>
    <row r="806" spans="4:57">
      <c r="D806" s="447"/>
      <c r="G806" s="447"/>
      <c r="J806" s="447"/>
      <c r="M806" s="447"/>
      <c r="R806" s="447"/>
      <c r="S806"/>
      <c r="T806"/>
      <c r="U806" s="447"/>
      <c r="V806"/>
      <c r="W806"/>
      <c r="X806" s="447"/>
      <c r="Y806"/>
      <c r="Z806"/>
      <c r="AA806" s="447"/>
      <c r="AB806"/>
      <c r="AC806"/>
      <c r="AE806"/>
      <c r="AF806" s="447"/>
      <c r="AG806"/>
      <c r="AH806"/>
      <c r="AI806" s="447"/>
      <c r="AJ806"/>
      <c r="AK806"/>
      <c r="AL806" s="447"/>
      <c r="AM806"/>
      <c r="AN806"/>
      <c r="AO806" s="447"/>
      <c r="AP806"/>
      <c r="AQ806"/>
      <c r="AS806"/>
      <c r="AT806" s="447"/>
      <c r="AU806"/>
      <c r="AV806"/>
      <c r="AW806" s="447"/>
      <c r="AX806"/>
      <c r="AY806"/>
      <c r="AZ806" s="447"/>
      <c r="BA806"/>
      <c r="BB806"/>
      <c r="BC806" s="447"/>
      <c r="BD806"/>
      <c r="BE806"/>
    </row>
    <row r="807" spans="4:57">
      <c r="D807" s="447"/>
      <c r="G807" s="447"/>
      <c r="J807" s="447"/>
      <c r="M807" s="447"/>
      <c r="R807" s="447"/>
      <c r="S807"/>
      <c r="T807"/>
      <c r="U807" s="447"/>
      <c r="V807"/>
      <c r="W807"/>
      <c r="X807" s="447"/>
      <c r="Y807"/>
      <c r="Z807"/>
      <c r="AA807" s="447"/>
      <c r="AB807"/>
      <c r="AC807"/>
      <c r="AE807"/>
      <c r="AF807" s="447"/>
      <c r="AG807"/>
      <c r="AH807"/>
      <c r="AI807" s="447"/>
      <c r="AJ807"/>
      <c r="AK807"/>
      <c r="AL807" s="447"/>
      <c r="AM807"/>
      <c r="AN807"/>
      <c r="AO807" s="447"/>
      <c r="AP807"/>
      <c r="AQ807"/>
      <c r="AS807"/>
      <c r="AT807" s="447"/>
      <c r="AU807"/>
      <c r="AV807"/>
      <c r="AW807" s="447"/>
      <c r="AX807"/>
      <c r="AY807"/>
      <c r="AZ807" s="447"/>
      <c r="BA807"/>
      <c r="BB807"/>
      <c r="BC807" s="447"/>
      <c r="BD807"/>
      <c r="BE807"/>
    </row>
    <row r="808" spans="4:57">
      <c r="D808" s="447"/>
      <c r="G808" s="447"/>
      <c r="J808" s="447"/>
      <c r="M808" s="447"/>
      <c r="R808" s="447"/>
      <c r="S808"/>
      <c r="T808"/>
      <c r="U808" s="447"/>
      <c r="V808"/>
      <c r="W808"/>
      <c r="X808" s="447"/>
      <c r="Y808"/>
      <c r="Z808"/>
      <c r="AA808" s="447"/>
      <c r="AB808"/>
      <c r="AC808"/>
      <c r="AE808"/>
      <c r="AF808" s="447"/>
      <c r="AG808"/>
      <c r="AH808"/>
      <c r="AI808" s="447"/>
      <c r="AJ808"/>
      <c r="AK808"/>
      <c r="AL808" s="447"/>
      <c r="AM808"/>
      <c r="AN808"/>
      <c r="AO808" s="447"/>
      <c r="AP808"/>
      <c r="AQ808"/>
      <c r="AS808"/>
      <c r="AT808" s="447"/>
      <c r="AU808"/>
      <c r="AV808"/>
      <c r="AW808" s="447"/>
      <c r="AX808"/>
      <c r="AY808"/>
      <c r="AZ808" s="447"/>
      <c r="BA808"/>
      <c r="BB808"/>
      <c r="BC808" s="447"/>
      <c r="BD808"/>
      <c r="BE808"/>
    </row>
    <row r="809" spans="4:57">
      <c r="D809" s="447"/>
      <c r="G809" s="447"/>
      <c r="J809" s="447"/>
      <c r="M809" s="447"/>
      <c r="R809" s="447"/>
      <c r="S809"/>
      <c r="T809"/>
      <c r="U809" s="447"/>
      <c r="V809"/>
      <c r="W809"/>
      <c r="X809" s="447"/>
      <c r="Y809"/>
      <c r="Z809"/>
      <c r="AA809" s="447"/>
      <c r="AB809"/>
      <c r="AC809"/>
      <c r="AE809"/>
      <c r="AF809" s="447"/>
      <c r="AG809"/>
      <c r="AH809"/>
      <c r="AI809" s="447"/>
      <c r="AJ809"/>
      <c r="AK809"/>
      <c r="AL809" s="447"/>
      <c r="AM809"/>
      <c r="AN809"/>
      <c r="AO809" s="447"/>
      <c r="AP809"/>
      <c r="AQ809"/>
      <c r="AS809"/>
      <c r="AT809" s="447"/>
      <c r="AU809"/>
      <c r="AV809"/>
      <c r="AW809" s="447"/>
      <c r="AX809"/>
      <c r="AY809"/>
      <c r="AZ809" s="447"/>
      <c r="BA809"/>
      <c r="BB809"/>
      <c r="BC809" s="447"/>
      <c r="BD809"/>
      <c r="BE809"/>
    </row>
    <row r="810" spans="4:57">
      <c r="D810" s="447"/>
      <c r="G810" s="447"/>
      <c r="J810" s="447"/>
      <c r="M810" s="447"/>
      <c r="R810" s="447"/>
      <c r="S810"/>
      <c r="T810"/>
      <c r="U810" s="447"/>
      <c r="V810"/>
      <c r="W810"/>
      <c r="X810" s="447"/>
      <c r="Y810"/>
      <c r="Z810"/>
      <c r="AA810" s="447"/>
      <c r="AB810"/>
      <c r="AC810"/>
      <c r="AE810"/>
      <c r="AF810" s="447"/>
      <c r="AG810"/>
      <c r="AH810"/>
      <c r="AI810" s="447"/>
      <c r="AJ810"/>
      <c r="AK810"/>
      <c r="AL810" s="447"/>
      <c r="AM810"/>
      <c r="AN810"/>
      <c r="AO810" s="447"/>
      <c r="AP810"/>
      <c r="AQ810"/>
      <c r="AS810"/>
      <c r="AT810" s="447"/>
      <c r="AU810"/>
      <c r="AV810"/>
      <c r="AW810" s="447"/>
      <c r="AX810"/>
      <c r="AY810"/>
      <c r="AZ810" s="447"/>
      <c r="BA810"/>
      <c r="BB810"/>
      <c r="BC810" s="447"/>
      <c r="BD810"/>
      <c r="BE810"/>
    </row>
    <row r="811" spans="4:57">
      <c r="D811" s="447"/>
      <c r="G811" s="447"/>
      <c r="J811" s="447"/>
      <c r="M811" s="447"/>
      <c r="R811" s="447"/>
      <c r="S811"/>
      <c r="T811"/>
      <c r="U811" s="447"/>
      <c r="V811"/>
      <c r="W811"/>
      <c r="X811" s="447"/>
      <c r="Y811"/>
      <c r="Z811"/>
      <c r="AA811" s="447"/>
      <c r="AB811"/>
      <c r="AC811"/>
      <c r="AE811"/>
      <c r="AF811" s="447"/>
      <c r="AG811"/>
      <c r="AH811"/>
      <c r="AI811" s="447"/>
      <c r="AJ811"/>
      <c r="AK811"/>
      <c r="AL811" s="447"/>
      <c r="AM811"/>
      <c r="AN811"/>
      <c r="AO811" s="447"/>
      <c r="AP811"/>
      <c r="AQ811"/>
      <c r="AS811"/>
      <c r="AT811" s="447"/>
      <c r="AU811"/>
      <c r="AV811"/>
      <c r="AW811" s="447"/>
      <c r="AX811"/>
      <c r="AY811"/>
      <c r="AZ811" s="447"/>
      <c r="BA811"/>
      <c r="BB811"/>
      <c r="BC811" s="447"/>
      <c r="BD811"/>
      <c r="BE811"/>
    </row>
    <row r="812" spans="4:57">
      <c r="D812" s="447"/>
      <c r="G812" s="447"/>
      <c r="J812" s="447"/>
      <c r="M812" s="447"/>
      <c r="R812" s="447"/>
      <c r="S812"/>
      <c r="T812"/>
      <c r="U812" s="447"/>
      <c r="V812"/>
      <c r="W812"/>
      <c r="X812" s="447"/>
      <c r="Y812"/>
      <c r="Z812"/>
      <c r="AA812" s="447"/>
      <c r="AB812"/>
      <c r="AC812"/>
      <c r="AE812"/>
      <c r="AF812" s="447"/>
      <c r="AG812"/>
      <c r="AH812"/>
      <c r="AI812" s="447"/>
      <c r="AJ812"/>
      <c r="AK812"/>
      <c r="AL812" s="447"/>
      <c r="AM812"/>
      <c r="AN812"/>
      <c r="AO812" s="447"/>
      <c r="AP812"/>
      <c r="AQ812"/>
      <c r="AS812"/>
      <c r="AT812" s="447"/>
      <c r="AU812"/>
      <c r="AV812"/>
      <c r="AW812" s="447"/>
      <c r="AX812"/>
      <c r="AY812"/>
      <c r="AZ812" s="447"/>
      <c r="BA812"/>
      <c r="BB812"/>
      <c r="BC812" s="447"/>
      <c r="BD812"/>
      <c r="BE812"/>
    </row>
    <row r="813" spans="4:57">
      <c r="D813" s="447"/>
      <c r="G813" s="447"/>
      <c r="J813" s="447"/>
      <c r="M813" s="447"/>
      <c r="R813" s="447"/>
      <c r="S813"/>
      <c r="T813"/>
      <c r="U813" s="447"/>
      <c r="V813"/>
      <c r="W813"/>
      <c r="X813" s="447"/>
      <c r="Y813"/>
      <c r="Z813"/>
      <c r="AA813" s="447"/>
      <c r="AB813"/>
      <c r="AC813"/>
      <c r="AE813"/>
      <c r="AF813" s="447"/>
      <c r="AG813"/>
      <c r="AH813"/>
      <c r="AI813" s="447"/>
      <c r="AJ813"/>
      <c r="AK813"/>
      <c r="AL813" s="447"/>
      <c r="AM813"/>
      <c r="AN813"/>
      <c r="AO813" s="447"/>
      <c r="AP813"/>
      <c r="AQ813"/>
      <c r="AS813"/>
      <c r="AT813" s="447"/>
      <c r="AU813"/>
      <c r="AV813"/>
      <c r="AW813" s="447"/>
      <c r="AX813"/>
      <c r="AY813"/>
      <c r="AZ813" s="447"/>
      <c r="BA813"/>
      <c r="BB813"/>
      <c r="BC813" s="447"/>
      <c r="BD813"/>
      <c r="BE813"/>
    </row>
    <row r="814" spans="4:57">
      <c r="D814" s="447"/>
      <c r="G814" s="447"/>
      <c r="J814" s="447"/>
      <c r="M814" s="447"/>
      <c r="R814" s="447"/>
      <c r="S814"/>
      <c r="T814"/>
      <c r="U814" s="447"/>
      <c r="V814"/>
      <c r="W814"/>
      <c r="X814" s="447"/>
      <c r="Y814"/>
      <c r="Z814"/>
      <c r="AA814" s="447"/>
      <c r="AB814"/>
      <c r="AC814"/>
      <c r="AE814"/>
      <c r="AF814" s="447"/>
      <c r="AG814"/>
      <c r="AH814"/>
      <c r="AI814" s="447"/>
      <c r="AJ814"/>
      <c r="AK814"/>
      <c r="AL814" s="447"/>
      <c r="AM814"/>
      <c r="AN814"/>
      <c r="AO814" s="447"/>
      <c r="AP814"/>
      <c r="AQ814"/>
      <c r="AS814"/>
      <c r="AT814" s="447"/>
      <c r="AU814"/>
      <c r="AV814"/>
      <c r="AW814" s="447"/>
      <c r="AX814"/>
      <c r="AY814"/>
      <c r="AZ814" s="447"/>
      <c r="BA814"/>
      <c r="BB814"/>
      <c r="BC814" s="447"/>
      <c r="BD814"/>
      <c r="BE814"/>
    </row>
    <row r="815" spans="4:57">
      <c r="D815" s="447"/>
      <c r="G815" s="447"/>
      <c r="J815" s="447"/>
      <c r="M815" s="447"/>
      <c r="R815" s="447"/>
      <c r="S815"/>
      <c r="T815"/>
      <c r="U815" s="447"/>
      <c r="V815"/>
      <c r="W815"/>
      <c r="X815" s="447"/>
      <c r="Y815"/>
      <c r="Z815"/>
      <c r="AA815" s="447"/>
      <c r="AB815"/>
      <c r="AC815"/>
      <c r="AE815"/>
      <c r="AF815" s="447"/>
      <c r="AG815"/>
      <c r="AH815"/>
      <c r="AI815" s="447"/>
      <c r="AJ815"/>
      <c r="AK815"/>
      <c r="AL815" s="447"/>
      <c r="AM815"/>
      <c r="AN815"/>
      <c r="AO815" s="447"/>
      <c r="AP815"/>
      <c r="AQ815"/>
      <c r="AS815"/>
      <c r="AT815" s="447"/>
      <c r="AU815"/>
      <c r="AV815"/>
      <c r="AW815" s="447"/>
      <c r="AX815"/>
      <c r="AY815"/>
      <c r="AZ815" s="447"/>
      <c r="BA815"/>
      <c r="BB815"/>
      <c r="BC815" s="447"/>
      <c r="BD815"/>
      <c r="BE815"/>
    </row>
    <row r="816" spans="4:57">
      <c r="D816" s="447"/>
      <c r="G816" s="447"/>
      <c r="J816" s="447"/>
      <c r="M816" s="447"/>
      <c r="R816" s="447"/>
      <c r="S816"/>
      <c r="T816"/>
      <c r="U816" s="447"/>
      <c r="V816"/>
      <c r="W816"/>
      <c r="X816" s="447"/>
      <c r="Y816"/>
      <c r="Z816"/>
      <c r="AA816" s="447"/>
      <c r="AB816"/>
      <c r="AC816"/>
      <c r="AE816"/>
      <c r="AF816" s="447"/>
      <c r="AG816"/>
      <c r="AH816"/>
      <c r="AI816" s="447"/>
      <c r="AJ816"/>
      <c r="AK816"/>
      <c r="AL816" s="447"/>
      <c r="AM816"/>
      <c r="AN816"/>
      <c r="AO816" s="447"/>
      <c r="AP816"/>
      <c r="AQ816"/>
      <c r="AS816"/>
      <c r="AT816" s="447"/>
      <c r="AU816"/>
      <c r="AV816"/>
      <c r="AW816" s="447"/>
      <c r="AX816"/>
      <c r="AY816"/>
      <c r="AZ816" s="447"/>
      <c r="BA816"/>
      <c r="BB816"/>
      <c r="BC816" s="447"/>
      <c r="BD816"/>
      <c r="BE816"/>
    </row>
    <row r="817" spans="4:57">
      <c r="D817" s="447"/>
      <c r="G817" s="447"/>
      <c r="J817" s="447"/>
      <c r="M817" s="447"/>
      <c r="R817" s="447"/>
      <c r="S817"/>
      <c r="T817"/>
      <c r="U817" s="447"/>
      <c r="V817"/>
      <c r="W817"/>
      <c r="X817" s="447"/>
      <c r="Y817"/>
      <c r="Z817"/>
      <c r="AA817" s="447"/>
      <c r="AB817"/>
      <c r="AC817"/>
      <c r="AE817"/>
      <c r="AF817" s="447"/>
      <c r="AG817"/>
      <c r="AH817"/>
      <c r="AI817" s="447"/>
      <c r="AJ817"/>
      <c r="AK817"/>
      <c r="AL817" s="447"/>
      <c r="AM817"/>
      <c r="AN817"/>
      <c r="AO817" s="447"/>
      <c r="AP817"/>
      <c r="AQ817"/>
      <c r="AS817"/>
      <c r="AT817" s="447"/>
      <c r="AU817"/>
      <c r="AV817"/>
      <c r="AW817" s="447"/>
      <c r="AX817"/>
      <c r="AY817"/>
      <c r="AZ817" s="447"/>
      <c r="BA817"/>
      <c r="BB817"/>
      <c r="BC817" s="447"/>
      <c r="BD817"/>
      <c r="BE817"/>
    </row>
    <row r="818" spans="4:57">
      <c r="D818" s="447"/>
      <c r="G818" s="447"/>
      <c r="J818" s="447"/>
      <c r="M818" s="447"/>
      <c r="R818" s="447"/>
      <c r="S818"/>
      <c r="T818"/>
      <c r="U818" s="447"/>
      <c r="V818"/>
      <c r="W818"/>
      <c r="X818" s="447"/>
      <c r="Y818"/>
      <c r="Z818"/>
      <c r="AA818" s="447"/>
      <c r="AB818"/>
      <c r="AC818"/>
      <c r="AE818"/>
      <c r="AF818" s="447"/>
      <c r="AG818"/>
      <c r="AH818"/>
      <c r="AI818" s="447"/>
      <c r="AJ818"/>
      <c r="AK818"/>
      <c r="AL818" s="447"/>
      <c r="AM818"/>
      <c r="AN818"/>
      <c r="AO818" s="447"/>
      <c r="AP818"/>
      <c r="AQ818"/>
      <c r="AS818"/>
      <c r="AT818" s="447"/>
      <c r="AU818"/>
      <c r="AV818"/>
      <c r="AW818" s="447"/>
      <c r="AX818"/>
      <c r="AY818"/>
      <c r="AZ818" s="447"/>
      <c r="BA818"/>
      <c r="BB818"/>
      <c r="BC818" s="447"/>
      <c r="BD818"/>
      <c r="BE818"/>
    </row>
    <row r="819" spans="4:57">
      <c r="D819" s="447"/>
      <c r="G819" s="447"/>
      <c r="J819" s="447"/>
      <c r="M819" s="447"/>
      <c r="R819" s="447"/>
      <c r="S819"/>
      <c r="T819"/>
      <c r="U819" s="447"/>
      <c r="V819"/>
      <c r="W819"/>
      <c r="X819" s="447"/>
      <c r="Y819"/>
      <c r="Z819"/>
      <c r="AA819" s="447"/>
      <c r="AB819"/>
      <c r="AC819"/>
      <c r="AE819"/>
      <c r="AF819" s="447"/>
      <c r="AG819"/>
      <c r="AH819"/>
      <c r="AI819" s="447"/>
      <c r="AJ819"/>
      <c r="AK819"/>
      <c r="AL819" s="447"/>
      <c r="AM819"/>
      <c r="AN819"/>
      <c r="AO819" s="447"/>
      <c r="AP819"/>
      <c r="AQ819"/>
      <c r="AS819"/>
      <c r="AT819" s="447"/>
      <c r="AU819"/>
      <c r="AV819"/>
      <c r="AW819" s="447"/>
      <c r="AX819"/>
      <c r="AY819"/>
      <c r="AZ819" s="447"/>
      <c r="BA819"/>
      <c r="BB819"/>
      <c r="BC819" s="447"/>
      <c r="BD819"/>
      <c r="BE819"/>
    </row>
    <row r="820" spans="4:57">
      <c r="D820" s="447"/>
      <c r="G820" s="447"/>
      <c r="J820" s="447"/>
      <c r="M820" s="447"/>
      <c r="R820" s="447"/>
      <c r="S820"/>
      <c r="T820"/>
      <c r="U820" s="447"/>
      <c r="V820"/>
      <c r="W820"/>
      <c r="X820" s="447"/>
      <c r="Y820"/>
      <c r="Z820"/>
      <c r="AA820" s="447"/>
      <c r="AB820"/>
      <c r="AC820"/>
      <c r="AE820"/>
      <c r="AF820" s="447"/>
      <c r="AG820"/>
      <c r="AH820"/>
      <c r="AI820" s="447"/>
      <c r="AJ820"/>
      <c r="AK820"/>
      <c r="AL820" s="447"/>
      <c r="AM820"/>
      <c r="AN820"/>
      <c r="AO820" s="447"/>
      <c r="AP820"/>
      <c r="AQ820"/>
      <c r="AS820"/>
      <c r="AT820" s="447"/>
      <c r="AU820"/>
      <c r="AV820"/>
      <c r="AW820" s="447"/>
      <c r="AX820"/>
      <c r="AY820"/>
      <c r="AZ820" s="447"/>
      <c r="BA820"/>
      <c r="BB820"/>
      <c r="BC820" s="447"/>
      <c r="BD820"/>
      <c r="BE820"/>
    </row>
    <row r="821" spans="4:57">
      <c r="D821" s="447"/>
      <c r="G821" s="447"/>
      <c r="J821" s="447"/>
      <c r="M821" s="447"/>
      <c r="R821" s="447"/>
      <c r="S821"/>
      <c r="T821"/>
      <c r="U821" s="447"/>
      <c r="V821"/>
      <c r="W821"/>
      <c r="X821" s="447"/>
      <c r="Y821"/>
      <c r="Z821"/>
      <c r="AA821" s="447"/>
      <c r="AB821"/>
      <c r="AC821"/>
      <c r="AE821"/>
      <c r="AF821" s="447"/>
      <c r="AG821"/>
      <c r="AH821"/>
      <c r="AI821" s="447"/>
      <c r="AJ821"/>
      <c r="AK821"/>
      <c r="AL821" s="447"/>
      <c r="AM821"/>
      <c r="AN821"/>
      <c r="AO821" s="447"/>
      <c r="AP821"/>
      <c r="AQ821"/>
      <c r="AS821"/>
      <c r="AT821" s="447"/>
      <c r="AU821"/>
      <c r="AV821"/>
      <c r="AW821" s="447"/>
      <c r="AX821"/>
      <c r="AY821"/>
      <c r="AZ821" s="447"/>
      <c r="BA821"/>
      <c r="BB821"/>
      <c r="BC821" s="447"/>
      <c r="BD821"/>
      <c r="BE821"/>
    </row>
    <row r="822" spans="4:57">
      <c r="D822" s="447"/>
      <c r="G822" s="447"/>
      <c r="J822" s="447"/>
      <c r="M822" s="447"/>
      <c r="R822" s="447"/>
      <c r="S822"/>
      <c r="T822"/>
      <c r="U822" s="447"/>
      <c r="V822"/>
      <c r="W822"/>
      <c r="X822" s="447"/>
      <c r="Y822"/>
      <c r="Z822"/>
      <c r="AA822" s="447"/>
      <c r="AB822"/>
      <c r="AC822"/>
      <c r="AE822"/>
      <c r="AF822" s="447"/>
      <c r="AG822"/>
      <c r="AH822"/>
      <c r="AI822" s="447"/>
      <c r="AJ822"/>
      <c r="AK822"/>
      <c r="AL822" s="447"/>
      <c r="AM822"/>
      <c r="AN822"/>
      <c r="AO822" s="447"/>
      <c r="AP822"/>
      <c r="AQ822"/>
      <c r="AS822"/>
      <c r="AT822" s="447"/>
      <c r="AU822"/>
      <c r="AV822"/>
      <c r="AW822" s="447"/>
      <c r="AX822"/>
      <c r="AY822"/>
      <c r="AZ822" s="447"/>
      <c r="BA822"/>
      <c r="BB822"/>
      <c r="BC822" s="447"/>
      <c r="BD822"/>
      <c r="BE822"/>
    </row>
    <row r="823" spans="4:57">
      <c r="D823" s="447"/>
      <c r="G823" s="447"/>
      <c r="J823" s="447"/>
      <c r="M823" s="447"/>
      <c r="R823" s="447"/>
      <c r="S823"/>
      <c r="T823"/>
      <c r="U823" s="447"/>
      <c r="V823"/>
      <c r="W823"/>
      <c r="X823" s="447"/>
      <c r="Y823"/>
      <c r="Z823"/>
      <c r="AA823" s="447"/>
      <c r="AB823"/>
      <c r="AC823"/>
      <c r="AE823"/>
      <c r="AF823" s="447"/>
      <c r="AG823"/>
      <c r="AH823"/>
      <c r="AI823" s="447"/>
      <c r="AJ823"/>
      <c r="AK823"/>
      <c r="AL823" s="447"/>
      <c r="AM823"/>
      <c r="AN823"/>
      <c r="AO823" s="447"/>
      <c r="AP823"/>
      <c r="AQ823"/>
      <c r="AS823"/>
      <c r="AT823" s="447"/>
      <c r="AU823"/>
      <c r="AV823"/>
      <c r="AW823" s="447"/>
      <c r="AX823"/>
      <c r="AY823"/>
      <c r="AZ823" s="447"/>
      <c r="BA823"/>
      <c r="BB823"/>
      <c r="BC823" s="447"/>
      <c r="BD823"/>
      <c r="BE823"/>
    </row>
    <row r="824" spans="4:57">
      <c r="D824" s="447"/>
      <c r="G824" s="447"/>
      <c r="J824" s="447"/>
      <c r="M824" s="447"/>
      <c r="R824" s="447"/>
      <c r="S824"/>
      <c r="T824"/>
      <c r="U824" s="447"/>
      <c r="V824"/>
      <c r="W824"/>
      <c r="X824" s="447"/>
      <c r="Y824"/>
      <c r="Z824"/>
      <c r="AA824" s="447"/>
      <c r="AB824"/>
      <c r="AC824"/>
      <c r="AE824"/>
      <c r="AF824" s="447"/>
      <c r="AG824"/>
      <c r="AH824"/>
      <c r="AI824" s="447"/>
      <c r="AJ824"/>
      <c r="AK824"/>
      <c r="AL824" s="447"/>
      <c r="AM824"/>
      <c r="AN824"/>
      <c r="AO824" s="447"/>
      <c r="AP824"/>
      <c r="AQ824"/>
      <c r="AS824"/>
      <c r="AT824" s="447"/>
      <c r="AU824"/>
      <c r="AV824"/>
      <c r="AW824" s="447"/>
      <c r="AX824"/>
      <c r="AY824"/>
      <c r="AZ824" s="447"/>
      <c r="BA824"/>
      <c r="BB824"/>
      <c r="BC824" s="447"/>
      <c r="BD824"/>
      <c r="BE824"/>
    </row>
    <row r="825" spans="4:57">
      <c r="D825" s="447"/>
      <c r="G825" s="447"/>
      <c r="J825" s="447"/>
      <c r="M825" s="447"/>
      <c r="R825" s="447"/>
      <c r="S825"/>
      <c r="T825"/>
      <c r="U825" s="447"/>
      <c r="V825"/>
      <c r="W825"/>
      <c r="X825" s="447"/>
      <c r="Y825"/>
      <c r="Z825"/>
      <c r="AA825" s="447"/>
      <c r="AB825"/>
      <c r="AC825"/>
      <c r="AE825"/>
      <c r="AF825" s="447"/>
      <c r="AG825"/>
      <c r="AH825"/>
      <c r="AI825" s="447"/>
      <c r="AJ825"/>
      <c r="AK825"/>
      <c r="AL825" s="447"/>
      <c r="AM825"/>
      <c r="AN825"/>
      <c r="AO825" s="447"/>
      <c r="AP825"/>
      <c r="AQ825"/>
      <c r="AS825"/>
      <c r="AT825" s="447"/>
      <c r="AU825"/>
      <c r="AV825"/>
      <c r="AW825" s="447"/>
      <c r="AX825"/>
      <c r="AY825"/>
      <c r="AZ825" s="447"/>
      <c r="BA825"/>
      <c r="BB825"/>
      <c r="BC825" s="447"/>
      <c r="BD825"/>
      <c r="BE825"/>
    </row>
    <row r="826" spans="4:57">
      <c r="D826" s="447"/>
      <c r="G826" s="447"/>
      <c r="J826" s="447"/>
      <c r="M826" s="447"/>
      <c r="R826" s="447"/>
      <c r="S826"/>
      <c r="T826"/>
      <c r="U826" s="447"/>
      <c r="V826"/>
      <c r="W826"/>
      <c r="X826" s="447"/>
      <c r="Y826"/>
      <c r="Z826"/>
      <c r="AA826" s="447"/>
      <c r="AB826"/>
      <c r="AC826"/>
      <c r="AE826"/>
      <c r="AF826" s="447"/>
      <c r="AG826"/>
      <c r="AH826"/>
      <c r="AI826" s="447"/>
      <c r="AJ826"/>
      <c r="AK826"/>
      <c r="AL826" s="447"/>
      <c r="AM826"/>
      <c r="AN826"/>
      <c r="AO826" s="447"/>
      <c r="AP826"/>
      <c r="AQ826"/>
      <c r="AS826"/>
      <c r="AT826" s="447"/>
      <c r="AU826"/>
      <c r="AV826"/>
      <c r="AW826" s="447"/>
      <c r="AX826"/>
      <c r="AY826"/>
      <c r="AZ826" s="447"/>
      <c r="BA826"/>
      <c r="BB826"/>
      <c r="BC826" s="447"/>
      <c r="BD826"/>
      <c r="BE826"/>
    </row>
    <row r="827" spans="4:57">
      <c r="D827" s="447"/>
      <c r="G827" s="447"/>
      <c r="J827" s="447"/>
      <c r="M827" s="447"/>
      <c r="R827" s="447"/>
      <c r="S827"/>
      <c r="T827"/>
      <c r="U827" s="447"/>
      <c r="V827"/>
      <c r="W827"/>
      <c r="X827" s="447"/>
      <c r="Y827"/>
      <c r="Z827"/>
      <c r="AA827" s="447"/>
      <c r="AB827"/>
      <c r="AC827"/>
      <c r="AE827"/>
      <c r="AF827" s="447"/>
      <c r="AG827"/>
      <c r="AH827"/>
      <c r="AI827" s="447"/>
      <c r="AJ827"/>
      <c r="AK827"/>
      <c r="AL827" s="447"/>
      <c r="AM827"/>
      <c r="AN827"/>
      <c r="AO827" s="447"/>
      <c r="AP827"/>
      <c r="AQ827"/>
      <c r="AS827"/>
      <c r="AT827" s="447"/>
      <c r="AU827"/>
      <c r="AV827"/>
      <c r="AW827" s="447"/>
      <c r="AX827"/>
      <c r="AY827"/>
      <c r="AZ827" s="447"/>
      <c r="BA827"/>
      <c r="BB827"/>
      <c r="BC827" s="447"/>
      <c r="BD827"/>
      <c r="BE827"/>
    </row>
    <row r="828" spans="4:57">
      <c r="D828" s="447"/>
      <c r="G828" s="447"/>
      <c r="J828" s="447"/>
      <c r="M828" s="447"/>
      <c r="R828" s="447"/>
      <c r="S828"/>
      <c r="T828"/>
      <c r="U828" s="447"/>
      <c r="V828"/>
      <c r="W828"/>
      <c r="X828" s="447"/>
      <c r="Y828"/>
      <c r="Z828"/>
      <c r="AA828" s="447"/>
      <c r="AB828"/>
      <c r="AC828"/>
      <c r="AE828"/>
      <c r="AF828" s="447"/>
      <c r="AG828"/>
      <c r="AH828"/>
      <c r="AI828" s="447"/>
      <c r="AJ828"/>
      <c r="AK828"/>
      <c r="AL828" s="447"/>
      <c r="AM828"/>
      <c r="AN828"/>
      <c r="AO828" s="447"/>
      <c r="AP828"/>
      <c r="AQ828"/>
      <c r="AS828"/>
      <c r="AT828" s="447"/>
      <c r="AU828"/>
      <c r="AV828"/>
      <c r="AW828" s="447"/>
      <c r="AX828"/>
      <c r="AY828"/>
      <c r="AZ828" s="447"/>
      <c r="BA828"/>
      <c r="BB828"/>
      <c r="BC828" s="447"/>
      <c r="BD828"/>
      <c r="BE828"/>
    </row>
    <row r="829" spans="4:57">
      <c r="D829" s="447"/>
      <c r="G829" s="447"/>
      <c r="J829" s="447"/>
      <c r="M829" s="447"/>
      <c r="R829" s="447"/>
      <c r="S829"/>
      <c r="T829"/>
      <c r="U829" s="447"/>
      <c r="V829"/>
      <c r="W829"/>
      <c r="X829" s="447"/>
      <c r="Y829"/>
      <c r="Z829"/>
      <c r="AA829" s="447"/>
      <c r="AB829"/>
      <c r="AC829"/>
      <c r="AE829"/>
      <c r="AF829" s="447"/>
      <c r="AG829"/>
      <c r="AH829"/>
      <c r="AI829" s="447"/>
      <c r="AJ829"/>
      <c r="AK829"/>
      <c r="AL829" s="447"/>
      <c r="AM829"/>
      <c r="AN829"/>
      <c r="AO829" s="447"/>
      <c r="AP829"/>
      <c r="AQ829"/>
      <c r="AS829"/>
      <c r="AT829" s="447"/>
      <c r="AU829"/>
      <c r="AV829"/>
      <c r="AW829" s="447"/>
      <c r="AX829"/>
      <c r="AY829"/>
      <c r="AZ829" s="447"/>
      <c r="BA829"/>
      <c r="BB829"/>
      <c r="BC829" s="447"/>
      <c r="BD829"/>
      <c r="BE829"/>
    </row>
    <row r="830" spans="4:57">
      <c r="D830" s="447"/>
      <c r="G830" s="447"/>
      <c r="J830" s="447"/>
      <c r="M830" s="447"/>
      <c r="R830" s="447"/>
      <c r="S830"/>
      <c r="T830"/>
      <c r="U830" s="447"/>
      <c r="V830"/>
      <c r="W830"/>
      <c r="X830" s="447"/>
      <c r="Y830"/>
      <c r="Z830"/>
      <c r="AA830" s="447"/>
      <c r="AB830"/>
      <c r="AC830"/>
      <c r="AE830"/>
      <c r="AF830" s="447"/>
      <c r="AG830"/>
      <c r="AH830"/>
      <c r="AI830" s="447"/>
      <c r="AJ830"/>
      <c r="AK830"/>
      <c r="AL830" s="447"/>
      <c r="AM830"/>
      <c r="AN830"/>
      <c r="AO830" s="447"/>
      <c r="AP830"/>
      <c r="AQ830"/>
      <c r="AS830"/>
      <c r="AT830" s="447"/>
      <c r="AU830"/>
      <c r="AV830"/>
      <c r="AW830" s="447"/>
      <c r="AX830"/>
      <c r="AY830"/>
      <c r="AZ830" s="447"/>
      <c r="BA830"/>
      <c r="BB830"/>
      <c r="BC830" s="447"/>
      <c r="BD830"/>
      <c r="BE830"/>
    </row>
    <row r="831" spans="4:57">
      <c r="D831" s="447"/>
      <c r="G831" s="447"/>
      <c r="J831" s="447"/>
      <c r="M831" s="447"/>
      <c r="R831" s="447"/>
      <c r="S831"/>
      <c r="T831"/>
      <c r="U831" s="447"/>
      <c r="V831"/>
      <c r="W831"/>
      <c r="X831" s="447"/>
      <c r="Y831"/>
      <c r="Z831"/>
      <c r="AA831" s="447"/>
      <c r="AB831"/>
      <c r="AC831"/>
      <c r="AE831"/>
      <c r="AF831" s="447"/>
      <c r="AG831"/>
      <c r="AH831"/>
      <c r="AI831" s="447"/>
      <c r="AJ831"/>
      <c r="AK831"/>
      <c r="AL831" s="447"/>
      <c r="AM831"/>
      <c r="AN831"/>
      <c r="AO831" s="447"/>
      <c r="AP831"/>
      <c r="AQ831"/>
      <c r="AS831"/>
      <c r="AT831" s="447"/>
      <c r="AU831"/>
      <c r="AV831"/>
      <c r="AW831" s="447"/>
      <c r="AX831"/>
      <c r="AY831"/>
      <c r="AZ831" s="447"/>
      <c r="BA831"/>
      <c r="BB831"/>
      <c r="BC831" s="447"/>
      <c r="BD831"/>
      <c r="BE831"/>
    </row>
    <row r="832" spans="4:57">
      <c r="D832" s="447"/>
      <c r="G832" s="447"/>
      <c r="J832" s="447"/>
      <c r="M832" s="447"/>
      <c r="R832" s="447"/>
      <c r="S832"/>
      <c r="T832"/>
      <c r="U832" s="447"/>
      <c r="V832"/>
      <c r="W832"/>
      <c r="X832" s="447"/>
      <c r="Y832"/>
      <c r="Z832"/>
      <c r="AA832" s="447"/>
      <c r="AB832"/>
      <c r="AC832"/>
      <c r="AE832"/>
      <c r="AF832" s="447"/>
      <c r="AG832"/>
      <c r="AH832"/>
      <c r="AI832" s="447"/>
      <c r="AJ832"/>
      <c r="AK832"/>
      <c r="AL832" s="447"/>
      <c r="AM832"/>
      <c r="AN832"/>
      <c r="AO832" s="447"/>
      <c r="AP832"/>
      <c r="AQ832"/>
      <c r="AS832"/>
      <c r="AT832" s="447"/>
      <c r="AU832"/>
      <c r="AV832"/>
      <c r="AW832" s="447"/>
      <c r="AX832"/>
      <c r="AY832"/>
      <c r="AZ832" s="447"/>
      <c r="BA832"/>
      <c r="BB832"/>
      <c r="BC832" s="447"/>
      <c r="BD832"/>
      <c r="BE832"/>
    </row>
    <row r="833" spans="4:57">
      <c r="D833" s="447"/>
      <c r="G833" s="447"/>
      <c r="J833" s="447"/>
      <c r="M833" s="447"/>
      <c r="R833" s="447"/>
      <c r="S833"/>
      <c r="T833"/>
      <c r="U833" s="447"/>
      <c r="V833"/>
      <c r="W833"/>
      <c r="X833" s="447"/>
      <c r="Y833"/>
      <c r="Z833"/>
      <c r="AA833" s="447"/>
      <c r="AB833"/>
      <c r="AC833"/>
      <c r="AE833"/>
      <c r="AF833" s="447"/>
      <c r="AG833"/>
      <c r="AH833"/>
      <c r="AI833" s="447"/>
      <c r="AJ833"/>
      <c r="AK833"/>
      <c r="AL833" s="447"/>
      <c r="AM833"/>
      <c r="AN833"/>
      <c r="AO833" s="447"/>
      <c r="AP833"/>
      <c r="AQ833"/>
      <c r="AS833"/>
      <c r="AT833" s="447"/>
      <c r="AU833"/>
      <c r="AV833"/>
      <c r="AW833" s="447"/>
      <c r="AX833"/>
      <c r="AY833"/>
      <c r="AZ833" s="447"/>
      <c r="BA833"/>
      <c r="BB833"/>
      <c r="BC833" s="447"/>
      <c r="BD833"/>
      <c r="BE833"/>
    </row>
    <row r="834" spans="4:57">
      <c r="D834" s="447"/>
      <c r="G834" s="447"/>
      <c r="J834" s="447"/>
      <c r="M834" s="447"/>
      <c r="R834" s="447"/>
      <c r="S834"/>
      <c r="T834"/>
      <c r="U834" s="447"/>
      <c r="V834"/>
      <c r="W834"/>
      <c r="X834" s="447"/>
      <c r="Y834"/>
      <c r="Z834"/>
      <c r="AA834" s="447"/>
      <c r="AB834"/>
      <c r="AC834"/>
      <c r="AE834"/>
      <c r="AF834" s="447"/>
      <c r="AG834"/>
      <c r="AH834"/>
      <c r="AI834" s="447"/>
      <c r="AJ834"/>
      <c r="AK834"/>
      <c r="AL834" s="447"/>
      <c r="AM834"/>
      <c r="AN834"/>
      <c r="AO834" s="447"/>
      <c r="AP834"/>
      <c r="AQ834"/>
      <c r="AS834"/>
      <c r="AT834" s="447"/>
      <c r="AU834"/>
      <c r="AV834"/>
      <c r="AW834" s="447"/>
      <c r="AX834"/>
      <c r="AY834"/>
      <c r="AZ834" s="447"/>
      <c r="BA834"/>
      <c r="BB834"/>
      <c r="BC834" s="447"/>
      <c r="BD834"/>
      <c r="BE834"/>
    </row>
    <row r="835" spans="4:57">
      <c r="D835" s="447"/>
      <c r="G835" s="447"/>
      <c r="J835" s="447"/>
      <c r="M835" s="447"/>
      <c r="R835" s="447"/>
      <c r="S835"/>
      <c r="T835"/>
      <c r="U835" s="447"/>
      <c r="V835"/>
      <c r="W835"/>
      <c r="X835" s="447"/>
      <c r="Y835"/>
      <c r="Z835"/>
      <c r="AA835" s="447"/>
      <c r="AB835"/>
      <c r="AC835"/>
      <c r="AE835"/>
      <c r="AF835" s="447"/>
      <c r="AG835"/>
      <c r="AH835"/>
      <c r="AI835" s="447"/>
      <c r="AJ835"/>
      <c r="AK835"/>
      <c r="AL835" s="447"/>
      <c r="AM835"/>
      <c r="AN835"/>
      <c r="AO835" s="447"/>
      <c r="AP835"/>
      <c r="AQ835"/>
      <c r="AS835"/>
      <c r="AT835" s="447"/>
      <c r="AU835"/>
      <c r="AV835"/>
      <c r="AW835" s="447"/>
      <c r="AX835"/>
      <c r="AY835"/>
      <c r="AZ835" s="447"/>
      <c r="BA835"/>
      <c r="BB835"/>
      <c r="BC835" s="447"/>
      <c r="BD835"/>
      <c r="BE835"/>
    </row>
    <row r="836" spans="4:57">
      <c r="D836" s="447"/>
      <c r="G836" s="447"/>
      <c r="J836" s="447"/>
      <c r="M836" s="447"/>
      <c r="R836" s="447"/>
      <c r="S836"/>
      <c r="T836"/>
      <c r="U836" s="447"/>
      <c r="V836"/>
      <c r="W836"/>
      <c r="X836" s="447"/>
      <c r="Y836"/>
      <c r="Z836"/>
      <c r="AA836" s="447"/>
      <c r="AB836"/>
      <c r="AC836"/>
      <c r="AE836"/>
      <c r="AF836" s="447"/>
      <c r="AG836"/>
      <c r="AH836"/>
      <c r="AI836" s="447"/>
      <c r="AJ836"/>
      <c r="AK836"/>
      <c r="AL836" s="447"/>
      <c r="AM836"/>
      <c r="AN836"/>
      <c r="AO836" s="447"/>
      <c r="AP836"/>
      <c r="AQ836"/>
      <c r="AS836"/>
      <c r="AT836" s="447"/>
      <c r="AU836"/>
      <c r="AV836"/>
      <c r="AW836" s="447"/>
      <c r="AX836"/>
      <c r="AY836"/>
      <c r="AZ836" s="447"/>
      <c r="BA836"/>
      <c r="BB836"/>
      <c r="BC836" s="447"/>
      <c r="BD836"/>
      <c r="BE836"/>
    </row>
    <row r="837" spans="4:57">
      <c r="D837" s="447"/>
      <c r="G837" s="447"/>
      <c r="J837" s="447"/>
      <c r="M837" s="447"/>
      <c r="R837" s="447"/>
      <c r="S837"/>
      <c r="T837"/>
      <c r="U837" s="447"/>
      <c r="V837"/>
      <c r="W837"/>
      <c r="X837" s="447"/>
      <c r="Y837"/>
      <c r="Z837"/>
      <c r="AA837" s="447"/>
      <c r="AB837"/>
      <c r="AC837"/>
      <c r="AE837"/>
      <c r="AF837" s="447"/>
      <c r="AG837"/>
      <c r="AH837"/>
      <c r="AI837" s="447"/>
      <c r="AJ837"/>
      <c r="AK837"/>
      <c r="AL837" s="447"/>
      <c r="AM837"/>
      <c r="AN837"/>
      <c r="AO837" s="447"/>
      <c r="AP837"/>
      <c r="AQ837"/>
      <c r="AS837"/>
      <c r="AT837" s="447"/>
      <c r="AU837"/>
      <c r="AV837"/>
      <c r="AW837" s="447"/>
      <c r="AX837"/>
      <c r="AY837"/>
      <c r="AZ837" s="447"/>
      <c r="BA837"/>
      <c r="BB837"/>
      <c r="BC837" s="447"/>
      <c r="BD837"/>
      <c r="BE837"/>
    </row>
    <row r="838" spans="4:57">
      <c r="D838" s="447"/>
      <c r="G838" s="447"/>
      <c r="J838" s="447"/>
      <c r="M838" s="447"/>
      <c r="R838" s="447"/>
      <c r="S838"/>
      <c r="T838"/>
      <c r="U838" s="447"/>
      <c r="V838"/>
      <c r="W838"/>
      <c r="X838" s="447"/>
      <c r="Y838"/>
      <c r="Z838"/>
      <c r="AA838" s="447"/>
      <c r="AB838"/>
      <c r="AC838"/>
      <c r="AE838"/>
      <c r="AF838" s="447"/>
      <c r="AG838"/>
      <c r="AH838"/>
      <c r="AI838" s="447"/>
      <c r="AJ838"/>
      <c r="AK838"/>
      <c r="AL838" s="447"/>
      <c r="AM838"/>
      <c r="AN838"/>
      <c r="AO838" s="447"/>
      <c r="AP838"/>
      <c r="AQ838"/>
      <c r="AS838"/>
      <c r="AT838" s="447"/>
      <c r="AU838"/>
      <c r="AV838"/>
      <c r="AW838" s="447"/>
      <c r="AX838"/>
      <c r="AY838"/>
      <c r="AZ838" s="447"/>
      <c r="BA838"/>
      <c r="BB838"/>
      <c r="BC838" s="447"/>
      <c r="BD838"/>
      <c r="BE838"/>
    </row>
    <row r="839" spans="4:57">
      <c r="D839" s="447"/>
      <c r="G839" s="447"/>
      <c r="J839" s="447"/>
      <c r="M839" s="447"/>
      <c r="R839" s="447"/>
      <c r="S839"/>
      <c r="T839"/>
      <c r="U839" s="447"/>
      <c r="V839"/>
      <c r="W839"/>
      <c r="X839" s="447"/>
      <c r="Y839"/>
      <c r="Z839"/>
      <c r="AA839" s="447"/>
      <c r="AB839"/>
      <c r="AC839"/>
      <c r="AE839"/>
      <c r="AF839" s="447"/>
      <c r="AG839"/>
      <c r="AH839"/>
      <c r="AI839" s="447"/>
      <c r="AJ839"/>
      <c r="AK839"/>
      <c r="AL839" s="447"/>
      <c r="AM839"/>
      <c r="AN839"/>
      <c r="AO839" s="447"/>
      <c r="AP839"/>
      <c r="AQ839"/>
      <c r="AS839"/>
      <c r="AT839" s="447"/>
      <c r="AU839"/>
      <c r="AV839"/>
      <c r="AW839" s="447"/>
      <c r="AX839"/>
      <c r="AY839"/>
      <c r="AZ839" s="447"/>
      <c r="BA839"/>
      <c r="BB839"/>
      <c r="BC839" s="447"/>
      <c r="BD839"/>
      <c r="BE839"/>
    </row>
    <row r="840" spans="4:57">
      <c r="D840" s="447"/>
      <c r="G840" s="447"/>
      <c r="J840" s="447"/>
      <c r="M840" s="447"/>
      <c r="R840" s="447"/>
      <c r="S840"/>
      <c r="T840"/>
      <c r="U840" s="447"/>
      <c r="V840"/>
      <c r="W840"/>
      <c r="X840" s="447"/>
      <c r="Y840"/>
      <c r="Z840"/>
      <c r="AA840" s="447"/>
      <c r="AB840"/>
      <c r="AC840"/>
      <c r="AE840"/>
      <c r="AF840" s="447"/>
      <c r="AG840"/>
      <c r="AH840"/>
      <c r="AI840" s="447"/>
      <c r="AJ840"/>
      <c r="AK840"/>
      <c r="AL840" s="447"/>
      <c r="AM840"/>
      <c r="AN840"/>
      <c r="AO840" s="447"/>
      <c r="AP840"/>
      <c r="AQ840"/>
      <c r="AS840"/>
      <c r="AT840" s="447"/>
      <c r="AU840"/>
      <c r="AV840"/>
      <c r="AW840" s="447"/>
      <c r="AX840"/>
      <c r="AY840"/>
      <c r="AZ840" s="447"/>
      <c r="BA840"/>
      <c r="BB840"/>
      <c r="BC840" s="447"/>
      <c r="BD840"/>
      <c r="BE840"/>
    </row>
    <row r="841" spans="4:57">
      <c r="D841" s="447"/>
      <c r="G841" s="447"/>
      <c r="J841" s="447"/>
      <c r="M841" s="447"/>
      <c r="R841" s="447"/>
      <c r="S841"/>
      <c r="T841"/>
      <c r="U841" s="447"/>
      <c r="V841"/>
      <c r="W841"/>
      <c r="X841" s="447"/>
      <c r="Y841"/>
      <c r="Z841"/>
      <c r="AA841" s="447"/>
      <c r="AB841"/>
      <c r="AC841"/>
      <c r="AE841"/>
      <c r="AF841" s="447"/>
      <c r="AG841"/>
      <c r="AH841"/>
      <c r="AI841" s="447"/>
      <c r="AJ841"/>
      <c r="AK841"/>
      <c r="AL841" s="447"/>
      <c r="AM841"/>
      <c r="AN841"/>
      <c r="AO841" s="447"/>
      <c r="AP841"/>
      <c r="AQ841"/>
      <c r="AS841"/>
      <c r="AT841" s="447"/>
      <c r="AU841"/>
      <c r="AV841"/>
      <c r="AW841" s="447"/>
      <c r="AX841"/>
      <c r="AY841"/>
      <c r="AZ841" s="447"/>
      <c r="BA841"/>
      <c r="BB841"/>
      <c r="BC841" s="447"/>
      <c r="BD841"/>
      <c r="BE841"/>
    </row>
    <row r="842" spans="4:57">
      <c r="D842" s="447"/>
      <c r="G842" s="447"/>
      <c r="J842" s="447"/>
      <c r="M842" s="447"/>
      <c r="R842" s="447"/>
      <c r="S842"/>
      <c r="T842"/>
      <c r="U842" s="447"/>
      <c r="V842"/>
      <c r="W842"/>
      <c r="X842" s="447"/>
      <c r="Y842"/>
      <c r="Z842"/>
      <c r="AA842" s="447"/>
      <c r="AB842"/>
      <c r="AC842"/>
      <c r="AE842"/>
      <c r="AF842" s="447"/>
      <c r="AG842"/>
      <c r="AH842"/>
      <c r="AI842" s="447"/>
      <c r="AJ842"/>
      <c r="AK842"/>
      <c r="AL842" s="447"/>
      <c r="AM842"/>
      <c r="AN842"/>
      <c r="AO842" s="447"/>
      <c r="AP842"/>
      <c r="AQ842"/>
      <c r="AS842"/>
      <c r="AT842" s="447"/>
      <c r="AU842"/>
      <c r="AV842"/>
      <c r="AW842" s="447"/>
      <c r="AX842"/>
      <c r="AY842"/>
      <c r="AZ842" s="447"/>
      <c r="BA842"/>
      <c r="BB842"/>
      <c r="BC842" s="447"/>
      <c r="BD842"/>
      <c r="BE842"/>
    </row>
    <row r="843" spans="4:57">
      <c r="D843" s="447"/>
      <c r="G843" s="447"/>
      <c r="J843" s="447"/>
      <c r="M843" s="447"/>
      <c r="R843" s="447"/>
      <c r="S843"/>
      <c r="T843"/>
      <c r="U843" s="447"/>
      <c r="V843"/>
      <c r="W843"/>
      <c r="X843" s="447"/>
      <c r="Y843"/>
      <c r="Z843"/>
      <c r="AA843" s="447"/>
      <c r="AB843"/>
      <c r="AC843"/>
      <c r="AE843"/>
      <c r="AF843" s="447"/>
      <c r="AG843"/>
      <c r="AH843"/>
      <c r="AI843" s="447"/>
      <c r="AJ843"/>
      <c r="AK843"/>
      <c r="AL843" s="447"/>
      <c r="AM843"/>
      <c r="AN843"/>
      <c r="AO843" s="447"/>
      <c r="AP843"/>
      <c r="AQ843"/>
      <c r="AS843"/>
      <c r="AT843" s="447"/>
      <c r="AU843"/>
      <c r="AV843"/>
      <c r="AW843" s="447"/>
      <c r="AX843"/>
      <c r="AY843"/>
      <c r="AZ843" s="447"/>
      <c r="BA843"/>
      <c r="BB843"/>
      <c r="BC843" s="447"/>
      <c r="BD843"/>
      <c r="BE843"/>
    </row>
    <row r="844" spans="4:57">
      <c r="D844" s="447"/>
      <c r="G844" s="447"/>
      <c r="J844" s="447"/>
      <c r="M844" s="447"/>
      <c r="R844" s="447"/>
      <c r="S844"/>
      <c r="T844"/>
      <c r="U844" s="447"/>
      <c r="V844"/>
      <c r="W844"/>
      <c r="X844" s="447"/>
      <c r="Y844"/>
      <c r="Z844"/>
      <c r="AA844" s="447"/>
      <c r="AB844"/>
      <c r="AC844"/>
      <c r="AE844"/>
      <c r="AF844" s="447"/>
      <c r="AG844"/>
      <c r="AH844"/>
      <c r="AI844" s="447"/>
      <c r="AJ844"/>
      <c r="AK844"/>
      <c r="AL844" s="447"/>
      <c r="AM844"/>
      <c r="AN844"/>
      <c r="AO844" s="447"/>
      <c r="AP844"/>
      <c r="AQ844"/>
      <c r="AS844"/>
      <c r="AT844" s="447"/>
      <c r="AU844"/>
      <c r="AV844"/>
      <c r="AW844" s="447"/>
      <c r="AX844"/>
      <c r="AY844"/>
      <c r="AZ844" s="447"/>
      <c r="BA844"/>
      <c r="BB844"/>
      <c r="BC844" s="447"/>
      <c r="BD844"/>
      <c r="BE844"/>
    </row>
    <row r="845" spans="4:57">
      <c r="D845" s="447"/>
      <c r="G845" s="447"/>
      <c r="J845" s="447"/>
      <c r="M845" s="447"/>
      <c r="R845" s="447"/>
      <c r="S845"/>
      <c r="T845"/>
      <c r="U845" s="447"/>
      <c r="V845"/>
      <c r="W845"/>
      <c r="X845" s="447"/>
      <c r="Y845"/>
      <c r="Z845"/>
      <c r="AA845" s="447"/>
      <c r="AB845"/>
      <c r="AC845"/>
      <c r="AE845"/>
      <c r="AF845" s="447"/>
      <c r="AG845"/>
      <c r="AH845"/>
      <c r="AI845" s="447"/>
      <c r="AJ845"/>
      <c r="AK845"/>
      <c r="AL845" s="447"/>
      <c r="AM845"/>
      <c r="AN845"/>
      <c r="AO845" s="447"/>
      <c r="AP845"/>
      <c r="AQ845"/>
      <c r="AS845"/>
      <c r="AT845" s="447"/>
      <c r="AU845"/>
      <c r="AV845"/>
      <c r="AW845" s="447"/>
      <c r="AX845"/>
      <c r="AY845"/>
      <c r="AZ845" s="447"/>
      <c r="BA845"/>
      <c r="BB845"/>
      <c r="BC845" s="447"/>
      <c r="BD845"/>
      <c r="BE845"/>
    </row>
    <row r="846" spans="4:57">
      <c r="D846" s="447"/>
      <c r="G846" s="447"/>
      <c r="J846" s="447"/>
      <c r="M846" s="447"/>
      <c r="R846" s="447"/>
      <c r="S846"/>
      <c r="T846"/>
      <c r="U846" s="447"/>
      <c r="V846"/>
      <c r="W846"/>
      <c r="X846" s="447"/>
      <c r="Y846"/>
      <c r="Z846"/>
      <c r="AA846" s="447"/>
      <c r="AB846"/>
      <c r="AC846"/>
      <c r="AE846"/>
      <c r="AF846" s="447"/>
      <c r="AG846"/>
      <c r="AH846"/>
      <c r="AI846" s="447"/>
      <c r="AJ846"/>
      <c r="AK846"/>
      <c r="AL846" s="447"/>
      <c r="AM846"/>
      <c r="AN846"/>
      <c r="AO846" s="447"/>
      <c r="AP846"/>
      <c r="AQ846"/>
      <c r="AS846"/>
      <c r="AT846" s="447"/>
      <c r="AU846"/>
      <c r="AV846"/>
      <c r="AW846" s="447"/>
      <c r="AX846"/>
      <c r="AY846"/>
      <c r="AZ846" s="447"/>
      <c r="BA846"/>
      <c r="BB846"/>
      <c r="BC846" s="447"/>
      <c r="BD846"/>
      <c r="BE846"/>
    </row>
    <row r="847" spans="4:57">
      <c r="D847" s="447"/>
      <c r="G847" s="447"/>
      <c r="J847" s="447"/>
      <c r="M847" s="447"/>
      <c r="R847" s="447"/>
      <c r="S847"/>
      <c r="T847"/>
      <c r="U847" s="447"/>
      <c r="V847"/>
      <c r="W847"/>
      <c r="X847" s="447"/>
      <c r="Y847"/>
      <c r="Z847"/>
      <c r="AA847" s="447"/>
      <c r="AB847"/>
      <c r="AC847"/>
      <c r="AE847"/>
      <c r="AF847" s="447"/>
      <c r="AG847"/>
      <c r="AH847"/>
      <c r="AI847" s="447"/>
      <c r="AJ847"/>
      <c r="AK847"/>
      <c r="AL847" s="447"/>
      <c r="AM847"/>
      <c r="AN847"/>
      <c r="AO847" s="447"/>
      <c r="AP847"/>
      <c r="AQ847"/>
      <c r="AS847"/>
      <c r="AT847" s="447"/>
      <c r="AU847"/>
      <c r="AV847"/>
      <c r="AW847" s="447"/>
      <c r="AX847"/>
      <c r="AY847"/>
      <c r="AZ847" s="447"/>
      <c r="BA847"/>
      <c r="BB847"/>
      <c r="BC847" s="447"/>
      <c r="BD847"/>
      <c r="BE847"/>
    </row>
    <row r="848" spans="4:57">
      <c r="D848" s="447"/>
      <c r="G848" s="447"/>
      <c r="J848" s="447"/>
      <c r="M848" s="447"/>
      <c r="R848" s="447"/>
      <c r="S848"/>
      <c r="T848"/>
      <c r="U848" s="447"/>
      <c r="V848"/>
      <c r="W848"/>
      <c r="X848" s="447"/>
      <c r="Y848"/>
      <c r="Z848"/>
      <c r="AA848" s="447"/>
      <c r="AB848"/>
      <c r="AC848"/>
      <c r="AE848"/>
      <c r="AF848" s="447"/>
      <c r="AG848"/>
      <c r="AH848"/>
      <c r="AI848" s="447"/>
      <c r="AJ848"/>
      <c r="AK848"/>
      <c r="AL848" s="447"/>
      <c r="AM848"/>
      <c r="AN848"/>
      <c r="AO848" s="447"/>
      <c r="AP848"/>
      <c r="AQ848"/>
      <c r="AS848"/>
      <c r="AT848" s="447"/>
      <c r="AU848"/>
      <c r="AV848"/>
      <c r="AW848" s="447"/>
      <c r="AX848"/>
      <c r="AY848"/>
      <c r="AZ848" s="447"/>
      <c r="BA848"/>
      <c r="BB848"/>
      <c r="BC848" s="447"/>
      <c r="BD848"/>
      <c r="BE848"/>
    </row>
    <row r="849" spans="4:57">
      <c r="D849" s="447"/>
      <c r="G849" s="447"/>
      <c r="J849" s="447"/>
      <c r="M849" s="447"/>
      <c r="R849" s="447"/>
      <c r="S849"/>
      <c r="T849"/>
      <c r="U849" s="447"/>
      <c r="V849"/>
      <c r="W849"/>
      <c r="X849" s="447"/>
      <c r="Y849"/>
      <c r="Z849"/>
      <c r="AA849" s="447"/>
      <c r="AB849"/>
      <c r="AC849"/>
      <c r="AE849"/>
      <c r="AF849" s="447"/>
      <c r="AG849"/>
      <c r="AH849"/>
      <c r="AI849" s="447"/>
      <c r="AJ849"/>
      <c r="AK849"/>
      <c r="AL849" s="447"/>
      <c r="AM849"/>
      <c r="AN849"/>
      <c r="AO849" s="447"/>
      <c r="AP849"/>
      <c r="AQ849"/>
      <c r="AS849"/>
      <c r="AT849" s="447"/>
      <c r="AU849"/>
      <c r="AV849"/>
      <c r="AW849" s="447"/>
      <c r="AX849"/>
      <c r="AY849"/>
      <c r="AZ849" s="447"/>
      <c r="BA849"/>
      <c r="BB849"/>
      <c r="BC849" s="447"/>
      <c r="BD849"/>
      <c r="BE849"/>
    </row>
    <row r="850" spans="4:57">
      <c r="D850" s="447"/>
      <c r="G850" s="447"/>
      <c r="J850" s="447"/>
      <c r="M850" s="447"/>
      <c r="R850" s="447"/>
      <c r="S850"/>
      <c r="T850"/>
      <c r="U850" s="447"/>
      <c r="V850"/>
      <c r="W850"/>
      <c r="X850" s="447"/>
      <c r="Y850"/>
      <c r="Z850"/>
      <c r="AA850" s="447"/>
      <c r="AB850"/>
      <c r="AC850"/>
      <c r="AE850"/>
      <c r="AF850" s="447"/>
      <c r="AG850"/>
      <c r="AH850"/>
      <c r="AI850" s="447"/>
      <c r="AJ850"/>
      <c r="AK850"/>
      <c r="AL850" s="447"/>
      <c r="AM850"/>
      <c r="AN850"/>
      <c r="AO850" s="447"/>
      <c r="AP850"/>
      <c r="AQ850"/>
      <c r="AS850"/>
      <c r="AT850" s="447"/>
      <c r="AU850"/>
      <c r="AV850"/>
      <c r="AW850" s="447"/>
      <c r="AX850"/>
      <c r="AY850"/>
      <c r="AZ850" s="447"/>
      <c r="BA850"/>
      <c r="BB850"/>
      <c r="BC850" s="447"/>
      <c r="BD850"/>
      <c r="BE850"/>
    </row>
    <row r="851" spans="4:57">
      <c r="D851" s="447"/>
      <c r="G851" s="447"/>
      <c r="J851" s="447"/>
      <c r="M851" s="447"/>
      <c r="R851" s="447"/>
      <c r="S851"/>
      <c r="T851"/>
      <c r="U851" s="447"/>
      <c r="V851"/>
      <c r="W851"/>
      <c r="X851" s="447"/>
      <c r="Y851"/>
      <c r="Z851"/>
      <c r="AA851" s="447"/>
      <c r="AB851"/>
      <c r="AC851"/>
      <c r="AE851"/>
      <c r="AF851" s="447"/>
      <c r="AG851"/>
      <c r="AH851"/>
      <c r="AI851" s="447"/>
      <c r="AJ851"/>
      <c r="AK851"/>
      <c r="AL851" s="447"/>
      <c r="AM851"/>
      <c r="AN851"/>
      <c r="AO851" s="447"/>
      <c r="AP851"/>
      <c r="AQ851"/>
      <c r="AS851"/>
      <c r="AT851" s="447"/>
      <c r="AU851"/>
      <c r="AV851"/>
      <c r="AW851" s="447"/>
      <c r="AX851"/>
      <c r="AY851"/>
      <c r="AZ851" s="447"/>
      <c r="BA851"/>
      <c r="BB851"/>
      <c r="BC851" s="447"/>
      <c r="BD851"/>
      <c r="BE851"/>
    </row>
    <row r="852" spans="4:57">
      <c r="D852" s="447"/>
      <c r="G852" s="447"/>
      <c r="J852" s="447"/>
      <c r="M852" s="447"/>
      <c r="R852" s="447"/>
      <c r="S852"/>
      <c r="T852"/>
      <c r="U852" s="447"/>
      <c r="V852"/>
      <c r="W852"/>
      <c r="X852" s="447"/>
      <c r="Y852"/>
      <c r="Z852"/>
      <c r="AA852" s="447"/>
      <c r="AB852"/>
      <c r="AC852"/>
      <c r="AE852"/>
      <c r="AF852" s="447"/>
      <c r="AG852"/>
      <c r="AH852"/>
      <c r="AI852" s="447"/>
      <c r="AJ852"/>
      <c r="AK852"/>
      <c r="AL852" s="447"/>
      <c r="AM852"/>
      <c r="AN852"/>
      <c r="AO852" s="447"/>
      <c r="AP852"/>
      <c r="AQ852"/>
      <c r="AS852"/>
      <c r="AT852" s="447"/>
      <c r="AU852"/>
      <c r="AV852"/>
      <c r="AW852" s="447"/>
      <c r="AX852"/>
      <c r="AY852"/>
      <c r="AZ852" s="447"/>
      <c r="BA852"/>
      <c r="BB852"/>
      <c r="BC852" s="447"/>
      <c r="BD852"/>
      <c r="BE852"/>
    </row>
    <row r="853" spans="4:57">
      <c r="D853" s="447"/>
      <c r="G853" s="447"/>
      <c r="J853" s="447"/>
      <c r="M853" s="447"/>
      <c r="R853" s="447"/>
      <c r="S853"/>
      <c r="T853"/>
      <c r="U853" s="447"/>
      <c r="V853"/>
      <c r="W853"/>
      <c r="X853" s="447"/>
      <c r="Y853"/>
      <c r="Z853"/>
      <c r="AA853" s="447"/>
      <c r="AB853"/>
      <c r="AC853"/>
      <c r="AE853"/>
      <c r="AF853" s="447"/>
      <c r="AG853"/>
      <c r="AH853"/>
      <c r="AI853" s="447"/>
      <c r="AJ853"/>
      <c r="AK853"/>
      <c r="AL853" s="447"/>
      <c r="AM853"/>
      <c r="AN853"/>
      <c r="AO853" s="447"/>
      <c r="AP853"/>
      <c r="AQ853"/>
      <c r="AS853"/>
      <c r="AT853" s="447"/>
      <c r="AU853"/>
      <c r="AV853"/>
      <c r="AW853" s="447"/>
      <c r="AX853"/>
      <c r="AY853"/>
      <c r="AZ853" s="447"/>
      <c r="BA853"/>
      <c r="BB853"/>
      <c r="BC853" s="447"/>
      <c r="BD853"/>
      <c r="BE853"/>
    </row>
    <row r="854" spans="4:57">
      <c r="D854" s="447"/>
      <c r="G854" s="447"/>
      <c r="J854" s="447"/>
      <c r="M854" s="447"/>
      <c r="R854" s="447"/>
      <c r="S854"/>
      <c r="T854"/>
      <c r="U854" s="447"/>
      <c r="V854"/>
      <c r="W854"/>
      <c r="X854" s="447"/>
      <c r="Y854"/>
      <c r="Z854"/>
      <c r="AA854" s="447"/>
      <c r="AB854"/>
      <c r="AC854"/>
      <c r="AE854"/>
      <c r="AF854" s="447"/>
      <c r="AG854"/>
      <c r="AH854"/>
      <c r="AI854" s="447"/>
      <c r="AJ854"/>
      <c r="AK854"/>
      <c r="AL854" s="447"/>
      <c r="AM854"/>
      <c r="AN854"/>
      <c r="AO854" s="447"/>
      <c r="AP854"/>
      <c r="AQ854"/>
      <c r="AS854"/>
      <c r="AT854" s="447"/>
      <c r="AU854"/>
      <c r="AV854"/>
      <c r="AW854" s="447"/>
      <c r="AX854"/>
      <c r="AY854"/>
      <c r="AZ854" s="447"/>
      <c r="BA854"/>
      <c r="BB854"/>
      <c r="BC854" s="447"/>
      <c r="BD854"/>
      <c r="BE854"/>
    </row>
    <row r="855" spans="4:57">
      <c r="D855" s="447"/>
      <c r="G855" s="447"/>
      <c r="J855" s="447"/>
      <c r="M855" s="447"/>
      <c r="R855" s="447"/>
      <c r="S855"/>
      <c r="T855"/>
      <c r="U855" s="447"/>
      <c r="V855"/>
      <c r="W855"/>
      <c r="X855" s="447"/>
      <c r="Y855"/>
      <c r="Z855"/>
      <c r="AA855" s="447"/>
      <c r="AB855"/>
      <c r="AC855"/>
      <c r="AE855"/>
      <c r="AF855" s="447"/>
      <c r="AG855"/>
      <c r="AH855"/>
      <c r="AI855" s="447"/>
      <c r="AJ855"/>
      <c r="AK855"/>
      <c r="AL855" s="447"/>
      <c r="AM855"/>
      <c r="AN855"/>
      <c r="AO855" s="447"/>
      <c r="AP855"/>
      <c r="AQ855"/>
      <c r="AS855"/>
      <c r="AT855" s="447"/>
      <c r="AU855"/>
      <c r="AV855"/>
      <c r="AW855" s="447"/>
      <c r="AX855"/>
      <c r="AY855"/>
      <c r="AZ855" s="447"/>
      <c r="BA855"/>
      <c r="BB855"/>
      <c r="BC855" s="447"/>
      <c r="BD855"/>
      <c r="BE855"/>
    </row>
    <row r="856" spans="4:57">
      <c r="D856" s="447"/>
      <c r="G856" s="447"/>
      <c r="J856" s="447"/>
      <c r="M856" s="447"/>
      <c r="R856" s="447"/>
      <c r="S856"/>
      <c r="T856"/>
      <c r="U856" s="447"/>
      <c r="V856"/>
      <c r="W856"/>
      <c r="X856" s="447"/>
      <c r="Y856"/>
      <c r="Z856"/>
      <c r="AA856" s="447"/>
      <c r="AB856"/>
      <c r="AC856"/>
      <c r="AE856"/>
      <c r="AF856" s="447"/>
      <c r="AG856"/>
      <c r="AH856"/>
      <c r="AI856" s="447"/>
      <c r="AJ856"/>
      <c r="AK856"/>
      <c r="AL856" s="447"/>
      <c r="AM856"/>
      <c r="AN856"/>
      <c r="AO856" s="447"/>
      <c r="AP856"/>
      <c r="AQ856"/>
      <c r="AS856"/>
      <c r="AT856" s="447"/>
      <c r="AU856"/>
      <c r="AV856"/>
      <c r="AW856" s="447"/>
      <c r="AX856"/>
      <c r="AY856"/>
      <c r="AZ856" s="447"/>
      <c r="BA856"/>
      <c r="BB856"/>
      <c r="BC856" s="447"/>
      <c r="BD856"/>
      <c r="BE856"/>
    </row>
    <row r="857" spans="4:57">
      <c r="D857" s="447"/>
      <c r="G857" s="447"/>
      <c r="J857" s="447"/>
      <c r="M857" s="447"/>
      <c r="R857" s="447"/>
      <c r="S857"/>
      <c r="T857"/>
      <c r="U857" s="447"/>
      <c r="V857"/>
      <c r="W857"/>
      <c r="X857" s="447"/>
      <c r="Y857"/>
      <c r="Z857"/>
      <c r="AA857" s="447"/>
      <c r="AB857"/>
      <c r="AC857"/>
      <c r="AE857"/>
      <c r="AF857" s="447"/>
      <c r="AG857"/>
      <c r="AH857"/>
      <c r="AI857" s="447"/>
      <c r="AJ857"/>
      <c r="AK857"/>
      <c r="AL857" s="447"/>
      <c r="AM857"/>
      <c r="AN857"/>
      <c r="AO857" s="447"/>
      <c r="AP857"/>
      <c r="AQ857"/>
      <c r="AS857"/>
      <c r="AT857" s="447"/>
      <c r="AU857"/>
      <c r="AV857"/>
      <c r="AW857" s="447"/>
      <c r="AX857"/>
      <c r="AY857"/>
      <c r="AZ857" s="447"/>
      <c r="BA857"/>
      <c r="BB857"/>
      <c r="BC857" s="447"/>
      <c r="BD857"/>
      <c r="BE857"/>
    </row>
    <row r="858" spans="4:57">
      <c r="D858" s="447"/>
      <c r="G858" s="447"/>
      <c r="J858" s="447"/>
      <c r="M858" s="447"/>
      <c r="R858" s="447"/>
      <c r="S858"/>
      <c r="T858"/>
      <c r="U858" s="447"/>
      <c r="V858"/>
      <c r="W858"/>
      <c r="X858" s="447"/>
      <c r="Y858"/>
      <c r="Z858"/>
      <c r="AA858" s="447"/>
      <c r="AB858"/>
      <c r="AC858"/>
      <c r="AE858"/>
      <c r="AF858" s="447"/>
      <c r="AG858"/>
      <c r="AH858"/>
      <c r="AI858" s="447"/>
      <c r="AJ858"/>
      <c r="AK858"/>
      <c r="AL858" s="447"/>
      <c r="AM858"/>
      <c r="AN858"/>
      <c r="AO858" s="447"/>
      <c r="AP858"/>
      <c r="AQ858"/>
      <c r="AS858"/>
      <c r="AT858" s="447"/>
      <c r="AU858"/>
      <c r="AV858"/>
      <c r="AW858" s="447"/>
      <c r="AX858"/>
      <c r="AY858"/>
      <c r="AZ858" s="447"/>
      <c r="BA858"/>
      <c r="BB858"/>
      <c r="BC858" s="447"/>
      <c r="BD858"/>
      <c r="BE858"/>
    </row>
    <row r="859" spans="4:57">
      <c r="D859" s="447"/>
      <c r="G859" s="447"/>
      <c r="J859" s="447"/>
      <c r="M859" s="447"/>
      <c r="R859" s="447"/>
      <c r="S859"/>
      <c r="T859"/>
      <c r="U859" s="447"/>
      <c r="V859"/>
      <c r="W859"/>
      <c r="X859" s="447"/>
      <c r="Y859"/>
      <c r="Z859"/>
      <c r="AA859" s="447"/>
      <c r="AB859"/>
      <c r="AC859"/>
      <c r="AE859"/>
      <c r="AF859" s="447"/>
      <c r="AG859"/>
      <c r="AH859"/>
      <c r="AI859" s="447"/>
      <c r="AJ859"/>
      <c r="AK859"/>
      <c r="AL859" s="447"/>
      <c r="AM859"/>
      <c r="AN859"/>
      <c r="AO859" s="447"/>
      <c r="AP859"/>
      <c r="AQ859"/>
      <c r="AS859"/>
      <c r="AT859" s="447"/>
      <c r="AU859"/>
      <c r="AV859"/>
      <c r="AW859" s="447"/>
      <c r="AX859"/>
      <c r="AY859"/>
      <c r="AZ859" s="447"/>
      <c r="BA859"/>
      <c r="BB859"/>
      <c r="BC859" s="447"/>
      <c r="BD859"/>
      <c r="BE859"/>
    </row>
    <row r="860" spans="4:57">
      <c r="D860" s="447"/>
      <c r="G860" s="447"/>
      <c r="J860" s="447"/>
      <c r="M860" s="447"/>
      <c r="R860" s="447"/>
      <c r="S860"/>
      <c r="T860"/>
      <c r="U860" s="447"/>
      <c r="V860"/>
      <c r="W860"/>
      <c r="X860" s="447"/>
      <c r="Y860"/>
      <c r="Z860"/>
      <c r="AA860" s="447"/>
      <c r="AB860"/>
      <c r="AC860"/>
      <c r="AE860"/>
      <c r="AF860" s="447"/>
      <c r="AG860"/>
      <c r="AH860"/>
      <c r="AI860" s="447"/>
      <c r="AJ860"/>
      <c r="AK860"/>
      <c r="AL860" s="447"/>
      <c r="AM860"/>
      <c r="AN860"/>
      <c r="AO860" s="447"/>
      <c r="AP860"/>
      <c r="AQ860"/>
      <c r="AS860"/>
      <c r="AT860" s="447"/>
      <c r="AU860"/>
      <c r="AV860"/>
      <c r="AW860" s="447"/>
      <c r="AX860"/>
      <c r="AY860"/>
      <c r="AZ860" s="447"/>
      <c r="BA860"/>
      <c r="BB860"/>
      <c r="BC860" s="447"/>
      <c r="BD860"/>
      <c r="BE860"/>
    </row>
    <row r="861" spans="4:57">
      <c r="D861" s="447"/>
      <c r="G861" s="447"/>
      <c r="J861" s="447"/>
      <c r="M861" s="447"/>
      <c r="R861" s="447"/>
      <c r="S861"/>
      <c r="T861"/>
      <c r="U861" s="447"/>
      <c r="V861"/>
      <c r="W861"/>
      <c r="X861" s="447"/>
      <c r="Y861"/>
      <c r="Z861"/>
      <c r="AA861" s="447"/>
      <c r="AB861"/>
      <c r="AC861"/>
      <c r="AE861"/>
      <c r="AF861" s="447"/>
      <c r="AG861"/>
      <c r="AH861"/>
      <c r="AI861" s="447"/>
      <c r="AJ861"/>
      <c r="AK861"/>
      <c r="AL861" s="447"/>
      <c r="AM861"/>
      <c r="AN861"/>
      <c r="AO861" s="447"/>
      <c r="AP861"/>
      <c r="AQ861"/>
      <c r="AS861"/>
      <c r="AT861" s="447"/>
      <c r="AU861"/>
      <c r="AV861"/>
      <c r="AW861" s="447"/>
      <c r="AX861"/>
      <c r="AY861"/>
      <c r="AZ861" s="447"/>
      <c r="BA861"/>
      <c r="BB861"/>
      <c r="BC861" s="447"/>
      <c r="BD861"/>
      <c r="BE861"/>
    </row>
    <row r="862" spans="4:57">
      <c r="D862" s="447"/>
      <c r="G862" s="447"/>
      <c r="J862" s="447"/>
      <c r="M862" s="447"/>
      <c r="R862" s="447"/>
      <c r="S862"/>
      <c r="T862"/>
      <c r="U862" s="447"/>
      <c r="V862"/>
      <c r="W862"/>
      <c r="X862" s="447"/>
      <c r="Y862"/>
      <c r="Z862"/>
      <c r="AA862" s="447"/>
      <c r="AB862"/>
      <c r="AC862"/>
      <c r="AE862"/>
      <c r="AF862" s="447"/>
      <c r="AG862"/>
      <c r="AH862"/>
      <c r="AI862" s="447"/>
      <c r="AJ862"/>
      <c r="AK862"/>
      <c r="AL862" s="447"/>
      <c r="AM862"/>
      <c r="AN862"/>
      <c r="AO862" s="447"/>
      <c r="AP862"/>
      <c r="AQ862"/>
      <c r="AS862"/>
      <c r="AT862" s="447"/>
      <c r="AU862"/>
      <c r="AV862"/>
      <c r="AW862" s="447"/>
      <c r="AX862"/>
      <c r="AY862"/>
      <c r="AZ862" s="447"/>
      <c r="BA862"/>
      <c r="BB862"/>
      <c r="BC862" s="447"/>
      <c r="BD862"/>
      <c r="BE862"/>
    </row>
    <row r="863" spans="4:57">
      <c r="D863" s="447"/>
      <c r="G863" s="447"/>
      <c r="J863" s="447"/>
      <c r="M863" s="447"/>
      <c r="R863" s="447"/>
      <c r="S863"/>
      <c r="T863"/>
      <c r="U863" s="447"/>
      <c r="V863"/>
      <c r="W863"/>
      <c r="X863" s="447"/>
      <c r="Y863"/>
      <c r="Z863"/>
      <c r="AA863" s="447"/>
      <c r="AB863"/>
      <c r="AC863"/>
      <c r="AE863"/>
      <c r="AF863" s="447"/>
      <c r="AG863"/>
      <c r="AH863"/>
      <c r="AI863" s="447"/>
      <c r="AJ863"/>
      <c r="AK863"/>
      <c r="AL863" s="447"/>
      <c r="AM863"/>
      <c r="AN863"/>
      <c r="AO863" s="447"/>
      <c r="AP863"/>
      <c r="AQ863"/>
      <c r="AS863"/>
      <c r="AT863" s="447"/>
      <c r="AU863"/>
      <c r="AV863"/>
      <c r="AW863" s="447"/>
      <c r="AX863"/>
      <c r="AY863"/>
      <c r="AZ863" s="447"/>
      <c r="BA863"/>
      <c r="BB863"/>
      <c r="BC863" s="447"/>
      <c r="BD863"/>
      <c r="BE863"/>
    </row>
    <row r="864" spans="4:57">
      <c r="D864" s="447"/>
      <c r="G864" s="447"/>
      <c r="J864" s="447"/>
      <c r="M864" s="447"/>
      <c r="R864" s="447"/>
      <c r="S864"/>
      <c r="T864"/>
      <c r="U864" s="447"/>
      <c r="V864"/>
      <c r="W864"/>
      <c r="X864" s="447"/>
      <c r="Y864"/>
      <c r="Z864"/>
      <c r="AA864" s="447"/>
      <c r="AB864"/>
      <c r="AC864"/>
      <c r="AE864"/>
      <c r="AF864" s="447"/>
      <c r="AG864"/>
      <c r="AH864"/>
      <c r="AI864" s="447"/>
      <c r="AJ864"/>
      <c r="AK864"/>
      <c r="AL864" s="447"/>
      <c r="AM864"/>
      <c r="AN864"/>
      <c r="AO864" s="447"/>
      <c r="AP864"/>
      <c r="AQ864"/>
      <c r="AS864"/>
      <c r="AT864" s="447"/>
      <c r="AU864"/>
      <c r="AV864"/>
      <c r="AW864" s="447"/>
      <c r="AX864"/>
      <c r="AY864"/>
      <c r="AZ864" s="447"/>
      <c r="BA864"/>
      <c r="BB864"/>
      <c r="BC864" s="447"/>
      <c r="BD864"/>
      <c r="BE864"/>
    </row>
    <row r="865" spans="4:57">
      <c r="D865" s="447"/>
      <c r="G865" s="447"/>
      <c r="J865" s="447"/>
      <c r="M865" s="447"/>
      <c r="R865" s="447"/>
      <c r="S865"/>
      <c r="T865"/>
      <c r="U865" s="447"/>
      <c r="V865"/>
      <c r="W865"/>
      <c r="X865" s="447"/>
      <c r="Y865"/>
      <c r="Z865"/>
      <c r="AA865" s="447"/>
      <c r="AB865"/>
      <c r="AC865"/>
      <c r="AE865"/>
      <c r="AF865" s="447"/>
      <c r="AG865"/>
      <c r="AH865"/>
      <c r="AI865" s="447"/>
      <c r="AJ865"/>
      <c r="AK865"/>
      <c r="AL865" s="447"/>
      <c r="AM865"/>
      <c r="AN865"/>
      <c r="AO865" s="447"/>
      <c r="AP865"/>
      <c r="AQ865"/>
      <c r="AS865"/>
      <c r="AT865" s="447"/>
      <c r="AU865"/>
      <c r="AV865"/>
      <c r="AW865" s="447"/>
      <c r="AX865"/>
      <c r="AY865"/>
      <c r="AZ865" s="447"/>
      <c r="BA865"/>
      <c r="BB865"/>
      <c r="BC865" s="447"/>
      <c r="BD865"/>
      <c r="BE865"/>
    </row>
    <row r="866" spans="4:57">
      <c r="D866" s="447"/>
      <c r="G866" s="447"/>
      <c r="J866" s="447"/>
      <c r="M866" s="447"/>
      <c r="R866" s="447"/>
      <c r="S866"/>
      <c r="T866"/>
      <c r="U866" s="447"/>
      <c r="V866"/>
      <c r="W866"/>
      <c r="X866" s="447"/>
      <c r="Y866"/>
      <c r="Z866"/>
      <c r="AA866" s="447"/>
      <c r="AB866"/>
      <c r="AC866"/>
      <c r="AE866"/>
      <c r="AF866" s="447"/>
      <c r="AG866"/>
      <c r="AH866"/>
      <c r="AI866" s="447"/>
      <c r="AJ866"/>
      <c r="AK866"/>
      <c r="AL866" s="447"/>
      <c r="AM866"/>
      <c r="AN866"/>
      <c r="AO866" s="447"/>
      <c r="AP866"/>
      <c r="AQ866"/>
      <c r="AS866"/>
      <c r="AT866" s="447"/>
      <c r="AU866"/>
      <c r="AV866"/>
      <c r="AW866" s="447"/>
      <c r="AX866"/>
      <c r="AY866"/>
      <c r="AZ866" s="447"/>
      <c r="BA866"/>
      <c r="BB866"/>
      <c r="BC866" s="447"/>
      <c r="BD866"/>
      <c r="BE866"/>
    </row>
    <row r="867" spans="4:57">
      <c r="D867" s="447"/>
      <c r="G867" s="447"/>
      <c r="J867" s="447"/>
      <c r="M867" s="447"/>
      <c r="R867" s="447"/>
      <c r="S867"/>
      <c r="T867"/>
      <c r="U867" s="447"/>
      <c r="V867"/>
      <c r="W867"/>
      <c r="X867" s="447"/>
      <c r="Y867"/>
      <c r="Z867"/>
      <c r="AA867" s="447"/>
      <c r="AB867"/>
      <c r="AC867"/>
      <c r="AE867"/>
      <c r="AF867" s="447"/>
      <c r="AG867"/>
      <c r="AH867"/>
      <c r="AI867" s="447"/>
      <c r="AJ867"/>
      <c r="AK867"/>
      <c r="AL867" s="447"/>
      <c r="AM867"/>
      <c r="AN867"/>
      <c r="AO867" s="447"/>
      <c r="AP867"/>
      <c r="AQ867"/>
      <c r="AS867"/>
      <c r="AT867" s="447"/>
      <c r="AU867"/>
      <c r="AV867"/>
      <c r="AW867" s="447"/>
      <c r="AX867"/>
      <c r="AY867"/>
      <c r="AZ867" s="447"/>
      <c r="BA867"/>
      <c r="BB867"/>
      <c r="BC867" s="447"/>
      <c r="BD867"/>
      <c r="BE867"/>
    </row>
    <row r="868" spans="4:57">
      <c r="D868" s="447"/>
      <c r="G868" s="447"/>
      <c r="J868" s="447"/>
      <c r="M868" s="447"/>
      <c r="R868" s="447"/>
      <c r="S868"/>
      <c r="T868"/>
      <c r="U868" s="447"/>
      <c r="V868"/>
      <c r="W868"/>
      <c r="X868" s="447"/>
      <c r="Y868"/>
      <c r="Z868"/>
      <c r="AA868" s="447"/>
      <c r="AB868"/>
      <c r="AC868"/>
      <c r="AE868"/>
      <c r="AF868" s="447"/>
      <c r="AG868"/>
      <c r="AH868"/>
      <c r="AI868" s="447"/>
      <c r="AJ868"/>
      <c r="AK868"/>
      <c r="AL868" s="447"/>
      <c r="AM868"/>
      <c r="AN868"/>
      <c r="AO868" s="447"/>
      <c r="AP868"/>
      <c r="AQ868"/>
      <c r="AS868"/>
      <c r="AT868" s="447"/>
      <c r="AU868"/>
      <c r="AV868"/>
      <c r="AW868" s="447"/>
      <c r="AX868"/>
      <c r="AY868"/>
      <c r="AZ868" s="447"/>
      <c r="BA868"/>
      <c r="BB868"/>
      <c r="BC868" s="447"/>
      <c r="BD868"/>
      <c r="BE868"/>
    </row>
    <row r="869" spans="4:57">
      <c r="D869" s="447"/>
      <c r="G869" s="447"/>
      <c r="J869" s="447"/>
      <c r="M869" s="447"/>
      <c r="R869" s="447"/>
      <c r="S869"/>
      <c r="T869"/>
      <c r="U869" s="447"/>
      <c r="V869"/>
      <c r="W869"/>
      <c r="X869" s="447"/>
      <c r="Y869"/>
      <c r="Z869"/>
      <c r="AA869" s="447"/>
      <c r="AB869"/>
      <c r="AC869"/>
      <c r="AE869"/>
      <c r="AF869" s="447"/>
      <c r="AG869"/>
      <c r="AH869"/>
      <c r="AI869" s="447"/>
      <c r="AJ869"/>
      <c r="AK869"/>
      <c r="AL869" s="447"/>
      <c r="AM869"/>
      <c r="AN869"/>
      <c r="AO869" s="447"/>
      <c r="AP869"/>
      <c r="AQ869"/>
      <c r="AS869"/>
      <c r="AT869" s="447"/>
      <c r="AU869"/>
      <c r="AV869"/>
      <c r="AW869" s="447"/>
      <c r="AX869"/>
      <c r="AY869"/>
      <c r="AZ869" s="447"/>
      <c r="BA869"/>
      <c r="BB869"/>
      <c r="BC869" s="447"/>
      <c r="BD869"/>
      <c r="BE869"/>
    </row>
    <row r="870" spans="4:57">
      <c r="D870" s="447"/>
      <c r="G870" s="447"/>
      <c r="J870" s="447"/>
      <c r="M870" s="447"/>
      <c r="R870" s="447"/>
      <c r="S870"/>
      <c r="T870"/>
      <c r="U870" s="447"/>
      <c r="V870"/>
      <c r="W870"/>
      <c r="X870" s="447"/>
      <c r="Y870"/>
      <c r="Z870"/>
      <c r="AA870" s="447"/>
      <c r="AB870"/>
      <c r="AC870"/>
      <c r="AE870"/>
      <c r="AF870" s="447"/>
      <c r="AG870"/>
      <c r="AH870"/>
      <c r="AI870" s="447"/>
      <c r="AJ870"/>
      <c r="AK870"/>
      <c r="AL870" s="447"/>
      <c r="AM870"/>
      <c r="AN870"/>
      <c r="AO870" s="447"/>
      <c r="AP870"/>
      <c r="AQ870"/>
      <c r="AS870"/>
      <c r="AT870" s="447"/>
      <c r="AU870"/>
      <c r="AV870"/>
      <c r="AW870" s="447"/>
      <c r="AX870"/>
      <c r="AY870"/>
      <c r="AZ870" s="447"/>
      <c r="BA870"/>
      <c r="BB870"/>
      <c r="BC870" s="447"/>
      <c r="BD870"/>
      <c r="BE870"/>
    </row>
    <row r="871" spans="4:57">
      <c r="D871" s="447"/>
      <c r="G871" s="447"/>
      <c r="J871" s="447"/>
      <c r="M871" s="447"/>
      <c r="R871" s="447"/>
      <c r="S871"/>
      <c r="T871"/>
      <c r="U871" s="447"/>
      <c r="V871"/>
      <c r="W871"/>
      <c r="X871" s="447"/>
      <c r="Y871"/>
      <c r="Z871"/>
      <c r="AA871" s="447"/>
      <c r="AB871"/>
      <c r="AC871"/>
      <c r="AE871"/>
      <c r="AF871" s="447"/>
      <c r="AG871"/>
      <c r="AH871"/>
      <c r="AI871" s="447"/>
      <c r="AJ871"/>
      <c r="AK871"/>
      <c r="AL871" s="447"/>
      <c r="AM871"/>
      <c r="AN871"/>
      <c r="AO871" s="447"/>
      <c r="AP871"/>
      <c r="AQ871"/>
      <c r="AS871"/>
      <c r="AT871" s="447"/>
      <c r="AU871"/>
      <c r="AV871"/>
      <c r="AW871" s="447"/>
      <c r="AX871"/>
      <c r="AY871"/>
      <c r="AZ871" s="447"/>
      <c r="BA871"/>
      <c r="BB871"/>
      <c r="BC871" s="447"/>
      <c r="BD871"/>
      <c r="BE871"/>
    </row>
    <row r="872" spans="4:57">
      <c r="D872" s="447"/>
      <c r="G872" s="447"/>
      <c r="J872" s="447"/>
      <c r="M872" s="447"/>
      <c r="R872" s="447"/>
      <c r="S872"/>
      <c r="T872"/>
      <c r="U872" s="447"/>
      <c r="V872"/>
      <c r="W872"/>
      <c r="X872" s="447"/>
      <c r="Y872"/>
      <c r="Z872"/>
      <c r="AA872" s="447"/>
      <c r="AB872"/>
      <c r="AC872"/>
      <c r="AE872"/>
      <c r="AF872" s="447"/>
      <c r="AG872"/>
      <c r="AH872"/>
      <c r="AI872" s="447"/>
      <c r="AJ872"/>
      <c r="AK872"/>
      <c r="AL872" s="447"/>
      <c r="AM872"/>
      <c r="AN872"/>
      <c r="AO872" s="447"/>
      <c r="AP872"/>
      <c r="AQ872"/>
      <c r="AS872"/>
      <c r="AT872" s="447"/>
      <c r="AU872"/>
      <c r="AV872"/>
      <c r="AW872" s="447"/>
      <c r="AX872"/>
      <c r="AY872"/>
      <c r="AZ872" s="447"/>
      <c r="BA872"/>
      <c r="BB872"/>
      <c r="BC872" s="447"/>
      <c r="BD872"/>
      <c r="BE872"/>
    </row>
    <row r="873" spans="4:57">
      <c r="D873" s="447"/>
      <c r="G873" s="447"/>
      <c r="J873" s="447"/>
      <c r="M873" s="447"/>
      <c r="R873" s="447"/>
      <c r="S873"/>
      <c r="T873"/>
      <c r="U873" s="447"/>
      <c r="V873"/>
      <c r="W873"/>
      <c r="X873" s="447"/>
      <c r="Y873"/>
      <c r="Z873"/>
      <c r="AA873" s="447"/>
      <c r="AB873"/>
      <c r="AC873"/>
      <c r="AE873"/>
      <c r="AF873" s="447"/>
      <c r="AG873"/>
      <c r="AH873"/>
      <c r="AI873" s="447"/>
      <c r="AJ873"/>
      <c r="AK873"/>
      <c r="AL873" s="447"/>
      <c r="AM873"/>
      <c r="AN873"/>
      <c r="AO873" s="447"/>
      <c r="AP873"/>
      <c r="AQ873"/>
      <c r="AS873"/>
      <c r="AT873" s="447"/>
      <c r="AU873"/>
      <c r="AV873"/>
      <c r="AW873" s="447"/>
      <c r="AX873"/>
      <c r="AY873"/>
      <c r="AZ873" s="447"/>
      <c r="BA873"/>
      <c r="BB873"/>
      <c r="BC873" s="447"/>
      <c r="BD873"/>
      <c r="BE873"/>
    </row>
    <row r="874" spans="4:57">
      <c r="D874" s="447"/>
      <c r="G874" s="447"/>
      <c r="J874" s="447"/>
      <c r="M874" s="447"/>
      <c r="R874" s="447"/>
      <c r="S874"/>
      <c r="T874"/>
      <c r="U874" s="447"/>
      <c r="V874"/>
      <c r="W874"/>
      <c r="X874" s="447"/>
      <c r="Y874"/>
      <c r="Z874"/>
      <c r="AA874" s="447"/>
      <c r="AB874"/>
      <c r="AC874"/>
      <c r="AE874"/>
      <c r="AF874" s="447"/>
      <c r="AG874"/>
      <c r="AH874"/>
      <c r="AI874" s="447"/>
      <c r="AJ874"/>
      <c r="AK874"/>
      <c r="AL874" s="447"/>
      <c r="AM874"/>
      <c r="AN874"/>
      <c r="AO874" s="447"/>
      <c r="AP874"/>
      <c r="AQ874"/>
      <c r="AS874"/>
      <c r="AT874" s="447"/>
      <c r="AU874"/>
      <c r="AV874"/>
      <c r="AW874" s="447"/>
      <c r="AX874"/>
      <c r="AY874"/>
      <c r="AZ874" s="447"/>
      <c r="BA874"/>
      <c r="BB874"/>
      <c r="BC874" s="447"/>
      <c r="BD874"/>
      <c r="BE874"/>
    </row>
    <row r="875" spans="4:57">
      <c r="D875" s="447"/>
      <c r="G875" s="447"/>
      <c r="J875" s="447"/>
      <c r="M875" s="447"/>
      <c r="R875" s="447"/>
      <c r="S875"/>
      <c r="T875"/>
      <c r="U875" s="447"/>
      <c r="V875"/>
      <c r="W875"/>
      <c r="X875" s="447"/>
      <c r="Y875"/>
      <c r="Z875"/>
      <c r="AA875" s="447"/>
      <c r="AB875"/>
      <c r="AC875"/>
      <c r="AE875"/>
      <c r="AF875" s="447"/>
      <c r="AG875"/>
      <c r="AH875"/>
      <c r="AI875" s="447"/>
      <c r="AJ875"/>
      <c r="AK875"/>
      <c r="AL875" s="447"/>
      <c r="AM875"/>
      <c r="AN875"/>
      <c r="AO875" s="447"/>
      <c r="AP875"/>
      <c r="AQ875"/>
      <c r="AS875"/>
      <c r="AT875" s="447"/>
      <c r="AU875"/>
      <c r="AV875"/>
      <c r="AW875" s="447"/>
      <c r="AX875"/>
      <c r="AY875"/>
      <c r="AZ875" s="447"/>
      <c r="BA875"/>
      <c r="BB875"/>
      <c r="BC875" s="447"/>
      <c r="BD875"/>
      <c r="BE875"/>
    </row>
    <row r="876" spans="4:57">
      <c r="D876" s="447"/>
      <c r="G876" s="447"/>
      <c r="J876" s="447"/>
      <c r="M876" s="447"/>
      <c r="R876" s="447"/>
      <c r="S876"/>
      <c r="T876"/>
      <c r="U876" s="447"/>
      <c r="V876"/>
      <c r="W876"/>
      <c r="X876" s="447"/>
      <c r="Y876"/>
      <c r="Z876"/>
      <c r="AA876" s="447"/>
      <c r="AB876"/>
      <c r="AC876"/>
      <c r="AE876"/>
      <c r="AF876" s="447"/>
      <c r="AG876"/>
      <c r="AH876"/>
      <c r="AI876" s="447"/>
      <c r="AJ876"/>
      <c r="AK876"/>
      <c r="AL876" s="447"/>
      <c r="AM876"/>
      <c r="AN876"/>
      <c r="AO876" s="447"/>
      <c r="AP876"/>
      <c r="AQ876"/>
      <c r="AS876"/>
      <c r="AT876" s="447"/>
      <c r="AU876"/>
      <c r="AV876"/>
      <c r="AW876" s="447"/>
      <c r="AX876"/>
      <c r="AY876"/>
      <c r="AZ876" s="447"/>
      <c r="BA876"/>
      <c r="BB876"/>
      <c r="BC876" s="447"/>
      <c r="BD876"/>
      <c r="BE876"/>
    </row>
    <row r="877" spans="4:57">
      <c r="D877" s="447"/>
      <c r="G877" s="447"/>
      <c r="J877" s="447"/>
      <c r="M877" s="447"/>
      <c r="R877" s="447"/>
      <c r="S877"/>
      <c r="T877"/>
      <c r="U877" s="447"/>
      <c r="V877"/>
      <c r="W877"/>
      <c r="X877" s="447"/>
      <c r="Y877"/>
      <c r="Z877"/>
      <c r="AA877" s="447"/>
      <c r="AB877"/>
      <c r="AC877"/>
      <c r="AE877"/>
      <c r="AF877" s="447"/>
      <c r="AG877"/>
      <c r="AH877"/>
      <c r="AI877" s="447"/>
      <c r="AJ877"/>
      <c r="AK877"/>
      <c r="AL877" s="447"/>
      <c r="AM877"/>
      <c r="AN877"/>
      <c r="AO877" s="447"/>
      <c r="AP877"/>
      <c r="AQ877"/>
      <c r="AS877"/>
      <c r="AT877" s="447"/>
      <c r="AU877"/>
      <c r="AV877"/>
      <c r="AW877" s="447"/>
      <c r="AX877"/>
      <c r="AY877"/>
      <c r="AZ877" s="447"/>
      <c r="BA877"/>
      <c r="BB877"/>
      <c r="BC877" s="447"/>
      <c r="BD877"/>
      <c r="BE877"/>
    </row>
    <row r="878" spans="4:57">
      <c r="D878" s="447"/>
      <c r="G878" s="447"/>
      <c r="J878" s="447"/>
      <c r="M878" s="447"/>
      <c r="R878" s="447"/>
      <c r="S878"/>
      <c r="T878"/>
      <c r="U878" s="447"/>
      <c r="V878"/>
      <c r="W878"/>
      <c r="X878" s="447"/>
      <c r="Y878"/>
      <c r="Z878"/>
      <c r="AA878" s="447"/>
      <c r="AB878"/>
      <c r="AC878"/>
      <c r="AE878"/>
      <c r="AF878" s="447"/>
      <c r="AG878"/>
      <c r="AH878"/>
      <c r="AI878" s="447"/>
      <c r="AJ878"/>
      <c r="AK878"/>
      <c r="AL878" s="447"/>
      <c r="AM878"/>
      <c r="AN878"/>
      <c r="AO878" s="447"/>
      <c r="AP878"/>
      <c r="AQ878"/>
      <c r="AS878"/>
      <c r="AT878" s="447"/>
      <c r="AU878"/>
      <c r="AV878"/>
      <c r="AW878" s="447"/>
      <c r="AX878"/>
      <c r="AY878"/>
      <c r="AZ878" s="447"/>
      <c r="BA878"/>
      <c r="BB878"/>
      <c r="BC878" s="447"/>
      <c r="BD878"/>
      <c r="BE878"/>
    </row>
    <row r="879" spans="4:57">
      <c r="D879" s="447"/>
      <c r="G879" s="447"/>
      <c r="J879" s="447"/>
      <c r="M879" s="447"/>
      <c r="R879" s="447"/>
      <c r="S879"/>
      <c r="T879"/>
      <c r="U879" s="447"/>
      <c r="V879"/>
      <c r="W879"/>
      <c r="X879" s="447"/>
      <c r="Y879"/>
      <c r="Z879"/>
      <c r="AA879" s="447"/>
      <c r="AB879"/>
      <c r="AC879"/>
      <c r="AE879"/>
      <c r="AF879" s="447"/>
      <c r="AG879"/>
      <c r="AH879"/>
      <c r="AI879" s="447"/>
      <c r="AJ879"/>
      <c r="AK879"/>
      <c r="AL879" s="447"/>
      <c r="AM879"/>
      <c r="AN879"/>
      <c r="AO879" s="447"/>
      <c r="AP879"/>
      <c r="AQ879"/>
      <c r="AS879"/>
      <c r="AT879" s="447"/>
      <c r="AU879"/>
      <c r="AV879"/>
      <c r="AW879" s="447"/>
      <c r="AX879"/>
      <c r="AY879"/>
      <c r="AZ879" s="447"/>
      <c r="BA879"/>
      <c r="BB879"/>
      <c r="BC879" s="447"/>
      <c r="BD879"/>
      <c r="BE879"/>
    </row>
    <row r="880" spans="4:57">
      <c r="D880" s="447"/>
      <c r="G880" s="447"/>
      <c r="J880" s="447"/>
      <c r="M880" s="447"/>
      <c r="R880" s="447"/>
      <c r="S880"/>
      <c r="T880"/>
      <c r="U880" s="447"/>
      <c r="V880"/>
      <c r="W880"/>
      <c r="X880" s="447"/>
      <c r="Y880"/>
      <c r="Z880"/>
      <c r="AA880" s="447"/>
      <c r="AB880"/>
      <c r="AC880"/>
      <c r="AE880"/>
      <c r="AF880" s="447"/>
      <c r="AG880"/>
      <c r="AH880"/>
      <c r="AI880" s="447"/>
      <c r="AJ880"/>
      <c r="AK880"/>
      <c r="AL880" s="447"/>
      <c r="AM880"/>
      <c r="AN880"/>
      <c r="AO880" s="447"/>
      <c r="AP880"/>
      <c r="AQ880"/>
      <c r="AS880"/>
      <c r="AT880" s="447"/>
      <c r="AU880"/>
      <c r="AV880"/>
      <c r="AW880" s="447"/>
      <c r="AX880"/>
      <c r="AY880"/>
      <c r="AZ880" s="447"/>
      <c r="BA880"/>
      <c r="BB880"/>
      <c r="BC880" s="447"/>
      <c r="BD880"/>
      <c r="BE880"/>
    </row>
    <row r="881" spans="4:57">
      <c r="D881" s="447"/>
      <c r="G881" s="447"/>
      <c r="J881" s="447"/>
      <c r="M881" s="447"/>
      <c r="R881" s="447"/>
      <c r="S881"/>
      <c r="T881"/>
      <c r="U881" s="447"/>
      <c r="V881"/>
      <c r="W881"/>
      <c r="X881" s="447"/>
      <c r="Y881"/>
      <c r="Z881"/>
      <c r="AA881" s="447"/>
      <c r="AB881"/>
      <c r="AC881"/>
      <c r="AE881"/>
      <c r="AF881" s="447"/>
      <c r="AG881"/>
      <c r="AH881"/>
      <c r="AI881" s="447"/>
      <c r="AJ881"/>
      <c r="AK881"/>
      <c r="AL881" s="447"/>
      <c r="AM881"/>
      <c r="AN881"/>
      <c r="AO881" s="447"/>
      <c r="AP881"/>
      <c r="AQ881"/>
      <c r="AS881"/>
      <c r="AT881" s="447"/>
      <c r="AU881"/>
      <c r="AV881"/>
      <c r="AW881" s="447"/>
      <c r="AX881"/>
      <c r="AY881"/>
      <c r="AZ881" s="447"/>
      <c r="BA881"/>
      <c r="BB881"/>
      <c r="BC881" s="447"/>
      <c r="BD881"/>
      <c r="BE881"/>
    </row>
    <row r="882" spans="4:57">
      <c r="D882" s="447"/>
      <c r="G882" s="447"/>
      <c r="J882" s="447"/>
      <c r="M882" s="447"/>
      <c r="R882" s="447"/>
      <c r="S882"/>
      <c r="T882"/>
      <c r="U882" s="447"/>
      <c r="V882"/>
      <c r="W882"/>
      <c r="X882" s="447"/>
      <c r="Y882"/>
      <c r="Z882"/>
      <c r="AA882" s="447"/>
      <c r="AB882"/>
      <c r="AC882"/>
      <c r="AE882"/>
      <c r="AF882" s="447"/>
      <c r="AG882"/>
      <c r="AH882"/>
      <c r="AI882" s="447"/>
      <c r="AJ882"/>
      <c r="AK882"/>
      <c r="AL882" s="447"/>
      <c r="AM882"/>
      <c r="AN882"/>
      <c r="AO882" s="447"/>
      <c r="AP882"/>
      <c r="AQ882"/>
      <c r="AS882"/>
      <c r="AT882" s="447"/>
      <c r="AU882"/>
      <c r="AV882"/>
      <c r="AW882" s="447"/>
      <c r="AX882"/>
      <c r="AY882"/>
      <c r="AZ882" s="447"/>
      <c r="BA882"/>
      <c r="BB882"/>
      <c r="BC882" s="447"/>
      <c r="BD882"/>
      <c r="BE882"/>
    </row>
    <row r="883" spans="4:57">
      <c r="D883" s="447"/>
      <c r="G883" s="447"/>
      <c r="J883" s="447"/>
      <c r="M883" s="447"/>
      <c r="R883" s="447"/>
      <c r="S883"/>
      <c r="T883"/>
      <c r="U883" s="447"/>
      <c r="V883"/>
      <c r="W883"/>
      <c r="X883" s="447"/>
      <c r="Y883"/>
      <c r="Z883"/>
      <c r="AA883" s="447"/>
      <c r="AB883"/>
      <c r="AC883"/>
      <c r="AE883"/>
      <c r="AF883" s="447"/>
      <c r="AG883"/>
      <c r="AH883"/>
      <c r="AI883" s="447"/>
      <c r="AJ883"/>
      <c r="AK883"/>
      <c r="AL883" s="447"/>
      <c r="AM883"/>
      <c r="AN883"/>
      <c r="AO883" s="447"/>
      <c r="AP883"/>
      <c r="AQ883"/>
      <c r="AS883"/>
      <c r="AT883" s="447"/>
      <c r="AU883"/>
      <c r="AV883"/>
      <c r="AW883" s="447"/>
      <c r="AX883"/>
      <c r="AY883"/>
      <c r="AZ883" s="447"/>
      <c r="BA883"/>
      <c r="BB883"/>
      <c r="BC883" s="447"/>
      <c r="BD883"/>
      <c r="BE883"/>
    </row>
    <row r="884" spans="4:57">
      <c r="D884" s="447"/>
      <c r="G884" s="447"/>
      <c r="J884" s="447"/>
      <c r="M884" s="447"/>
      <c r="R884" s="447"/>
      <c r="S884"/>
      <c r="T884"/>
      <c r="U884" s="447"/>
      <c r="V884"/>
      <c r="W884"/>
      <c r="X884" s="447"/>
      <c r="Y884"/>
      <c r="Z884"/>
      <c r="AA884" s="447"/>
      <c r="AB884"/>
      <c r="AC884"/>
      <c r="AE884"/>
      <c r="AF884" s="447"/>
      <c r="AG884"/>
      <c r="AH884"/>
      <c r="AI884" s="447"/>
      <c r="AJ884"/>
      <c r="AK884"/>
      <c r="AL884" s="447"/>
      <c r="AM884"/>
      <c r="AN884"/>
      <c r="AO884" s="447"/>
      <c r="AP884"/>
      <c r="AQ884"/>
      <c r="AS884"/>
      <c r="AT884" s="447"/>
      <c r="AU884"/>
      <c r="AV884"/>
      <c r="AW884" s="447"/>
      <c r="AX884"/>
      <c r="AY884"/>
      <c r="AZ884" s="447"/>
      <c r="BA884"/>
      <c r="BB884"/>
      <c r="BC884" s="447"/>
      <c r="BD884"/>
      <c r="BE884"/>
    </row>
    <row r="885" spans="4:57">
      <c r="D885" s="447"/>
      <c r="G885" s="447"/>
      <c r="J885" s="447"/>
      <c r="M885" s="447"/>
      <c r="R885" s="447"/>
      <c r="S885"/>
      <c r="T885"/>
      <c r="U885" s="447"/>
      <c r="V885"/>
      <c r="W885"/>
      <c r="X885" s="447"/>
      <c r="Y885"/>
      <c r="Z885"/>
      <c r="AA885" s="447"/>
      <c r="AB885"/>
      <c r="AC885"/>
      <c r="AE885"/>
      <c r="AF885" s="447"/>
      <c r="AG885"/>
      <c r="AH885"/>
      <c r="AI885" s="447"/>
      <c r="AJ885"/>
      <c r="AK885"/>
      <c r="AL885" s="447"/>
      <c r="AM885"/>
      <c r="AN885"/>
      <c r="AO885" s="447"/>
      <c r="AP885"/>
      <c r="AQ885"/>
      <c r="AS885"/>
      <c r="AT885" s="447"/>
      <c r="AU885"/>
      <c r="AV885"/>
      <c r="AW885" s="447"/>
      <c r="AX885"/>
      <c r="AY885"/>
      <c r="AZ885" s="447"/>
      <c r="BA885"/>
      <c r="BB885"/>
      <c r="BC885" s="447"/>
      <c r="BD885"/>
      <c r="BE885"/>
    </row>
    <row r="886" spans="4:57">
      <c r="D886" s="447"/>
      <c r="G886" s="447"/>
      <c r="J886" s="447"/>
      <c r="M886" s="447"/>
      <c r="R886" s="447"/>
      <c r="S886"/>
      <c r="T886"/>
      <c r="U886" s="447"/>
      <c r="V886"/>
      <c r="W886"/>
      <c r="X886" s="447"/>
      <c r="Y886"/>
      <c r="Z886"/>
      <c r="AA886" s="447"/>
      <c r="AB886"/>
      <c r="AC886"/>
      <c r="AE886"/>
      <c r="AF886" s="447"/>
      <c r="AG886"/>
      <c r="AH886"/>
      <c r="AI886" s="447"/>
      <c r="AJ886"/>
      <c r="AK886"/>
      <c r="AL886" s="447"/>
      <c r="AM886"/>
      <c r="AN886"/>
      <c r="AO886" s="447"/>
      <c r="AP886"/>
      <c r="AQ886"/>
      <c r="AS886"/>
      <c r="AT886" s="447"/>
      <c r="AU886"/>
      <c r="AV886"/>
      <c r="AW886" s="447"/>
      <c r="AX886"/>
      <c r="AY886"/>
      <c r="AZ886" s="447"/>
      <c r="BA886"/>
      <c r="BB886"/>
      <c r="BC886" s="447"/>
      <c r="BD886"/>
      <c r="BE886"/>
    </row>
    <row r="887" spans="4:57">
      <c r="D887" s="447"/>
      <c r="G887" s="447"/>
      <c r="J887" s="447"/>
      <c r="M887" s="447"/>
      <c r="R887" s="447"/>
      <c r="S887"/>
      <c r="T887"/>
      <c r="U887" s="447"/>
      <c r="V887"/>
      <c r="W887"/>
      <c r="X887" s="447"/>
      <c r="Y887"/>
      <c r="Z887"/>
      <c r="AA887" s="447"/>
      <c r="AB887"/>
      <c r="AC887"/>
      <c r="AE887"/>
      <c r="AF887" s="447"/>
      <c r="AG887"/>
      <c r="AH887"/>
      <c r="AI887" s="447"/>
      <c r="AJ887"/>
      <c r="AK887"/>
      <c r="AL887" s="447"/>
      <c r="AM887"/>
      <c r="AN887"/>
      <c r="AO887" s="447"/>
      <c r="AP887"/>
      <c r="AQ887"/>
      <c r="AS887"/>
      <c r="AT887" s="447"/>
      <c r="AU887"/>
      <c r="AV887"/>
      <c r="AW887" s="447"/>
      <c r="AX887"/>
      <c r="AY887"/>
      <c r="AZ887" s="447"/>
      <c r="BA887"/>
      <c r="BB887"/>
      <c r="BC887" s="447"/>
      <c r="BD887"/>
      <c r="BE887"/>
    </row>
    <row r="888" spans="4:57">
      <c r="D888" s="447"/>
      <c r="G888" s="447"/>
      <c r="J888" s="447"/>
      <c r="M888" s="447"/>
      <c r="R888" s="447"/>
      <c r="S888"/>
      <c r="T888"/>
      <c r="U888" s="447"/>
      <c r="V888"/>
      <c r="W888"/>
      <c r="X888" s="447"/>
      <c r="Y888"/>
      <c r="Z888"/>
      <c r="AA888" s="447"/>
      <c r="AB888"/>
      <c r="AC888"/>
      <c r="AE888"/>
      <c r="AF888" s="447"/>
      <c r="AG888"/>
      <c r="AH888"/>
      <c r="AI888" s="447"/>
      <c r="AJ888"/>
      <c r="AK888"/>
      <c r="AL888" s="447"/>
      <c r="AM888"/>
      <c r="AN888"/>
      <c r="AO888" s="447"/>
      <c r="AP888"/>
      <c r="AQ888"/>
      <c r="AS888"/>
      <c r="AT888" s="447"/>
      <c r="AU888"/>
      <c r="AV888"/>
      <c r="AW888" s="447"/>
      <c r="AX888"/>
      <c r="AY888"/>
      <c r="AZ888" s="447"/>
      <c r="BA888"/>
      <c r="BB888"/>
      <c r="BC888" s="447"/>
      <c r="BD888"/>
      <c r="BE888"/>
    </row>
    <row r="889" spans="4:57">
      <c r="D889" s="447"/>
      <c r="G889" s="447"/>
      <c r="J889" s="447"/>
      <c r="M889" s="447"/>
      <c r="R889" s="447"/>
      <c r="S889"/>
      <c r="T889"/>
      <c r="U889" s="447"/>
      <c r="V889"/>
      <c r="W889"/>
      <c r="X889" s="447"/>
      <c r="Y889"/>
      <c r="Z889"/>
      <c r="AA889" s="447"/>
      <c r="AB889"/>
      <c r="AC889"/>
      <c r="AE889"/>
      <c r="AF889" s="447"/>
      <c r="AG889"/>
      <c r="AH889"/>
      <c r="AI889" s="447"/>
      <c r="AJ889"/>
      <c r="AK889"/>
      <c r="AL889" s="447"/>
      <c r="AM889"/>
      <c r="AN889"/>
      <c r="AO889" s="447"/>
      <c r="AP889"/>
      <c r="AQ889"/>
      <c r="AS889"/>
      <c r="AT889" s="447"/>
      <c r="AU889"/>
      <c r="AV889"/>
      <c r="AW889" s="447"/>
      <c r="AX889"/>
      <c r="AY889"/>
      <c r="AZ889" s="447"/>
      <c r="BA889"/>
      <c r="BB889"/>
      <c r="BC889" s="447"/>
      <c r="BD889"/>
      <c r="BE889"/>
    </row>
    <row r="890" spans="4:57">
      <c r="D890" s="447"/>
      <c r="G890" s="447"/>
      <c r="J890" s="447"/>
      <c r="M890" s="447"/>
      <c r="R890" s="447"/>
      <c r="S890"/>
      <c r="T890"/>
      <c r="U890" s="447"/>
      <c r="V890"/>
      <c r="W890"/>
      <c r="X890" s="447"/>
      <c r="Y890"/>
      <c r="Z890"/>
      <c r="AA890" s="447"/>
      <c r="AB890"/>
      <c r="AC890"/>
      <c r="AE890"/>
      <c r="AF890" s="447"/>
      <c r="AG890"/>
      <c r="AH890"/>
      <c r="AI890" s="447"/>
      <c r="AJ890"/>
      <c r="AK890"/>
      <c r="AL890" s="447"/>
      <c r="AM890"/>
      <c r="AN890"/>
      <c r="AO890" s="447"/>
      <c r="AP890"/>
      <c r="AQ890"/>
      <c r="AS890"/>
      <c r="AT890" s="447"/>
      <c r="AU890"/>
      <c r="AV890"/>
      <c r="AW890" s="447"/>
      <c r="AX890"/>
      <c r="AY890"/>
      <c r="AZ890" s="447"/>
      <c r="BA890"/>
      <c r="BB890"/>
      <c r="BC890" s="447"/>
      <c r="BD890"/>
      <c r="BE890"/>
    </row>
    <row r="891" spans="4:57">
      <c r="D891" s="447"/>
      <c r="G891" s="447"/>
      <c r="J891" s="447"/>
      <c r="M891" s="447"/>
      <c r="R891" s="447"/>
      <c r="S891"/>
      <c r="T891"/>
      <c r="U891" s="447"/>
      <c r="V891"/>
      <c r="W891"/>
      <c r="X891" s="447"/>
      <c r="Y891"/>
      <c r="Z891"/>
      <c r="AA891" s="447"/>
      <c r="AB891"/>
      <c r="AC891"/>
      <c r="AE891"/>
      <c r="AF891" s="447"/>
      <c r="AG891"/>
      <c r="AH891"/>
      <c r="AI891" s="447"/>
      <c r="AJ891"/>
      <c r="AK891"/>
      <c r="AL891" s="447"/>
      <c r="AM891"/>
      <c r="AN891"/>
      <c r="AO891" s="447"/>
      <c r="AP891"/>
      <c r="AQ891"/>
      <c r="AS891"/>
      <c r="AT891" s="447"/>
      <c r="AU891"/>
      <c r="AV891"/>
      <c r="AW891" s="447"/>
      <c r="AX891"/>
      <c r="AY891"/>
      <c r="AZ891" s="447"/>
      <c r="BA891"/>
      <c r="BB891"/>
      <c r="BC891" s="447"/>
      <c r="BD891"/>
      <c r="BE891"/>
    </row>
    <row r="892" spans="4:57">
      <c r="D892" s="447"/>
      <c r="G892" s="447"/>
      <c r="J892" s="447"/>
      <c r="M892" s="447"/>
      <c r="R892" s="447"/>
      <c r="S892"/>
      <c r="T892"/>
      <c r="U892" s="447"/>
      <c r="V892"/>
      <c r="W892"/>
      <c r="X892" s="447"/>
      <c r="Y892"/>
      <c r="Z892"/>
      <c r="AA892" s="447"/>
      <c r="AB892"/>
      <c r="AC892"/>
      <c r="AE892"/>
      <c r="AF892" s="447"/>
      <c r="AG892"/>
      <c r="AH892"/>
      <c r="AI892" s="447"/>
      <c r="AJ892"/>
      <c r="AK892"/>
      <c r="AL892" s="447"/>
      <c r="AM892"/>
      <c r="AN892"/>
      <c r="AO892" s="447"/>
      <c r="AP892"/>
      <c r="AQ892"/>
      <c r="AS892"/>
      <c r="AT892" s="447"/>
      <c r="AU892"/>
      <c r="AV892"/>
      <c r="AW892" s="447"/>
      <c r="AX892"/>
      <c r="AY892"/>
      <c r="AZ892" s="447"/>
      <c r="BA892"/>
      <c r="BB892"/>
      <c r="BC892" s="447"/>
      <c r="BD892"/>
      <c r="BE892"/>
    </row>
    <row r="893" spans="4:57">
      <c r="D893" s="447"/>
      <c r="G893" s="447"/>
      <c r="J893" s="447"/>
      <c r="M893" s="447"/>
      <c r="R893" s="447"/>
      <c r="S893"/>
      <c r="T893"/>
      <c r="U893" s="447"/>
      <c r="V893"/>
      <c r="W893"/>
      <c r="X893" s="447"/>
      <c r="Y893"/>
      <c r="Z893"/>
      <c r="AA893" s="447"/>
      <c r="AB893"/>
      <c r="AC893"/>
      <c r="AE893"/>
      <c r="AF893" s="447"/>
      <c r="AG893"/>
      <c r="AH893"/>
      <c r="AI893" s="447"/>
      <c r="AJ893"/>
      <c r="AK893"/>
      <c r="AL893" s="447"/>
      <c r="AM893"/>
      <c r="AN893"/>
      <c r="AO893" s="447"/>
      <c r="AP893"/>
      <c r="AQ893"/>
      <c r="AS893"/>
      <c r="AT893" s="447"/>
      <c r="AU893"/>
      <c r="AV893"/>
      <c r="AW893" s="447"/>
      <c r="AX893"/>
      <c r="AY893"/>
      <c r="AZ893" s="447"/>
      <c r="BA893"/>
      <c r="BB893"/>
      <c r="BC893" s="447"/>
      <c r="BD893"/>
      <c r="BE893"/>
    </row>
    <row r="894" spans="4:57">
      <c r="D894" s="447"/>
      <c r="G894" s="447"/>
      <c r="J894" s="447"/>
      <c r="M894" s="447"/>
      <c r="R894" s="447"/>
      <c r="S894"/>
      <c r="T894"/>
      <c r="U894" s="447"/>
      <c r="V894"/>
      <c r="W894"/>
      <c r="X894" s="447"/>
      <c r="Y894"/>
      <c r="Z894"/>
      <c r="AA894" s="447"/>
      <c r="AB894"/>
      <c r="AC894"/>
      <c r="AE894"/>
      <c r="AF894" s="447"/>
      <c r="AG894"/>
      <c r="AH894"/>
      <c r="AI894" s="447"/>
      <c r="AJ894"/>
      <c r="AK894"/>
      <c r="AL894" s="447"/>
      <c r="AM894"/>
      <c r="AN894"/>
      <c r="AO894" s="447"/>
      <c r="AP894"/>
      <c r="AQ894"/>
      <c r="AS894"/>
      <c r="AT894" s="447"/>
      <c r="AU894"/>
      <c r="AV894"/>
      <c r="AW894" s="447"/>
      <c r="AX894"/>
      <c r="AY894"/>
      <c r="AZ894" s="447"/>
      <c r="BA894"/>
      <c r="BB894"/>
      <c r="BC894" s="447"/>
      <c r="BD894"/>
      <c r="BE894"/>
    </row>
    <row r="895" spans="4:57">
      <c r="D895" s="447"/>
      <c r="G895" s="447"/>
      <c r="J895" s="447"/>
      <c r="M895" s="447"/>
      <c r="R895" s="447"/>
      <c r="S895"/>
      <c r="T895"/>
      <c r="U895" s="447"/>
      <c r="V895"/>
      <c r="W895"/>
      <c r="X895" s="447"/>
      <c r="Y895"/>
      <c r="Z895"/>
      <c r="AA895" s="447"/>
      <c r="AB895"/>
      <c r="AC895"/>
      <c r="AE895"/>
      <c r="AF895" s="447"/>
      <c r="AG895"/>
      <c r="AH895"/>
      <c r="AI895" s="447"/>
      <c r="AJ895"/>
      <c r="AK895"/>
      <c r="AL895" s="447"/>
      <c r="AM895"/>
      <c r="AN895"/>
      <c r="AO895" s="447"/>
      <c r="AP895"/>
      <c r="AQ895"/>
      <c r="AS895"/>
      <c r="AT895" s="447"/>
      <c r="AU895"/>
      <c r="AV895"/>
      <c r="AW895" s="447"/>
      <c r="AX895"/>
      <c r="AY895"/>
      <c r="AZ895" s="447"/>
      <c r="BA895"/>
      <c r="BB895"/>
      <c r="BC895" s="447"/>
      <c r="BD895"/>
      <c r="BE895"/>
    </row>
    <row r="896" spans="4:57">
      <c r="D896" s="447"/>
      <c r="G896" s="447"/>
      <c r="J896" s="447"/>
      <c r="M896" s="447"/>
      <c r="R896" s="447"/>
      <c r="S896"/>
      <c r="T896"/>
      <c r="U896" s="447"/>
      <c r="V896"/>
      <c r="W896"/>
      <c r="X896" s="447"/>
      <c r="Y896"/>
      <c r="Z896"/>
      <c r="AA896" s="447"/>
      <c r="AB896"/>
      <c r="AC896"/>
      <c r="AE896"/>
      <c r="AF896" s="447"/>
      <c r="AG896"/>
      <c r="AH896"/>
      <c r="AI896" s="447"/>
      <c r="AJ896"/>
      <c r="AK896"/>
      <c r="AL896" s="447"/>
      <c r="AM896"/>
      <c r="AN896"/>
      <c r="AO896" s="447"/>
      <c r="AP896"/>
      <c r="AQ896"/>
      <c r="AS896"/>
      <c r="AT896" s="447"/>
      <c r="AU896"/>
      <c r="AV896"/>
      <c r="AW896" s="447"/>
      <c r="AX896"/>
      <c r="AY896"/>
      <c r="AZ896" s="447"/>
      <c r="BA896"/>
      <c r="BB896"/>
      <c r="BC896" s="447"/>
      <c r="BD896"/>
      <c r="BE896"/>
    </row>
    <row r="897" spans="4:57">
      <c r="D897" s="447"/>
      <c r="G897" s="447"/>
      <c r="J897" s="447"/>
      <c r="M897" s="447"/>
      <c r="R897" s="447"/>
      <c r="S897"/>
      <c r="T897"/>
      <c r="U897" s="447"/>
      <c r="V897"/>
      <c r="W897"/>
      <c r="X897" s="447"/>
      <c r="Y897"/>
      <c r="Z897"/>
      <c r="AA897" s="447"/>
      <c r="AB897"/>
      <c r="AC897"/>
      <c r="AE897"/>
      <c r="AF897" s="447"/>
      <c r="AG897"/>
      <c r="AH897"/>
      <c r="AI897" s="447"/>
      <c r="AJ897"/>
      <c r="AK897"/>
      <c r="AL897" s="447"/>
      <c r="AM897"/>
      <c r="AN897"/>
      <c r="AO897" s="447"/>
      <c r="AP897"/>
      <c r="AQ897"/>
      <c r="AS897"/>
      <c r="AT897" s="447"/>
      <c r="AU897"/>
      <c r="AV897"/>
      <c r="AW897" s="447"/>
      <c r="AX897"/>
      <c r="AY897"/>
      <c r="AZ897" s="447"/>
      <c r="BA897"/>
      <c r="BB897"/>
      <c r="BC897" s="447"/>
      <c r="BD897"/>
      <c r="BE897"/>
    </row>
    <row r="898" spans="4:57">
      <c r="D898" s="447"/>
      <c r="G898" s="447"/>
      <c r="J898" s="447"/>
      <c r="M898" s="447"/>
      <c r="R898" s="447"/>
      <c r="S898"/>
      <c r="T898"/>
      <c r="U898" s="447"/>
      <c r="V898"/>
      <c r="W898"/>
      <c r="X898" s="447"/>
      <c r="Y898"/>
      <c r="Z898"/>
      <c r="AA898" s="447"/>
      <c r="AB898"/>
      <c r="AC898"/>
      <c r="AE898"/>
      <c r="AF898" s="447"/>
      <c r="AG898"/>
      <c r="AH898"/>
      <c r="AI898" s="447"/>
      <c r="AJ898"/>
      <c r="AK898"/>
      <c r="AL898" s="447"/>
      <c r="AM898"/>
      <c r="AN898"/>
      <c r="AO898" s="447"/>
      <c r="AP898"/>
      <c r="AQ898"/>
      <c r="AS898"/>
      <c r="AT898" s="447"/>
      <c r="AU898"/>
      <c r="AV898"/>
      <c r="AW898" s="447"/>
      <c r="AX898"/>
      <c r="AY898"/>
      <c r="AZ898" s="447"/>
      <c r="BA898"/>
      <c r="BB898"/>
      <c r="BC898" s="447"/>
      <c r="BD898"/>
      <c r="BE898"/>
    </row>
    <row r="899" spans="4:57">
      <c r="D899" s="447"/>
      <c r="G899" s="447"/>
      <c r="J899" s="447"/>
      <c r="M899" s="447"/>
      <c r="R899" s="447"/>
      <c r="S899"/>
      <c r="T899"/>
      <c r="U899" s="447"/>
      <c r="V899"/>
      <c r="W899"/>
      <c r="X899" s="447"/>
      <c r="Y899"/>
      <c r="Z899"/>
      <c r="AA899" s="447"/>
      <c r="AB899"/>
      <c r="AC899"/>
      <c r="AE899"/>
      <c r="AF899" s="447"/>
      <c r="AG899"/>
      <c r="AH899"/>
      <c r="AI899" s="447"/>
      <c r="AJ899"/>
      <c r="AK899"/>
      <c r="AL899" s="447"/>
      <c r="AM899"/>
      <c r="AN899"/>
      <c r="AO899" s="447"/>
      <c r="AP899"/>
      <c r="AQ899"/>
      <c r="AS899"/>
      <c r="AT899" s="447"/>
      <c r="AU899"/>
      <c r="AV899"/>
      <c r="AW899" s="447"/>
      <c r="AX899"/>
      <c r="AY899"/>
      <c r="AZ899" s="447"/>
      <c r="BA899"/>
      <c r="BB899"/>
      <c r="BC899" s="447"/>
      <c r="BD899"/>
      <c r="BE899"/>
    </row>
    <row r="900" spans="4:57">
      <c r="D900" s="447"/>
      <c r="G900" s="447"/>
      <c r="J900" s="447"/>
      <c r="M900" s="447"/>
      <c r="R900" s="447"/>
      <c r="S900"/>
      <c r="T900"/>
      <c r="U900" s="447"/>
      <c r="V900"/>
      <c r="W900"/>
      <c r="X900" s="447"/>
      <c r="Y900"/>
      <c r="Z900"/>
      <c r="AA900" s="447"/>
      <c r="AB900"/>
      <c r="AC900"/>
      <c r="AE900"/>
      <c r="AF900" s="447"/>
      <c r="AG900"/>
      <c r="AH900"/>
      <c r="AI900" s="447"/>
      <c r="AJ900"/>
      <c r="AK900"/>
      <c r="AL900" s="447"/>
      <c r="AM900"/>
      <c r="AN900"/>
      <c r="AO900" s="447"/>
      <c r="AP900"/>
      <c r="AQ900"/>
      <c r="AS900"/>
      <c r="AT900" s="447"/>
      <c r="AU900"/>
      <c r="AV900"/>
      <c r="AW900" s="447"/>
      <c r="AX900"/>
      <c r="AY900"/>
      <c r="AZ900" s="447"/>
      <c r="BA900"/>
      <c r="BB900"/>
      <c r="BC900" s="447"/>
      <c r="BD900"/>
      <c r="BE900"/>
    </row>
    <row r="901" spans="4:57">
      <c r="D901" s="447"/>
      <c r="G901" s="447"/>
      <c r="J901" s="447"/>
      <c r="M901" s="447"/>
      <c r="R901" s="447"/>
      <c r="S901"/>
      <c r="T901"/>
      <c r="U901" s="447"/>
      <c r="V901"/>
      <c r="W901"/>
      <c r="X901" s="447"/>
      <c r="Y901"/>
      <c r="Z901"/>
      <c r="AA901" s="447"/>
      <c r="AB901"/>
      <c r="AC901"/>
      <c r="AE901"/>
      <c r="AF901" s="447"/>
      <c r="AG901"/>
      <c r="AH901"/>
      <c r="AI901" s="447"/>
      <c r="AJ901"/>
      <c r="AK901"/>
      <c r="AL901" s="447"/>
      <c r="AM901"/>
      <c r="AN901"/>
      <c r="AO901" s="447"/>
      <c r="AP901"/>
      <c r="AQ901"/>
      <c r="AS901"/>
      <c r="AT901" s="447"/>
      <c r="AU901"/>
      <c r="AV901"/>
      <c r="AW901" s="447"/>
      <c r="AX901"/>
      <c r="AY901"/>
      <c r="AZ901" s="447"/>
      <c r="BA901"/>
      <c r="BB901"/>
      <c r="BC901" s="447"/>
      <c r="BD901"/>
      <c r="BE901"/>
    </row>
    <row r="902" spans="4:57">
      <c r="D902" s="447"/>
      <c r="G902" s="447"/>
      <c r="J902" s="447"/>
      <c r="M902" s="447"/>
      <c r="R902" s="447"/>
      <c r="S902"/>
      <c r="T902"/>
      <c r="U902" s="447"/>
      <c r="V902"/>
      <c r="W902"/>
      <c r="X902" s="447"/>
      <c r="Y902"/>
      <c r="Z902"/>
      <c r="AA902" s="447"/>
      <c r="AB902"/>
      <c r="AC902"/>
      <c r="AE902"/>
      <c r="AF902" s="447"/>
      <c r="AG902"/>
      <c r="AH902"/>
      <c r="AI902" s="447"/>
      <c r="AJ902"/>
      <c r="AK902"/>
      <c r="AL902" s="447"/>
      <c r="AM902"/>
      <c r="AN902"/>
      <c r="AO902" s="447"/>
      <c r="AP902"/>
      <c r="AQ902"/>
      <c r="AS902"/>
      <c r="AT902" s="447"/>
      <c r="AU902"/>
      <c r="AV902"/>
      <c r="AW902" s="447"/>
      <c r="AX902"/>
      <c r="AY902"/>
      <c r="AZ902" s="447"/>
      <c r="BA902"/>
      <c r="BB902"/>
      <c r="BC902" s="447"/>
      <c r="BD902"/>
      <c r="BE902"/>
    </row>
    <row r="903" spans="4:57">
      <c r="D903" s="447"/>
      <c r="G903" s="447"/>
      <c r="J903" s="447"/>
      <c r="M903" s="447"/>
      <c r="R903" s="447"/>
      <c r="S903"/>
      <c r="T903"/>
      <c r="U903" s="447"/>
      <c r="V903"/>
      <c r="W903"/>
      <c r="X903" s="447"/>
      <c r="Y903"/>
      <c r="Z903"/>
      <c r="AA903" s="447"/>
      <c r="AB903"/>
      <c r="AC903"/>
      <c r="AE903"/>
      <c r="AF903" s="447"/>
      <c r="AG903"/>
      <c r="AH903"/>
      <c r="AI903" s="447"/>
      <c r="AJ903"/>
      <c r="AK903"/>
      <c r="AL903" s="447"/>
      <c r="AM903"/>
      <c r="AN903"/>
      <c r="AO903" s="447"/>
      <c r="AP903"/>
      <c r="AQ903"/>
      <c r="AS903"/>
      <c r="AT903" s="447"/>
      <c r="AU903"/>
      <c r="AV903"/>
      <c r="AW903" s="447"/>
      <c r="AX903"/>
      <c r="AY903"/>
      <c r="AZ903" s="447"/>
      <c r="BA903"/>
      <c r="BB903"/>
      <c r="BC903" s="447"/>
      <c r="BD903"/>
      <c r="BE903"/>
    </row>
    <row r="904" spans="4:57">
      <c r="D904" s="447"/>
      <c r="G904" s="447"/>
      <c r="J904" s="447"/>
      <c r="M904" s="447"/>
      <c r="R904" s="447"/>
      <c r="S904"/>
      <c r="T904"/>
      <c r="U904" s="447"/>
      <c r="V904"/>
      <c r="W904"/>
      <c r="X904" s="447"/>
      <c r="Y904"/>
      <c r="Z904"/>
      <c r="AA904" s="447"/>
      <c r="AB904"/>
      <c r="AC904"/>
      <c r="AE904"/>
      <c r="AF904" s="447"/>
      <c r="AG904"/>
      <c r="AH904"/>
      <c r="AI904" s="447"/>
      <c r="AJ904"/>
      <c r="AK904"/>
      <c r="AL904" s="447"/>
      <c r="AM904"/>
      <c r="AN904"/>
      <c r="AO904" s="447"/>
      <c r="AP904"/>
      <c r="AQ904"/>
      <c r="AS904"/>
      <c r="AT904" s="447"/>
      <c r="AU904"/>
      <c r="AV904"/>
      <c r="AW904" s="447"/>
      <c r="AX904"/>
      <c r="AY904"/>
      <c r="AZ904" s="447"/>
      <c r="BA904"/>
      <c r="BB904"/>
      <c r="BC904" s="447"/>
      <c r="BD904"/>
      <c r="BE904"/>
    </row>
    <row r="905" spans="4:57">
      <c r="D905" s="447"/>
      <c r="G905" s="447"/>
      <c r="J905" s="447"/>
      <c r="M905" s="447"/>
      <c r="R905" s="447"/>
      <c r="S905"/>
      <c r="T905"/>
      <c r="U905" s="447"/>
      <c r="V905"/>
      <c r="W905"/>
      <c r="X905" s="447"/>
      <c r="Y905"/>
      <c r="Z905"/>
      <c r="AA905" s="447"/>
      <c r="AB905"/>
      <c r="AC905"/>
      <c r="AE905"/>
      <c r="AF905" s="447"/>
      <c r="AG905"/>
      <c r="AH905"/>
      <c r="AI905" s="447"/>
      <c r="AJ905"/>
      <c r="AK905"/>
      <c r="AL905" s="447"/>
      <c r="AM905"/>
      <c r="AN905"/>
      <c r="AO905" s="447"/>
      <c r="AP905"/>
      <c r="AQ905"/>
      <c r="AS905"/>
      <c r="AT905" s="447"/>
      <c r="AU905"/>
      <c r="AV905"/>
      <c r="AW905" s="447"/>
      <c r="AX905"/>
      <c r="AY905"/>
      <c r="AZ905" s="447"/>
      <c r="BA905"/>
      <c r="BB905"/>
      <c r="BC905" s="447"/>
      <c r="BD905"/>
      <c r="BE905"/>
    </row>
    <row r="906" spans="4:57">
      <c r="D906" s="447"/>
      <c r="G906" s="447"/>
      <c r="J906" s="447"/>
      <c r="M906" s="447"/>
      <c r="R906" s="447"/>
      <c r="S906"/>
      <c r="T906"/>
      <c r="U906" s="447"/>
      <c r="V906"/>
      <c r="W906"/>
      <c r="X906" s="447"/>
      <c r="Y906"/>
      <c r="Z906"/>
      <c r="AA906" s="447"/>
      <c r="AB906"/>
      <c r="AC906"/>
      <c r="AE906"/>
      <c r="AF906" s="447"/>
      <c r="AG906"/>
      <c r="AH906"/>
      <c r="AI906" s="447"/>
      <c r="AJ906"/>
      <c r="AK906"/>
      <c r="AL906" s="447"/>
      <c r="AM906"/>
      <c r="AN906"/>
      <c r="AO906" s="447"/>
      <c r="AP906"/>
      <c r="AQ906"/>
      <c r="AS906"/>
      <c r="AT906" s="447"/>
      <c r="AU906"/>
      <c r="AV906"/>
      <c r="AW906" s="447"/>
      <c r="AX906"/>
      <c r="AY906"/>
      <c r="AZ906" s="447"/>
      <c r="BA906"/>
      <c r="BB906"/>
      <c r="BC906" s="447"/>
      <c r="BD906"/>
      <c r="BE906"/>
    </row>
    <row r="907" spans="4:57">
      <c r="D907" s="447"/>
      <c r="G907" s="447"/>
      <c r="J907" s="447"/>
      <c r="M907" s="447"/>
      <c r="R907" s="447"/>
      <c r="S907"/>
      <c r="T907"/>
      <c r="U907" s="447"/>
      <c r="V907"/>
      <c r="W907"/>
      <c r="X907" s="447"/>
      <c r="Y907"/>
      <c r="Z907"/>
      <c r="AA907" s="447"/>
      <c r="AB907"/>
      <c r="AC907"/>
      <c r="AE907"/>
      <c r="AF907" s="447"/>
      <c r="AG907"/>
      <c r="AH907"/>
      <c r="AI907" s="447"/>
      <c r="AJ907"/>
      <c r="AK907"/>
      <c r="AL907" s="447"/>
      <c r="AM907"/>
      <c r="AN907"/>
      <c r="AO907" s="447"/>
      <c r="AP907"/>
      <c r="AQ907"/>
      <c r="AS907"/>
      <c r="AT907" s="447"/>
      <c r="AU907"/>
      <c r="AV907"/>
      <c r="AW907" s="447"/>
      <c r="AX907"/>
      <c r="AY907"/>
      <c r="AZ907" s="447"/>
      <c r="BA907"/>
      <c r="BB907"/>
      <c r="BC907" s="447"/>
      <c r="BD907"/>
      <c r="BE907"/>
    </row>
    <row r="908" spans="4:57">
      <c r="D908" s="447"/>
      <c r="G908" s="447"/>
      <c r="J908" s="447"/>
      <c r="M908" s="447"/>
      <c r="R908" s="447"/>
      <c r="S908"/>
      <c r="T908"/>
      <c r="U908" s="447"/>
      <c r="V908"/>
      <c r="W908"/>
      <c r="X908" s="447"/>
      <c r="Y908"/>
      <c r="Z908"/>
      <c r="AA908" s="447"/>
      <c r="AB908"/>
      <c r="AC908"/>
      <c r="AE908"/>
      <c r="AF908" s="447"/>
      <c r="AG908"/>
      <c r="AH908"/>
      <c r="AI908" s="447"/>
      <c r="AJ908"/>
      <c r="AK908"/>
      <c r="AL908" s="447"/>
      <c r="AM908"/>
      <c r="AN908"/>
      <c r="AO908" s="447"/>
      <c r="AP908"/>
      <c r="AQ908"/>
      <c r="AS908"/>
      <c r="AT908" s="447"/>
      <c r="AU908"/>
      <c r="AV908"/>
      <c r="AW908" s="447"/>
      <c r="AX908"/>
      <c r="AY908"/>
      <c r="AZ908" s="447"/>
      <c r="BA908"/>
      <c r="BB908"/>
      <c r="BC908" s="447"/>
      <c r="BD908"/>
      <c r="BE908"/>
    </row>
    <row r="909" spans="4:57">
      <c r="D909" s="447"/>
      <c r="G909" s="447"/>
      <c r="J909" s="447"/>
      <c r="M909" s="447"/>
      <c r="R909" s="447"/>
      <c r="S909"/>
      <c r="T909"/>
      <c r="U909" s="447"/>
      <c r="V909"/>
      <c r="W909"/>
      <c r="X909" s="447"/>
      <c r="Y909"/>
      <c r="Z909"/>
      <c r="AA909" s="447"/>
      <c r="AB909"/>
      <c r="AC909"/>
      <c r="AE909"/>
      <c r="AF909" s="447"/>
      <c r="AG909"/>
      <c r="AH909"/>
      <c r="AI909" s="447"/>
      <c r="AJ909"/>
      <c r="AK909"/>
      <c r="AL909" s="447"/>
      <c r="AM909"/>
      <c r="AN909"/>
      <c r="AO909" s="447"/>
      <c r="AP909"/>
      <c r="AQ909"/>
      <c r="AS909"/>
      <c r="AT909" s="447"/>
      <c r="AU909"/>
      <c r="AV909"/>
      <c r="AW909" s="447"/>
      <c r="AX909"/>
      <c r="AY909"/>
      <c r="AZ909" s="447"/>
      <c r="BA909"/>
      <c r="BB909"/>
      <c r="BC909" s="447"/>
      <c r="BD909"/>
      <c r="BE909"/>
    </row>
    <row r="910" spans="4:57">
      <c r="D910" s="447"/>
      <c r="G910" s="447"/>
      <c r="J910" s="447"/>
      <c r="M910" s="447"/>
      <c r="R910" s="447"/>
      <c r="S910"/>
      <c r="T910"/>
      <c r="U910" s="447"/>
      <c r="V910"/>
      <c r="W910"/>
      <c r="X910" s="447"/>
      <c r="Y910"/>
      <c r="Z910"/>
      <c r="AA910" s="447"/>
      <c r="AB910"/>
      <c r="AC910"/>
      <c r="AE910"/>
      <c r="AF910" s="447"/>
      <c r="AG910"/>
      <c r="AH910"/>
      <c r="AI910" s="447"/>
      <c r="AJ910"/>
      <c r="AK910"/>
      <c r="AL910" s="447"/>
      <c r="AM910"/>
      <c r="AN910"/>
      <c r="AO910" s="447"/>
      <c r="AP910"/>
      <c r="AQ910"/>
      <c r="AS910"/>
      <c r="AT910" s="447"/>
      <c r="AU910"/>
      <c r="AV910"/>
      <c r="AW910" s="447"/>
      <c r="AX910"/>
      <c r="AY910"/>
      <c r="AZ910" s="447"/>
      <c r="BA910"/>
      <c r="BB910"/>
      <c r="BC910" s="447"/>
      <c r="BD910"/>
      <c r="BE910"/>
    </row>
    <row r="911" spans="4:57">
      <c r="D911" s="447"/>
      <c r="G911" s="447"/>
      <c r="J911" s="447"/>
      <c r="M911" s="447"/>
      <c r="R911" s="447"/>
      <c r="S911"/>
      <c r="T911"/>
      <c r="U911" s="447"/>
      <c r="V911"/>
      <c r="W911"/>
      <c r="X911" s="447"/>
      <c r="Y911"/>
      <c r="Z911"/>
      <c r="AA911" s="447"/>
      <c r="AB911"/>
      <c r="AC911"/>
      <c r="AE911"/>
      <c r="AF911" s="447"/>
      <c r="AG911"/>
      <c r="AH911"/>
      <c r="AI911" s="447"/>
      <c r="AJ911"/>
      <c r="AK911"/>
      <c r="AL911" s="447"/>
      <c r="AM911"/>
      <c r="AN911"/>
      <c r="AO911" s="447"/>
      <c r="AP911"/>
      <c r="AQ911"/>
      <c r="AS911"/>
      <c r="AT911" s="447"/>
      <c r="AU911"/>
      <c r="AV911"/>
      <c r="AW911" s="447"/>
      <c r="AX911"/>
      <c r="AY911"/>
      <c r="AZ911" s="447"/>
      <c r="BA911"/>
      <c r="BB911"/>
      <c r="BC911" s="447"/>
      <c r="BD911"/>
      <c r="BE911"/>
    </row>
    <row r="912" spans="4:57">
      <c r="D912" s="447"/>
      <c r="G912" s="447"/>
      <c r="J912" s="447"/>
      <c r="M912" s="447"/>
      <c r="R912" s="447"/>
      <c r="S912"/>
      <c r="T912"/>
      <c r="U912" s="447"/>
      <c r="V912"/>
      <c r="W912"/>
      <c r="X912" s="447"/>
      <c r="Y912"/>
      <c r="Z912"/>
      <c r="AA912" s="447"/>
      <c r="AB912"/>
      <c r="AC912"/>
      <c r="AE912"/>
      <c r="AF912" s="447"/>
      <c r="AG912"/>
      <c r="AH912"/>
      <c r="AI912" s="447"/>
      <c r="AJ912"/>
      <c r="AK912"/>
      <c r="AL912" s="447"/>
      <c r="AM912"/>
      <c r="AN912"/>
      <c r="AO912" s="447"/>
      <c r="AP912"/>
      <c r="AQ912"/>
      <c r="AS912"/>
      <c r="AT912" s="447"/>
      <c r="AU912"/>
      <c r="AV912"/>
      <c r="AW912" s="447"/>
      <c r="AX912"/>
      <c r="AY912"/>
      <c r="AZ912" s="447"/>
      <c r="BA912"/>
      <c r="BB912"/>
      <c r="BC912" s="447"/>
      <c r="BD912"/>
      <c r="BE912"/>
    </row>
    <row r="913" spans="4:57">
      <c r="D913" s="447"/>
      <c r="G913" s="447"/>
      <c r="J913" s="447"/>
      <c r="M913" s="447"/>
      <c r="R913" s="447"/>
      <c r="S913"/>
      <c r="T913"/>
      <c r="U913" s="447"/>
      <c r="V913"/>
      <c r="W913"/>
      <c r="X913" s="447"/>
      <c r="Y913"/>
      <c r="Z913"/>
      <c r="AA913" s="447"/>
      <c r="AB913"/>
      <c r="AC913"/>
      <c r="AE913"/>
      <c r="AF913" s="447"/>
      <c r="AG913"/>
      <c r="AH913"/>
      <c r="AI913" s="447"/>
      <c r="AJ913"/>
      <c r="AK913"/>
      <c r="AL913" s="447"/>
      <c r="AM913"/>
      <c r="AN913"/>
      <c r="AO913" s="447"/>
      <c r="AP913"/>
      <c r="AQ913"/>
      <c r="AS913"/>
      <c r="AT913" s="447"/>
      <c r="AU913"/>
      <c r="AV913"/>
      <c r="AW913" s="447"/>
      <c r="AX913"/>
      <c r="AY913"/>
      <c r="AZ913" s="447"/>
      <c r="BA913"/>
      <c r="BB913"/>
      <c r="BC913" s="447"/>
      <c r="BD913"/>
      <c r="BE913"/>
    </row>
    <row r="914" spans="4:57">
      <c r="D914" s="447"/>
      <c r="G914" s="447"/>
      <c r="J914" s="447"/>
      <c r="M914" s="447"/>
      <c r="R914" s="447"/>
      <c r="S914"/>
      <c r="T914"/>
      <c r="U914" s="447"/>
      <c r="V914"/>
      <c r="W914"/>
      <c r="X914" s="447"/>
      <c r="Y914"/>
      <c r="Z914"/>
      <c r="AA914" s="447"/>
      <c r="AB914"/>
      <c r="AC914"/>
      <c r="AE914"/>
      <c r="AF914" s="447"/>
      <c r="AG914"/>
      <c r="AH914"/>
      <c r="AI914" s="447"/>
      <c r="AJ914"/>
      <c r="AK914"/>
      <c r="AL914" s="447"/>
      <c r="AM914"/>
      <c r="AN914"/>
      <c r="AO914" s="447"/>
      <c r="AP914"/>
      <c r="AQ914"/>
      <c r="AS914"/>
      <c r="AT914" s="447"/>
      <c r="AU914"/>
      <c r="AV914"/>
      <c r="AW914" s="447"/>
      <c r="AX914"/>
      <c r="AY914"/>
      <c r="AZ914" s="447"/>
      <c r="BA914"/>
      <c r="BB914"/>
      <c r="BC914" s="447"/>
      <c r="BD914"/>
      <c r="BE914"/>
    </row>
    <row r="915" spans="4:57">
      <c r="D915" s="447"/>
      <c r="G915" s="447"/>
      <c r="J915" s="447"/>
      <c r="M915" s="447"/>
      <c r="R915" s="447"/>
      <c r="S915"/>
      <c r="T915"/>
      <c r="U915" s="447"/>
      <c r="V915"/>
      <c r="W915"/>
      <c r="X915" s="447"/>
      <c r="Y915"/>
      <c r="Z915"/>
      <c r="AA915" s="447"/>
      <c r="AB915"/>
      <c r="AC915"/>
      <c r="AE915"/>
      <c r="AF915" s="447"/>
      <c r="AG915"/>
      <c r="AH915"/>
      <c r="AI915" s="447"/>
      <c r="AJ915"/>
      <c r="AK915"/>
      <c r="AL915" s="447"/>
      <c r="AM915"/>
      <c r="AN915"/>
      <c r="AO915" s="447"/>
      <c r="AP915"/>
      <c r="AQ915"/>
      <c r="AS915"/>
      <c r="AT915" s="447"/>
      <c r="AU915"/>
      <c r="AV915"/>
      <c r="AW915" s="447"/>
      <c r="AX915"/>
      <c r="AY915"/>
      <c r="AZ915" s="447"/>
      <c r="BA915"/>
      <c r="BB915"/>
      <c r="BC915" s="447"/>
      <c r="BD915"/>
      <c r="BE915"/>
    </row>
    <row r="916" spans="4:57">
      <c r="D916" s="447"/>
      <c r="G916" s="447"/>
      <c r="J916" s="447"/>
      <c r="M916" s="447"/>
      <c r="R916" s="447"/>
      <c r="S916"/>
      <c r="T916"/>
      <c r="U916" s="447"/>
      <c r="V916"/>
      <c r="W916"/>
      <c r="X916" s="447"/>
      <c r="Y916"/>
      <c r="Z916"/>
      <c r="AA916" s="447"/>
      <c r="AB916"/>
      <c r="AC916"/>
      <c r="AE916"/>
      <c r="AF916" s="447"/>
      <c r="AG916"/>
      <c r="AH916"/>
      <c r="AI916" s="447"/>
      <c r="AJ916"/>
      <c r="AK916"/>
      <c r="AL916" s="447"/>
      <c r="AM916"/>
      <c r="AN916"/>
      <c r="AO916" s="447"/>
      <c r="AP916"/>
      <c r="AQ916"/>
      <c r="AS916"/>
      <c r="AT916" s="447"/>
      <c r="AU916"/>
      <c r="AV916"/>
      <c r="AW916" s="447"/>
      <c r="AX916"/>
      <c r="AY916"/>
      <c r="AZ916" s="447"/>
      <c r="BA916"/>
      <c r="BB916"/>
      <c r="BC916" s="447"/>
      <c r="BD916"/>
      <c r="BE916"/>
    </row>
    <row r="917" spans="4:57">
      <c r="D917" s="447"/>
      <c r="G917" s="447"/>
      <c r="J917" s="447"/>
      <c r="M917" s="447"/>
      <c r="R917" s="447"/>
      <c r="S917"/>
      <c r="T917"/>
      <c r="U917" s="447"/>
      <c r="V917"/>
      <c r="W917"/>
      <c r="X917" s="447"/>
      <c r="Y917"/>
      <c r="Z917"/>
      <c r="AA917" s="447"/>
      <c r="AB917"/>
      <c r="AC917"/>
      <c r="AE917"/>
      <c r="AF917" s="447"/>
      <c r="AG917"/>
      <c r="AH917"/>
      <c r="AI917" s="447"/>
      <c r="AJ917"/>
      <c r="AK917"/>
      <c r="AL917" s="447"/>
      <c r="AM917"/>
      <c r="AN917"/>
      <c r="AO917" s="447"/>
      <c r="AP917"/>
      <c r="AQ917"/>
      <c r="AS917"/>
      <c r="AT917" s="447"/>
      <c r="AU917"/>
      <c r="AV917"/>
      <c r="AW917" s="447"/>
      <c r="AX917"/>
      <c r="AY917"/>
      <c r="AZ917" s="447"/>
      <c r="BA917"/>
      <c r="BB917"/>
      <c r="BC917" s="447"/>
      <c r="BD917"/>
      <c r="BE917"/>
    </row>
    <row r="918" spans="4:57">
      <c r="D918" s="447"/>
      <c r="G918" s="447"/>
      <c r="J918" s="447"/>
      <c r="M918" s="447"/>
      <c r="R918" s="447"/>
      <c r="S918"/>
      <c r="T918"/>
      <c r="U918" s="447"/>
      <c r="V918"/>
      <c r="W918"/>
      <c r="X918" s="447"/>
      <c r="Y918"/>
      <c r="Z918"/>
      <c r="AA918" s="447"/>
      <c r="AB918"/>
      <c r="AC918"/>
      <c r="AE918"/>
      <c r="AF918" s="447"/>
      <c r="AG918"/>
      <c r="AH918"/>
      <c r="AI918" s="447"/>
      <c r="AJ918"/>
      <c r="AK918"/>
      <c r="AL918" s="447"/>
      <c r="AM918"/>
      <c r="AN918"/>
      <c r="AO918" s="447"/>
      <c r="AP918"/>
      <c r="AQ918"/>
      <c r="AS918"/>
      <c r="AT918" s="447"/>
      <c r="AU918"/>
      <c r="AV918"/>
      <c r="AW918" s="447"/>
      <c r="AX918"/>
      <c r="AY918"/>
      <c r="AZ918" s="447"/>
      <c r="BA918"/>
      <c r="BB918"/>
      <c r="BC918" s="447"/>
      <c r="BD918"/>
      <c r="BE918"/>
    </row>
    <row r="919" spans="4:57">
      <c r="D919" s="447"/>
      <c r="G919" s="447"/>
      <c r="J919" s="447"/>
      <c r="M919" s="447"/>
      <c r="R919" s="447"/>
      <c r="S919"/>
      <c r="T919"/>
      <c r="U919" s="447"/>
      <c r="V919"/>
      <c r="W919"/>
      <c r="X919" s="447"/>
      <c r="Y919"/>
      <c r="Z919"/>
      <c r="AA919" s="447"/>
      <c r="AB919"/>
      <c r="AC919"/>
      <c r="AE919"/>
      <c r="AF919" s="447"/>
      <c r="AG919"/>
      <c r="AH919"/>
      <c r="AI919" s="447"/>
      <c r="AJ919"/>
      <c r="AK919"/>
      <c r="AL919" s="447"/>
      <c r="AM919"/>
      <c r="AN919"/>
      <c r="AO919" s="447"/>
      <c r="AP919"/>
      <c r="AQ919"/>
      <c r="AS919"/>
      <c r="AT919" s="447"/>
      <c r="AU919"/>
      <c r="AV919"/>
      <c r="AW919" s="447"/>
      <c r="AX919"/>
      <c r="AY919"/>
      <c r="AZ919" s="447"/>
      <c r="BA919"/>
      <c r="BB919"/>
      <c r="BC919" s="447"/>
      <c r="BD919"/>
      <c r="BE919"/>
    </row>
    <row r="920" spans="4:57">
      <c r="D920" s="447"/>
      <c r="G920" s="447"/>
      <c r="J920" s="447"/>
      <c r="M920" s="447"/>
      <c r="R920" s="447"/>
      <c r="S920"/>
      <c r="T920"/>
      <c r="U920" s="447"/>
      <c r="V920"/>
      <c r="W920"/>
      <c r="X920" s="447"/>
      <c r="Y920"/>
      <c r="Z920"/>
      <c r="AA920" s="447"/>
      <c r="AB920"/>
      <c r="AC920"/>
      <c r="AE920"/>
      <c r="AF920" s="447"/>
      <c r="AG920"/>
      <c r="AH920"/>
      <c r="AI920" s="447"/>
      <c r="AJ920"/>
      <c r="AK920"/>
      <c r="AL920" s="447"/>
      <c r="AM920"/>
      <c r="AN920"/>
      <c r="AO920" s="447"/>
      <c r="AP920"/>
      <c r="AQ920"/>
      <c r="AS920"/>
      <c r="AT920" s="447"/>
      <c r="AU920"/>
      <c r="AV920"/>
      <c r="AW920" s="447"/>
      <c r="AX920"/>
      <c r="AY920"/>
      <c r="AZ920" s="447"/>
      <c r="BA920"/>
      <c r="BB920"/>
      <c r="BC920" s="447"/>
      <c r="BD920"/>
      <c r="BE920"/>
    </row>
    <row r="921" spans="4:57">
      <c r="D921" s="447"/>
      <c r="G921" s="447"/>
      <c r="J921" s="447"/>
      <c r="M921" s="447"/>
      <c r="R921" s="447"/>
      <c r="S921"/>
      <c r="T921"/>
      <c r="U921" s="447"/>
      <c r="V921"/>
      <c r="W921"/>
      <c r="X921" s="447"/>
      <c r="Y921"/>
      <c r="Z921"/>
      <c r="AA921" s="447"/>
      <c r="AB921"/>
      <c r="AC921"/>
      <c r="AE921"/>
      <c r="AF921" s="447"/>
      <c r="AG921"/>
      <c r="AH921"/>
      <c r="AI921" s="447"/>
      <c r="AJ921"/>
      <c r="AK921"/>
      <c r="AL921" s="447"/>
      <c r="AM921"/>
      <c r="AN921"/>
      <c r="AO921" s="447"/>
      <c r="AP921"/>
      <c r="AQ921"/>
      <c r="AS921"/>
      <c r="AT921" s="447"/>
      <c r="AU921"/>
      <c r="AV921"/>
      <c r="AW921" s="447"/>
      <c r="AX921"/>
      <c r="AY921"/>
      <c r="AZ921" s="447"/>
      <c r="BA921"/>
      <c r="BB921"/>
      <c r="BC921" s="447"/>
      <c r="BD921"/>
      <c r="BE921"/>
    </row>
    <row r="922" spans="4:57">
      <c r="D922" s="447"/>
      <c r="G922" s="447"/>
      <c r="J922" s="447"/>
      <c r="M922" s="447"/>
      <c r="R922" s="447"/>
      <c r="S922"/>
      <c r="T922"/>
      <c r="U922" s="447"/>
      <c r="V922"/>
      <c r="W922"/>
      <c r="X922" s="447"/>
      <c r="Y922"/>
      <c r="Z922"/>
      <c r="AA922" s="447"/>
      <c r="AB922"/>
      <c r="AC922"/>
      <c r="AE922"/>
      <c r="AF922" s="447"/>
      <c r="AG922"/>
      <c r="AH922"/>
      <c r="AI922" s="447"/>
      <c r="AJ922"/>
      <c r="AK922"/>
      <c r="AL922" s="447"/>
      <c r="AM922"/>
      <c r="AN922"/>
      <c r="AO922" s="447"/>
      <c r="AP922"/>
      <c r="AQ922"/>
      <c r="AS922"/>
      <c r="AT922" s="447"/>
      <c r="AU922"/>
      <c r="AV922"/>
      <c r="AW922" s="447"/>
      <c r="AX922"/>
      <c r="AY922"/>
      <c r="AZ922" s="447"/>
      <c r="BA922"/>
      <c r="BB922"/>
      <c r="BC922" s="447"/>
      <c r="BD922"/>
      <c r="BE922"/>
    </row>
    <row r="923" spans="4:57">
      <c r="D923" s="447"/>
      <c r="G923" s="447"/>
      <c r="J923" s="447"/>
      <c r="M923" s="447"/>
      <c r="R923" s="447"/>
      <c r="S923"/>
      <c r="T923"/>
      <c r="U923" s="447"/>
      <c r="V923"/>
      <c r="W923"/>
      <c r="X923" s="447"/>
      <c r="Y923"/>
      <c r="Z923"/>
      <c r="AA923" s="447"/>
      <c r="AB923"/>
      <c r="AC923"/>
      <c r="AE923"/>
      <c r="AF923" s="447"/>
      <c r="AG923"/>
      <c r="AH923"/>
      <c r="AI923" s="447"/>
      <c r="AJ923"/>
      <c r="AK923"/>
      <c r="AL923" s="447"/>
      <c r="AM923"/>
      <c r="AN923"/>
      <c r="AO923" s="447"/>
      <c r="AP923"/>
      <c r="AQ923"/>
      <c r="AS923"/>
      <c r="AT923" s="447"/>
      <c r="AU923"/>
      <c r="AV923"/>
      <c r="AW923" s="447"/>
      <c r="AX923"/>
      <c r="AY923"/>
      <c r="AZ923" s="447"/>
      <c r="BA923"/>
      <c r="BB923"/>
      <c r="BC923" s="447"/>
      <c r="BD923"/>
      <c r="BE923"/>
    </row>
    <row r="924" spans="4:57">
      <c r="D924" s="447"/>
      <c r="G924" s="447"/>
      <c r="J924" s="447"/>
      <c r="M924" s="447"/>
      <c r="R924" s="447"/>
      <c r="S924"/>
      <c r="T924"/>
      <c r="U924" s="447"/>
      <c r="V924"/>
      <c r="W924"/>
      <c r="X924" s="447"/>
      <c r="Y924"/>
      <c r="Z924"/>
      <c r="AA924" s="447"/>
      <c r="AB924"/>
      <c r="AC924"/>
      <c r="AE924"/>
      <c r="AF924" s="447"/>
      <c r="AG924"/>
      <c r="AH924"/>
      <c r="AI924" s="447"/>
      <c r="AJ924"/>
      <c r="AK924"/>
      <c r="AL924" s="447"/>
      <c r="AM924"/>
      <c r="AN924"/>
      <c r="AO924" s="447"/>
      <c r="AP924"/>
      <c r="AQ924"/>
      <c r="AS924"/>
      <c r="AT924" s="447"/>
      <c r="AU924"/>
      <c r="AV924"/>
      <c r="AW924" s="447"/>
      <c r="AX924"/>
      <c r="AY924"/>
      <c r="AZ924" s="447"/>
      <c r="BA924"/>
      <c r="BB924"/>
      <c r="BC924" s="447"/>
      <c r="BD924"/>
      <c r="BE924"/>
    </row>
    <row r="925" spans="4:57">
      <c r="D925" s="447"/>
      <c r="G925" s="447"/>
      <c r="J925" s="447"/>
      <c r="M925" s="447"/>
      <c r="R925" s="447"/>
      <c r="S925"/>
      <c r="T925"/>
      <c r="U925" s="447"/>
      <c r="V925"/>
      <c r="W925"/>
      <c r="X925" s="447"/>
      <c r="Y925"/>
      <c r="Z925"/>
      <c r="AA925" s="447"/>
      <c r="AB925"/>
      <c r="AC925"/>
      <c r="AE925"/>
      <c r="AF925" s="447"/>
      <c r="AG925"/>
      <c r="AH925"/>
      <c r="AI925" s="447"/>
      <c r="AJ925"/>
      <c r="AK925"/>
      <c r="AL925" s="447"/>
      <c r="AM925"/>
      <c r="AN925"/>
      <c r="AO925" s="447"/>
      <c r="AP925"/>
      <c r="AQ925"/>
      <c r="AS925"/>
      <c r="AT925" s="447"/>
      <c r="AU925"/>
      <c r="AV925"/>
      <c r="AW925" s="447"/>
      <c r="AX925"/>
      <c r="AY925"/>
      <c r="AZ925" s="447"/>
      <c r="BA925"/>
      <c r="BB925"/>
      <c r="BC925" s="447"/>
      <c r="BD925"/>
      <c r="BE925"/>
    </row>
    <row r="926" spans="4:57">
      <c r="D926" s="447"/>
      <c r="G926" s="447"/>
      <c r="J926" s="447"/>
      <c r="M926" s="447"/>
      <c r="R926" s="447"/>
      <c r="S926"/>
      <c r="T926"/>
      <c r="U926" s="447"/>
      <c r="V926"/>
      <c r="W926"/>
      <c r="X926" s="447"/>
      <c r="Y926"/>
      <c r="Z926"/>
      <c r="AA926" s="447"/>
      <c r="AB926"/>
      <c r="AC926"/>
      <c r="AE926"/>
      <c r="AF926" s="447"/>
      <c r="AG926"/>
      <c r="AH926"/>
      <c r="AI926" s="447"/>
      <c r="AJ926"/>
      <c r="AK926"/>
      <c r="AL926" s="447"/>
      <c r="AM926"/>
      <c r="AN926"/>
      <c r="AO926" s="447"/>
      <c r="AP926"/>
      <c r="AQ926"/>
      <c r="AS926"/>
      <c r="AT926" s="447"/>
      <c r="AU926"/>
      <c r="AV926"/>
      <c r="AW926" s="447"/>
      <c r="AX926"/>
      <c r="AY926"/>
      <c r="AZ926" s="447"/>
      <c r="BA926"/>
      <c r="BB926"/>
      <c r="BC926" s="447"/>
      <c r="BD926"/>
      <c r="BE926"/>
    </row>
    <row r="927" spans="4:57">
      <c r="D927" s="447"/>
      <c r="G927" s="447"/>
      <c r="J927" s="447"/>
      <c r="M927" s="447"/>
      <c r="R927" s="447"/>
      <c r="S927"/>
      <c r="T927"/>
      <c r="U927" s="447"/>
      <c r="V927"/>
      <c r="W927"/>
      <c r="X927" s="447"/>
      <c r="Y927"/>
      <c r="Z927"/>
      <c r="AA927" s="447"/>
      <c r="AB927"/>
      <c r="AC927"/>
      <c r="AE927"/>
      <c r="AF927" s="447"/>
      <c r="AG927"/>
      <c r="AH927"/>
      <c r="AI927" s="447"/>
      <c r="AJ927"/>
      <c r="AK927"/>
      <c r="AL927" s="447"/>
      <c r="AM927"/>
      <c r="AN927"/>
      <c r="AO927" s="447"/>
      <c r="AP927"/>
      <c r="AQ927"/>
      <c r="AS927"/>
      <c r="AT927" s="447"/>
      <c r="AU927"/>
      <c r="AV927"/>
      <c r="AW927" s="447"/>
      <c r="AX927"/>
      <c r="AY927"/>
      <c r="AZ927" s="447"/>
      <c r="BA927"/>
      <c r="BB927"/>
      <c r="BC927" s="447"/>
      <c r="BD927"/>
      <c r="BE927"/>
    </row>
    <row r="928" spans="4:57">
      <c r="D928" s="447"/>
      <c r="G928" s="447"/>
      <c r="J928" s="447"/>
      <c r="M928" s="447"/>
      <c r="R928" s="447"/>
      <c r="S928"/>
      <c r="T928"/>
      <c r="U928" s="447"/>
      <c r="V928"/>
      <c r="W928"/>
      <c r="X928" s="447"/>
      <c r="Y928"/>
      <c r="Z928"/>
      <c r="AA928" s="447"/>
      <c r="AB928"/>
      <c r="AC928"/>
      <c r="AE928"/>
      <c r="AF928" s="447"/>
      <c r="AG928"/>
      <c r="AH928"/>
      <c r="AI928" s="447"/>
      <c r="AJ928"/>
      <c r="AK928"/>
      <c r="AL928" s="447"/>
      <c r="AM928"/>
      <c r="AN928"/>
      <c r="AO928" s="447"/>
      <c r="AP928"/>
      <c r="AQ928"/>
      <c r="AS928"/>
      <c r="AT928" s="447"/>
      <c r="AU928"/>
      <c r="AV928"/>
      <c r="AW928" s="447"/>
      <c r="AX928"/>
      <c r="AY928"/>
      <c r="AZ928" s="447"/>
      <c r="BA928"/>
      <c r="BB928"/>
      <c r="BC928" s="447"/>
      <c r="BD928"/>
      <c r="BE928"/>
    </row>
    <row r="929" spans="4:57">
      <c r="D929" s="447"/>
      <c r="G929" s="447"/>
      <c r="J929" s="447"/>
      <c r="M929" s="447"/>
      <c r="R929" s="447"/>
      <c r="S929"/>
      <c r="T929"/>
      <c r="U929" s="447"/>
      <c r="V929"/>
      <c r="W929"/>
      <c r="X929" s="447"/>
      <c r="Y929"/>
      <c r="Z929"/>
      <c r="AA929" s="447"/>
      <c r="AB929"/>
      <c r="AC929"/>
      <c r="AE929"/>
      <c r="AF929" s="447"/>
      <c r="AG929"/>
      <c r="AH929"/>
      <c r="AI929" s="447"/>
      <c r="AJ929"/>
      <c r="AK929"/>
      <c r="AL929" s="447"/>
      <c r="AM929"/>
      <c r="AN929"/>
      <c r="AO929" s="447"/>
      <c r="AP929"/>
      <c r="AQ929"/>
      <c r="AS929"/>
      <c r="AT929" s="447"/>
      <c r="AU929"/>
      <c r="AV929"/>
      <c r="AW929" s="447"/>
      <c r="AX929"/>
      <c r="AY929"/>
      <c r="AZ929" s="447"/>
      <c r="BA929"/>
      <c r="BB929"/>
      <c r="BC929" s="447"/>
      <c r="BD929"/>
      <c r="BE929"/>
    </row>
    <row r="930" spans="4:57">
      <c r="D930" s="447"/>
      <c r="G930" s="447"/>
      <c r="J930" s="447"/>
      <c r="M930" s="447"/>
      <c r="R930" s="447"/>
      <c r="S930"/>
      <c r="T930"/>
      <c r="U930" s="447"/>
      <c r="V930"/>
      <c r="W930"/>
      <c r="X930" s="447"/>
      <c r="Y930"/>
      <c r="Z930"/>
      <c r="AA930" s="447"/>
      <c r="AB930"/>
      <c r="AC930"/>
      <c r="AE930"/>
      <c r="AF930" s="447"/>
      <c r="AG930"/>
      <c r="AH930"/>
      <c r="AI930" s="447"/>
      <c r="AJ930"/>
      <c r="AK930"/>
      <c r="AL930" s="447"/>
      <c r="AM930"/>
      <c r="AN930"/>
      <c r="AO930" s="447"/>
      <c r="AP930"/>
      <c r="AQ930"/>
      <c r="AS930"/>
      <c r="AT930" s="447"/>
      <c r="AU930"/>
      <c r="AV930"/>
      <c r="AW930" s="447"/>
      <c r="AX930"/>
      <c r="AY930"/>
      <c r="AZ930" s="447"/>
      <c r="BA930"/>
      <c r="BB930"/>
      <c r="BC930" s="447"/>
      <c r="BD930"/>
      <c r="BE930"/>
    </row>
    <row r="931" spans="4:57">
      <c r="D931" s="447"/>
      <c r="G931" s="447"/>
      <c r="J931" s="447"/>
      <c r="M931" s="447"/>
      <c r="R931" s="447"/>
      <c r="S931"/>
      <c r="T931"/>
      <c r="U931" s="447"/>
      <c r="V931"/>
      <c r="W931"/>
      <c r="X931" s="447"/>
      <c r="Y931"/>
      <c r="Z931"/>
      <c r="AA931" s="447"/>
      <c r="AB931"/>
      <c r="AC931"/>
      <c r="AE931"/>
      <c r="AF931" s="447"/>
      <c r="AG931"/>
      <c r="AH931"/>
      <c r="AI931" s="447"/>
      <c r="AJ931"/>
      <c r="AK931"/>
      <c r="AL931" s="447"/>
      <c r="AM931"/>
      <c r="AN931"/>
      <c r="AO931" s="447"/>
      <c r="AP931"/>
      <c r="AQ931"/>
      <c r="AS931"/>
      <c r="AT931" s="447"/>
      <c r="AU931"/>
      <c r="AV931"/>
      <c r="AW931" s="447"/>
      <c r="AX931"/>
      <c r="AY931"/>
      <c r="AZ931" s="447"/>
      <c r="BA931"/>
      <c r="BB931"/>
      <c r="BC931" s="447"/>
      <c r="BD931"/>
      <c r="BE931"/>
    </row>
    <row r="932" spans="4:57">
      <c r="D932" s="447"/>
      <c r="G932" s="447"/>
      <c r="J932" s="447"/>
      <c r="M932" s="447"/>
      <c r="R932" s="447"/>
      <c r="S932"/>
      <c r="T932"/>
      <c r="U932" s="447"/>
      <c r="V932"/>
      <c r="W932"/>
      <c r="X932" s="447"/>
      <c r="Y932"/>
      <c r="Z932"/>
      <c r="AA932" s="447"/>
      <c r="AB932"/>
      <c r="AC932"/>
      <c r="AE932"/>
      <c r="AF932" s="447"/>
      <c r="AG932"/>
      <c r="AH932"/>
      <c r="AI932" s="447"/>
      <c r="AJ932"/>
      <c r="AK932"/>
      <c r="AL932" s="447"/>
      <c r="AM932"/>
      <c r="AN932"/>
      <c r="AO932" s="447"/>
      <c r="AP932"/>
      <c r="AQ932"/>
      <c r="AS932"/>
      <c r="AT932" s="447"/>
      <c r="AU932"/>
      <c r="AV932"/>
      <c r="AW932" s="447"/>
      <c r="AX932"/>
      <c r="AY932"/>
      <c r="AZ932" s="447"/>
      <c r="BA932"/>
      <c r="BB932"/>
      <c r="BC932" s="447"/>
      <c r="BD932"/>
      <c r="BE932"/>
    </row>
    <row r="933" spans="4:57">
      <c r="D933" s="447"/>
      <c r="G933" s="447"/>
      <c r="J933" s="447"/>
      <c r="M933" s="447"/>
      <c r="R933" s="447"/>
      <c r="S933"/>
      <c r="T933"/>
      <c r="U933" s="447"/>
      <c r="V933"/>
      <c r="W933"/>
      <c r="X933" s="447"/>
      <c r="Y933"/>
      <c r="Z933"/>
      <c r="AA933" s="447"/>
      <c r="AB933"/>
      <c r="AC933"/>
      <c r="AE933"/>
      <c r="AF933" s="447"/>
      <c r="AG933"/>
      <c r="AH933"/>
      <c r="AI933" s="447"/>
      <c r="AJ933"/>
      <c r="AK933"/>
      <c r="AL933" s="447"/>
      <c r="AM933"/>
      <c r="AN933"/>
      <c r="AO933" s="447"/>
      <c r="AP933"/>
      <c r="AQ933"/>
      <c r="AS933"/>
      <c r="AT933" s="447"/>
      <c r="AU933"/>
      <c r="AV933"/>
      <c r="AW933" s="447"/>
      <c r="AX933"/>
      <c r="AY933"/>
      <c r="AZ933" s="447"/>
      <c r="BA933"/>
      <c r="BB933"/>
      <c r="BC933" s="447"/>
      <c r="BD933"/>
      <c r="BE933"/>
    </row>
    <row r="934" spans="4:57">
      <c r="D934" s="447"/>
      <c r="G934" s="447"/>
      <c r="J934" s="447"/>
      <c r="M934" s="447"/>
      <c r="R934" s="447"/>
      <c r="S934"/>
      <c r="T934"/>
      <c r="U934" s="447"/>
      <c r="V934"/>
      <c r="W934"/>
      <c r="X934" s="447"/>
      <c r="Y934"/>
      <c r="Z934"/>
      <c r="AA934" s="447"/>
      <c r="AB934"/>
      <c r="AC934"/>
      <c r="AE934"/>
      <c r="AF934" s="447"/>
      <c r="AG934"/>
      <c r="AH934"/>
      <c r="AI934" s="447"/>
      <c r="AJ934"/>
      <c r="AK934"/>
      <c r="AL934" s="447"/>
      <c r="AM934"/>
      <c r="AN934"/>
      <c r="AO934" s="447"/>
      <c r="AP934"/>
      <c r="AQ934"/>
      <c r="AS934"/>
      <c r="AT934" s="447"/>
      <c r="AU934"/>
      <c r="AV934"/>
      <c r="AW934" s="447"/>
      <c r="AX934"/>
      <c r="AY934"/>
      <c r="AZ934" s="447"/>
      <c r="BA934"/>
      <c r="BB934"/>
      <c r="BC934" s="447"/>
      <c r="BD934"/>
      <c r="BE934"/>
    </row>
    <row r="935" spans="4:57">
      <c r="D935" s="447"/>
      <c r="G935" s="447"/>
      <c r="J935" s="447"/>
      <c r="M935" s="447"/>
      <c r="R935" s="447"/>
      <c r="S935"/>
      <c r="T935"/>
      <c r="U935" s="447"/>
      <c r="V935"/>
      <c r="W935"/>
      <c r="X935" s="447"/>
      <c r="Y935"/>
      <c r="Z935"/>
      <c r="AA935" s="447"/>
      <c r="AB935"/>
      <c r="AC935"/>
      <c r="AE935"/>
      <c r="AF935" s="447"/>
      <c r="AG935"/>
      <c r="AH935"/>
      <c r="AI935" s="447"/>
      <c r="AJ935"/>
      <c r="AK935"/>
      <c r="AL935" s="447"/>
      <c r="AM935"/>
      <c r="AN935"/>
      <c r="AO935" s="447"/>
      <c r="AP935"/>
      <c r="AQ935"/>
      <c r="AS935"/>
      <c r="AT935" s="447"/>
      <c r="AU935"/>
      <c r="AV935"/>
      <c r="AW935" s="447"/>
      <c r="AX935"/>
      <c r="AY935"/>
      <c r="AZ935" s="447"/>
      <c r="BA935"/>
      <c r="BB935"/>
      <c r="BC935" s="447"/>
      <c r="BD935"/>
      <c r="BE935"/>
    </row>
    <row r="936" spans="4:57">
      <c r="D936" s="447"/>
      <c r="G936" s="447"/>
      <c r="J936" s="447"/>
      <c r="M936" s="447"/>
      <c r="R936" s="447"/>
      <c r="S936"/>
      <c r="T936"/>
      <c r="U936" s="447"/>
      <c r="V936"/>
      <c r="W936"/>
      <c r="X936" s="447"/>
      <c r="Y936"/>
      <c r="Z936"/>
      <c r="AA936" s="447"/>
      <c r="AB936"/>
      <c r="AC936"/>
      <c r="AE936"/>
      <c r="AF936" s="447"/>
      <c r="AG936"/>
      <c r="AH936"/>
      <c r="AI936" s="447"/>
      <c r="AJ936"/>
      <c r="AK936"/>
      <c r="AL936" s="447"/>
      <c r="AM936"/>
      <c r="AN936"/>
      <c r="AO936" s="447"/>
      <c r="AP936"/>
      <c r="AQ936"/>
      <c r="AS936"/>
      <c r="AT936" s="447"/>
      <c r="AU936"/>
      <c r="AV936"/>
      <c r="AW936" s="447"/>
      <c r="AX936"/>
      <c r="AY936"/>
      <c r="AZ936" s="447"/>
      <c r="BA936"/>
      <c r="BB936"/>
      <c r="BC936" s="447"/>
      <c r="BD936"/>
      <c r="BE936"/>
    </row>
    <row r="937" spans="4:57">
      <c r="D937" s="447"/>
      <c r="G937" s="447"/>
      <c r="J937" s="447"/>
      <c r="M937" s="447"/>
      <c r="R937" s="447"/>
      <c r="S937"/>
      <c r="T937"/>
      <c r="U937" s="447"/>
      <c r="V937"/>
      <c r="W937"/>
      <c r="X937" s="447"/>
      <c r="Y937"/>
      <c r="Z937"/>
      <c r="AA937" s="447"/>
      <c r="AB937"/>
      <c r="AC937"/>
      <c r="AE937"/>
      <c r="AF937" s="447"/>
      <c r="AG937"/>
      <c r="AH937"/>
      <c r="AI937" s="447"/>
      <c r="AJ937"/>
      <c r="AK937"/>
      <c r="AL937" s="447"/>
      <c r="AM937"/>
      <c r="AN937"/>
      <c r="AO937" s="447"/>
      <c r="AP937"/>
      <c r="AQ937"/>
      <c r="AS937"/>
      <c r="AT937" s="447"/>
      <c r="AU937"/>
      <c r="AV937"/>
      <c r="AW937" s="447"/>
      <c r="AX937"/>
      <c r="AY937"/>
      <c r="AZ937" s="447"/>
      <c r="BA937"/>
      <c r="BB937"/>
      <c r="BC937" s="447"/>
      <c r="BD937"/>
      <c r="BE937"/>
    </row>
    <row r="938" spans="4:57">
      <c r="D938" s="447"/>
      <c r="G938" s="447"/>
      <c r="J938" s="447"/>
      <c r="M938" s="447"/>
      <c r="R938" s="447"/>
      <c r="S938"/>
      <c r="T938"/>
      <c r="U938" s="447"/>
      <c r="V938"/>
      <c r="W938"/>
      <c r="X938" s="447"/>
      <c r="Y938"/>
      <c r="Z938"/>
      <c r="AA938" s="447"/>
      <c r="AB938"/>
      <c r="AC938"/>
      <c r="AE938"/>
      <c r="AF938" s="447"/>
      <c r="AG938"/>
      <c r="AH938"/>
      <c r="AI938" s="447"/>
      <c r="AJ938"/>
      <c r="AK938"/>
      <c r="AL938" s="447"/>
      <c r="AM938"/>
      <c r="AN938"/>
      <c r="AO938" s="447"/>
      <c r="AP938"/>
      <c r="AQ938"/>
      <c r="AS938"/>
      <c r="AT938" s="447"/>
      <c r="AU938"/>
      <c r="AV938"/>
      <c r="AW938" s="447"/>
      <c r="AX938"/>
      <c r="AY938"/>
      <c r="AZ938" s="447"/>
      <c r="BA938"/>
      <c r="BB938"/>
      <c r="BC938" s="447"/>
      <c r="BD938"/>
      <c r="BE938"/>
    </row>
    <row r="939" spans="4:57">
      <c r="D939" s="447"/>
      <c r="G939" s="447"/>
      <c r="J939" s="447"/>
      <c r="M939" s="447"/>
      <c r="R939" s="447"/>
      <c r="S939"/>
      <c r="T939"/>
      <c r="U939" s="447"/>
      <c r="V939"/>
      <c r="W939"/>
      <c r="X939" s="447"/>
      <c r="Y939"/>
      <c r="Z939"/>
      <c r="AA939" s="447"/>
      <c r="AB939"/>
      <c r="AC939"/>
      <c r="AE939"/>
      <c r="AF939" s="447"/>
      <c r="AG939"/>
      <c r="AH939"/>
      <c r="AI939" s="447"/>
      <c r="AJ939"/>
      <c r="AK939"/>
      <c r="AL939" s="447"/>
      <c r="AM939"/>
      <c r="AN939"/>
      <c r="AO939" s="447"/>
      <c r="AP939"/>
      <c r="AQ939"/>
      <c r="AS939"/>
      <c r="AT939" s="447"/>
      <c r="AU939"/>
      <c r="AV939"/>
      <c r="AW939" s="447"/>
      <c r="AX939"/>
      <c r="AY939"/>
      <c r="AZ939" s="447"/>
      <c r="BA939"/>
      <c r="BB939"/>
      <c r="BC939" s="447"/>
      <c r="BD939"/>
      <c r="BE939"/>
    </row>
    <row r="940" spans="4:57">
      <c r="D940" s="447"/>
      <c r="G940" s="447"/>
      <c r="J940" s="447"/>
      <c r="M940" s="447"/>
      <c r="R940" s="447"/>
      <c r="S940"/>
      <c r="T940"/>
      <c r="U940" s="447"/>
      <c r="V940"/>
      <c r="W940"/>
      <c r="X940" s="447"/>
      <c r="Y940"/>
      <c r="Z940"/>
      <c r="AA940" s="447"/>
      <c r="AB940"/>
      <c r="AC940"/>
      <c r="AE940"/>
      <c r="AF940" s="447"/>
      <c r="AG940"/>
      <c r="AH940"/>
      <c r="AI940" s="447"/>
      <c r="AJ940"/>
      <c r="AK940"/>
      <c r="AL940" s="447"/>
      <c r="AM940"/>
      <c r="AN940"/>
      <c r="AO940" s="447"/>
      <c r="AP940"/>
      <c r="AQ940"/>
      <c r="AS940"/>
      <c r="AT940" s="447"/>
      <c r="AU940"/>
      <c r="AV940"/>
      <c r="AW940" s="447"/>
      <c r="AX940"/>
      <c r="AY940"/>
      <c r="AZ940" s="447"/>
      <c r="BA940"/>
      <c r="BB940"/>
      <c r="BC940" s="447"/>
      <c r="BD940"/>
      <c r="BE940"/>
    </row>
    <row r="941" spans="4:57">
      <c r="D941" s="447"/>
      <c r="G941" s="447"/>
      <c r="J941" s="447"/>
      <c r="M941" s="447"/>
      <c r="R941" s="447"/>
      <c r="S941"/>
      <c r="T941"/>
      <c r="U941" s="447"/>
      <c r="V941"/>
      <c r="W941"/>
      <c r="X941" s="447"/>
      <c r="Y941"/>
      <c r="Z941"/>
      <c r="AA941" s="447"/>
      <c r="AB941"/>
      <c r="AC941"/>
      <c r="AE941"/>
      <c r="AF941" s="447"/>
      <c r="AG941"/>
      <c r="AH941"/>
      <c r="AI941" s="447"/>
      <c r="AJ941"/>
      <c r="AK941"/>
      <c r="AL941" s="447"/>
      <c r="AM941"/>
      <c r="AN941"/>
      <c r="AO941" s="447"/>
      <c r="AP941"/>
      <c r="AQ941"/>
      <c r="AS941"/>
      <c r="AT941" s="447"/>
      <c r="AU941"/>
      <c r="AV941"/>
      <c r="AW941" s="447"/>
      <c r="AX941"/>
      <c r="AY941"/>
      <c r="AZ941" s="447"/>
      <c r="BA941"/>
      <c r="BB941"/>
      <c r="BC941" s="447"/>
      <c r="BD941"/>
      <c r="BE941"/>
    </row>
    <row r="942" spans="4:57">
      <c r="D942" s="447"/>
      <c r="G942" s="447"/>
      <c r="J942" s="447"/>
      <c r="M942" s="447"/>
      <c r="R942" s="447"/>
      <c r="S942"/>
      <c r="T942"/>
      <c r="U942" s="447"/>
      <c r="V942"/>
      <c r="W942"/>
      <c r="X942" s="447"/>
      <c r="Y942"/>
      <c r="Z942"/>
      <c r="AA942" s="447"/>
      <c r="AB942"/>
      <c r="AC942"/>
      <c r="AE942"/>
      <c r="AF942" s="447"/>
      <c r="AG942"/>
      <c r="AH942"/>
      <c r="AI942" s="447"/>
      <c r="AJ942"/>
      <c r="AK942"/>
      <c r="AL942" s="447"/>
      <c r="AM942"/>
      <c r="AN942"/>
      <c r="AO942" s="447"/>
      <c r="AP942"/>
      <c r="AQ942"/>
      <c r="AS942"/>
      <c r="AT942" s="447"/>
      <c r="AU942"/>
      <c r="AV942"/>
      <c r="AW942" s="447"/>
      <c r="AX942"/>
      <c r="AY942"/>
      <c r="AZ942" s="447"/>
      <c r="BA942"/>
      <c r="BB942"/>
      <c r="BC942" s="447"/>
      <c r="BD942"/>
      <c r="BE942"/>
    </row>
    <row r="943" spans="4:57">
      <c r="D943" s="447"/>
      <c r="G943" s="447"/>
      <c r="J943" s="447"/>
      <c r="M943" s="447"/>
      <c r="R943" s="447"/>
      <c r="S943"/>
      <c r="T943"/>
      <c r="U943" s="447"/>
      <c r="V943"/>
      <c r="W943"/>
      <c r="X943" s="447"/>
      <c r="Y943"/>
      <c r="Z943"/>
      <c r="AA943" s="447"/>
      <c r="AB943"/>
      <c r="AC943"/>
      <c r="AE943"/>
      <c r="AF943" s="447"/>
      <c r="AG943"/>
      <c r="AH943"/>
      <c r="AI943" s="447"/>
      <c r="AJ943"/>
      <c r="AK943"/>
      <c r="AL943" s="447"/>
      <c r="AM943"/>
      <c r="AN943"/>
      <c r="AO943" s="447"/>
      <c r="AP943"/>
      <c r="AQ943"/>
      <c r="AS943"/>
      <c r="AT943" s="447"/>
      <c r="AU943"/>
      <c r="AV943"/>
      <c r="AW943" s="447"/>
      <c r="AX943"/>
      <c r="AY943"/>
      <c r="AZ943" s="447"/>
      <c r="BA943"/>
      <c r="BB943"/>
      <c r="BC943" s="447"/>
      <c r="BD943"/>
      <c r="BE943"/>
    </row>
    <row r="944" spans="4:57">
      <c r="D944" s="447"/>
      <c r="G944" s="447"/>
      <c r="J944" s="447"/>
      <c r="M944" s="447"/>
      <c r="R944" s="447"/>
      <c r="S944"/>
      <c r="T944"/>
      <c r="U944" s="447"/>
      <c r="V944"/>
      <c r="W944"/>
      <c r="X944" s="447"/>
      <c r="Y944"/>
      <c r="Z944"/>
      <c r="AA944" s="447"/>
      <c r="AB944"/>
      <c r="AC944"/>
      <c r="AE944"/>
      <c r="AF944" s="447"/>
      <c r="AG944"/>
      <c r="AH944"/>
      <c r="AI944" s="447"/>
      <c r="AJ944"/>
      <c r="AK944"/>
      <c r="AL944" s="447"/>
      <c r="AM944"/>
      <c r="AN944"/>
      <c r="AO944" s="447"/>
      <c r="AP944"/>
      <c r="AQ944"/>
      <c r="AS944"/>
      <c r="AT944" s="447"/>
      <c r="AU944"/>
      <c r="AV944"/>
      <c r="AW944" s="447"/>
      <c r="AX944"/>
      <c r="AY944"/>
      <c r="AZ944" s="447"/>
      <c r="BA944"/>
      <c r="BB944"/>
      <c r="BC944" s="447"/>
      <c r="BD944"/>
      <c r="BE944"/>
    </row>
    <row r="945" spans="4:57">
      <c r="D945" s="447"/>
      <c r="G945" s="447"/>
      <c r="J945" s="447"/>
      <c r="M945" s="447"/>
      <c r="R945" s="447"/>
      <c r="S945"/>
      <c r="T945"/>
      <c r="U945" s="447"/>
      <c r="V945"/>
      <c r="W945"/>
      <c r="X945" s="447"/>
      <c r="Y945"/>
      <c r="Z945"/>
      <c r="AA945" s="447"/>
      <c r="AB945"/>
      <c r="AC945"/>
      <c r="AE945"/>
      <c r="AF945" s="447"/>
      <c r="AG945"/>
      <c r="AH945"/>
      <c r="AI945" s="447"/>
      <c r="AJ945"/>
      <c r="AK945"/>
      <c r="AL945" s="447"/>
      <c r="AM945"/>
      <c r="AN945"/>
      <c r="AO945" s="447"/>
      <c r="AP945"/>
      <c r="AQ945"/>
      <c r="AS945"/>
      <c r="AT945" s="447"/>
      <c r="AU945"/>
      <c r="AV945"/>
      <c r="AW945" s="447"/>
      <c r="AX945"/>
      <c r="AY945"/>
      <c r="AZ945" s="447"/>
      <c r="BA945"/>
      <c r="BB945"/>
      <c r="BC945" s="447"/>
      <c r="BD945"/>
      <c r="BE945"/>
    </row>
    <row r="946" spans="4:57">
      <c r="D946" s="447"/>
      <c r="G946" s="447"/>
      <c r="J946" s="447"/>
      <c r="M946" s="447"/>
      <c r="R946" s="447"/>
      <c r="S946"/>
      <c r="T946"/>
      <c r="U946" s="447"/>
      <c r="V946"/>
      <c r="W946"/>
      <c r="X946" s="447"/>
      <c r="Y946"/>
      <c r="Z946"/>
      <c r="AA946" s="447"/>
      <c r="AB946"/>
      <c r="AC946"/>
      <c r="AE946"/>
      <c r="AF946" s="447"/>
      <c r="AG946"/>
      <c r="AH946"/>
      <c r="AI946" s="447"/>
      <c r="AJ946"/>
      <c r="AK946"/>
      <c r="AL946" s="447"/>
      <c r="AM946"/>
      <c r="AN946"/>
      <c r="AO946" s="447"/>
      <c r="AP946"/>
      <c r="AQ946"/>
      <c r="AS946"/>
      <c r="AT946" s="447"/>
      <c r="AU946"/>
      <c r="AV946"/>
      <c r="AW946" s="447"/>
      <c r="AX946"/>
      <c r="AY946"/>
      <c r="AZ946" s="447"/>
      <c r="BA946"/>
      <c r="BB946"/>
      <c r="BC946" s="447"/>
      <c r="BD946"/>
      <c r="BE946"/>
    </row>
    <row r="947" spans="4:57">
      <c r="D947" s="447"/>
      <c r="G947" s="447"/>
      <c r="J947" s="447"/>
      <c r="M947" s="447"/>
      <c r="R947" s="447"/>
      <c r="S947"/>
      <c r="T947"/>
      <c r="U947" s="447"/>
      <c r="V947"/>
      <c r="W947"/>
      <c r="X947" s="447"/>
      <c r="Y947"/>
      <c r="Z947"/>
      <c r="AA947" s="447"/>
      <c r="AB947"/>
      <c r="AC947"/>
      <c r="AE947"/>
      <c r="AF947" s="447"/>
      <c r="AG947"/>
      <c r="AH947"/>
      <c r="AI947" s="447"/>
      <c r="AJ947"/>
      <c r="AK947"/>
      <c r="AL947" s="447"/>
      <c r="AM947"/>
      <c r="AN947"/>
      <c r="AO947" s="447"/>
      <c r="AP947"/>
      <c r="AQ947"/>
      <c r="AS947"/>
      <c r="AT947" s="447"/>
      <c r="AU947"/>
      <c r="AV947"/>
      <c r="AW947" s="447"/>
      <c r="AX947"/>
      <c r="AY947"/>
      <c r="AZ947" s="447"/>
      <c r="BA947"/>
      <c r="BB947"/>
      <c r="BC947" s="447"/>
      <c r="BD947"/>
      <c r="BE947"/>
    </row>
    <row r="948" spans="4:57">
      <c r="D948" s="447"/>
      <c r="G948" s="447"/>
      <c r="J948" s="447"/>
      <c r="M948" s="447"/>
      <c r="R948" s="447"/>
      <c r="S948"/>
      <c r="T948"/>
      <c r="U948" s="447"/>
      <c r="V948"/>
      <c r="W948"/>
      <c r="X948" s="447"/>
      <c r="Y948"/>
      <c r="Z948"/>
      <c r="AA948" s="447"/>
      <c r="AB948"/>
      <c r="AC948"/>
      <c r="AE948"/>
      <c r="AF948" s="447"/>
      <c r="AG948"/>
      <c r="AH948"/>
      <c r="AI948" s="447"/>
      <c r="AJ948"/>
      <c r="AK948"/>
      <c r="AL948" s="447"/>
      <c r="AM948"/>
      <c r="AN948"/>
      <c r="AO948" s="447"/>
      <c r="AP948"/>
      <c r="AQ948"/>
      <c r="AS948"/>
      <c r="AT948" s="447"/>
      <c r="AU948"/>
      <c r="AV948"/>
      <c r="AW948" s="447"/>
      <c r="AX948"/>
      <c r="AY948"/>
      <c r="AZ948" s="447"/>
      <c r="BA948"/>
      <c r="BB948"/>
      <c r="BC948" s="447"/>
      <c r="BD948"/>
      <c r="BE948"/>
    </row>
    <row r="949" spans="4:57">
      <c r="D949" s="447"/>
      <c r="G949" s="447"/>
      <c r="J949" s="447"/>
      <c r="M949" s="447"/>
      <c r="R949" s="447"/>
      <c r="S949"/>
      <c r="T949"/>
      <c r="U949" s="447"/>
      <c r="V949"/>
      <c r="W949"/>
      <c r="X949" s="447"/>
      <c r="Y949"/>
      <c r="Z949"/>
      <c r="AA949" s="447"/>
      <c r="AB949"/>
      <c r="AC949"/>
      <c r="AE949"/>
      <c r="AF949" s="447"/>
      <c r="AG949"/>
      <c r="AH949"/>
      <c r="AI949" s="447"/>
      <c r="AJ949"/>
      <c r="AK949"/>
      <c r="AL949" s="447"/>
      <c r="AM949"/>
      <c r="AN949"/>
      <c r="AO949" s="447"/>
      <c r="AP949"/>
      <c r="AQ949"/>
      <c r="AS949"/>
      <c r="AT949" s="447"/>
      <c r="AU949"/>
      <c r="AV949"/>
      <c r="AW949" s="447"/>
      <c r="AX949"/>
      <c r="AY949"/>
      <c r="AZ949" s="447"/>
      <c r="BA949"/>
      <c r="BB949"/>
      <c r="BC949" s="447"/>
      <c r="BD949"/>
      <c r="BE949"/>
    </row>
    <row r="950" spans="4:57">
      <c r="D950" s="447"/>
      <c r="G950" s="447"/>
      <c r="J950" s="447"/>
      <c r="M950" s="447"/>
      <c r="R950" s="447"/>
      <c r="S950"/>
      <c r="T950"/>
      <c r="U950" s="447"/>
      <c r="V950"/>
      <c r="W950"/>
      <c r="X950" s="447"/>
      <c r="Y950"/>
      <c r="Z950"/>
      <c r="AA950" s="447"/>
      <c r="AB950"/>
      <c r="AC950"/>
      <c r="AE950"/>
      <c r="AF950" s="447"/>
      <c r="AG950"/>
      <c r="AH950"/>
      <c r="AI950" s="447"/>
      <c r="AJ950"/>
      <c r="AK950"/>
      <c r="AL950" s="447"/>
      <c r="AM950"/>
      <c r="AN950"/>
      <c r="AO950" s="447"/>
      <c r="AP950"/>
      <c r="AQ950"/>
      <c r="AS950"/>
      <c r="AT950" s="447"/>
      <c r="AU950"/>
      <c r="AV950"/>
      <c r="AW950" s="447"/>
      <c r="AX950"/>
      <c r="AY950"/>
      <c r="AZ950" s="447"/>
      <c r="BA950"/>
      <c r="BB950"/>
      <c r="BC950" s="447"/>
      <c r="BD950"/>
      <c r="BE950"/>
    </row>
    <row r="951" spans="4:57">
      <c r="D951" s="447"/>
      <c r="G951" s="447"/>
      <c r="J951" s="447"/>
      <c r="M951" s="447"/>
      <c r="R951" s="447"/>
      <c r="S951"/>
      <c r="T951"/>
      <c r="U951" s="447"/>
      <c r="V951"/>
      <c r="W951"/>
      <c r="X951" s="447"/>
      <c r="Y951"/>
      <c r="Z951"/>
      <c r="AA951" s="447"/>
      <c r="AB951"/>
      <c r="AC951"/>
      <c r="AE951"/>
      <c r="AF951" s="447"/>
      <c r="AG951"/>
      <c r="AH951"/>
      <c r="AI951" s="447"/>
      <c r="AJ951"/>
      <c r="AK951"/>
      <c r="AL951" s="447"/>
      <c r="AM951"/>
      <c r="AN951"/>
      <c r="AO951" s="447"/>
      <c r="AP951"/>
      <c r="AQ951"/>
      <c r="AS951"/>
      <c r="AT951" s="447"/>
      <c r="AU951"/>
      <c r="AV951"/>
      <c r="AW951" s="447"/>
      <c r="AX951"/>
      <c r="AY951"/>
      <c r="AZ951" s="447"/>
      <c r="BA951"/>
      <c r="BB951"/>
      <c r="BC951" s="447"/>
      <c r="BD951"/>
      <c r="BE951"/>
    </row>
    <row r="952" spans="4:57">
      <c r="D952" s="447"/>
      <c r="G952" s="447"/>
      <c r="J952" s="447"/>
      <c r="M952" s="447"/>
      <c r="R952" s="447"/>
      <c r="S952"/>
      <c r="T952"/>
      <c r="U952" s="447"/>
      <c r="V952"/>
      <c r="W952"/>
      <c r="X952" s="447"/>
      <c r="Y952"/>
      <c r="Z952"/>
      <c r="AA952" s="447"/>
      <c r="AB952"/>
      <c r="AC952"/>
      <c r="AE952"/>
      <c r="AF952" s="447"/>
      <c r="AG952"/>
      <c r="AH952"/>
      <c r="AI952" s="447"/>
      <c r="AJ952"/>
      <c r="AK952"/>
      <c r="AL952" s="447"/>
      <c r="AM952"/>
      <c r="AN952"/>
      <c r="AO952" s="447"/>
      <c r="AP952"/>
      <c r="AQ952"/>
      <c r="AS952"/>
      <c r="AT952" s="447"/>
      <c r="AU952"/>
      <c r="AV952"/>
      <c r="AW952" s="447"/>
      <c r="AX952"/>
      <c r="AY952"/>
      <c r="AZ952" s="447"/>
      <c r="BA952"/>
      <c r="BB952"/>
      <c r="BC952" s="447"/>
      <c r="BD952"/>
      <c r="BE952"/>
    </row>
    <row r="953" spans="4:57">
      <c r="D953" s="447"/>
      <c r="G953" s="447"/>
      <c r="J953" s="447"/>
      <c r="M953" s="447"/>
      <c r="R953" s="447"/>
      <c r="S953"/>
      <c r="T953"/>
      <c r="U953" s="447"/>
      <c r="V953"/>
      <c r="W953"/>
      <c r="X953" s="447"/>
      <c r="Y953"/>
      <c r="Z953"/>
      <c r="AA953" s="447"/>
      <c r="AB953"/>
      <c r="AC953"/>
      <c r="AE953"/>
      <c r="AF953" s="447"/>
      <c r="AG953"/>
      <c r="AH953"/>
      <c r="AI953" s="447"/>
      <c r="AJ953"/>
      <c r="AK953"/>
      <c r="AL953" s="447"/>
      <c r="AM953"/>
      <c r="AN953"/>
      <c r="AO953" s="447"/>
      <c r="AP953"/>
      <c r="AQ953"/>
      <c r="AS953"/>
      <c r="AT953" s="447"/>
      <c r="AU953"/>
      <c r="AV953"/>
      <c r="AW953" s="447"/>
      <c r="AX953"/>
      <c r="AY953"/>
      <c r="AZ953" s="447"/>
      <c r="BA953"/>
      <c r="BB953"/>
      <c r="BC953" s="447"/>
      <c r="BD953"/>
      <c r="BE953"/>
    </row>
    <row r="954" spans="4:57">
      <c r="D954" s="447"/>
      <c r="G954" s="447"/>
      <c r="J954" s="447"/>
      <c r="M954" s="447"/>
      <c r="R954" s="447"/>
      <c r="S954"/>
      <c r="T954"/>
      <c r="U954" s="447"/>
      <c r="V954"/>
      <c r="W954"/>
      <c r="X954" s="447"/>
      <c r="Y954"/>
      <c r="Z954"/>
      <c r="AA954" s="447"/>
      <c r="AB954"/>
      <c r="AC954"/>
      <c r="AE954"/>
      <c r="AF954" s="447"/>
      <c r="AG954"/>
      <c r="AH954"/>
      <c r="AI954" s="447"/>
      <c r="AJ954"/>
      <c r="AK954"/>
      <c r="AL954" s="447"/>
      <c r="AM954"/>
      <c r="AN954"/>
      <c r="AO954" s="447"/>
      <c r="AP954"/>
      <c r="AQ954"/>
      <c r="AS954"/>
      <c r="AT954" s="447"/>
      <c r="AU954"/>
      <c r="AV954"/>
      <c r="AW954" s="447"/>
      <c r="AX954"/>
      <c r="AY954"/>
      <c r="AZ954" s="447"/>
      <c r="BA954"/>
      <c r="BB954"/>
      <c r="BC954" s="447"/>
      <c r="BD954"/>
      <c r="BE954"/>
    </row>
    <row r="955" spans="4:57">
      <c r="D955" s="447"/>
      <c r="G955" s="447"/>
      <c r="J955" s="447"/>
      <c r="M955" s="447"/>
      <c r="R955" s="447"/>
      <c r="S955"/>
      <c r="T955"/>
      <c r="U955" s="447"/>
      <c r="V955"/>
      <c r="W955"/>
      <c r="X955" s="447"/>
      <c r="Y955"/>
      <c r="Z955"/>
      <c r="AA955" s="447"/>
      <c r="AB955"/>
      <c r="AC955"/>
      <c r="AE955"/>
      <c r="AF955" s="447"/>
      <c r="AG955"/>
      <c r="AH955"/>
      <c r="AI955" s="447"/>
      <c r="AJ955"/>
      <c r="AK955"/>
      <c r="AL955" s="447"/>
      <c r="AM955"/>
      <c r="AN955"/>
      <c r="AO955" s="447"/>
      <c r="AP955"/>
      <c r="AQ955"/>
      <c r="AS955"/>
      <c r="AT955" s="447"/>
      <c r="AU955"/>
      <c r="AV955"/>
      <c r="AW955" s="447"/>
      <c r="AX955"/>
      <c r="AY955"/>
      <c r="AZ955" s="447"/>
      <c r="BA955"/>
      <c r="BB955"/>
      <c r="BC955" s="447"/>
      <c r="BD955"/>
      <c r="BE955"/>
    </row>
    <row r="956" spans="4:57">
      <c r="D956" s="447"/>
      <c r="G956" s="447"/>
      <c r="J956" s="447"/>
      <c r="M956" s="447"/>
      <c r="R956" s="447"/>
      <c r="S956"/>
      <c r="T956"/>
      <c r="U956" s="447"/>
      <c r="V956"/>
      <c r="W956"/>
      <c r="X956" s="447"/>
      <c r="Y956"/>
      <c r="Z956"/>
      <c r="AA956" s="447"/>
      <c r="AB956"/>
      <c r="AC956"/>
      <c r="AE956"/>
      <c r="AF956" s="447"/>
      <c r="AG956"/>
      <c r="AH956"/>
      <c r="AI956" s="447"/>
      <c r="AJ956"/>
      <c r="AK956"/>
      <c r="AL956" s="447"/>
      <c r="AM956"/>
      <c r="AN956"/>
      <c r="AO956" s="447"/>
      <c r="AP956"/>
      <c r="AQ956"/>
      <c r="AS956"/>
      <c r="AT956" s="447"/>
      <c r="AU956"/>
      <c r="AV956"/>
      <c r="AW956" s="447"/>
      <c r="AX956"/>
      <c r="AY956"/>
      <c r="AZ956" s="447"/>
      <c r="BA956"/>
      <c r="BB956"/>
      <c r="BC956" s="447"/>
      <c r="BD956"/>
      <c r="BE956"/>
    </row>
    <row r="957" spans="4:57">
      <c r="D957" s="447"/>
      <c r="G957" s="447"/>
      <c r="J957" s="447"/>
      <c r="M957" s="447"/>
      <c r="R957" s="447"/>
      <c r="S957"/>
      <c r="T957"/>
      <c r="U957" s="447"/>
      <c r="V957"/>
      <c r="W957"/>
      <c r="X957" s="447"/>
      <c r="Y957"/>
      <c r="Z957"/>
      <c r="AA957" s="447"/>
      <c r="AB957"/>
      <c r="AC957"/>
      <c r="AE957"/>
      <c r="AF957" s="447"/>
      <c r="AG957"/>
      <c r="AH957"/>
      <c r="AI957" s="447"/>
      <c r="AJ957"/>
      <c r="AK957"/>
      <c r="AL957" s="447"/>
      <c r="AM957"/>
      <c r="AN957"/>
      <c r="AO957" s="447"/>
      <c r="AP957"/>
      <c r="AQ957"/>
      <c r="AS957"/>
      <c r="AT957" s="447"/>
      <c r="AU957"/>
      <c r="AV957"/>
      <c r="AW957" s="447"/>
      <c r="AX957"/>
      <c r="AY957"/>
      <c r="AZ957" s="447"/>
      <c r="BA957"/>
      <c r="BB957"/>
      <c r="BC957" s="447"/>
      <c r="BD957"/>
      <c r="BE957"/>
    </row>
    <row r="958" spans="4:57">
      <c r="D958" s="447"/>
      <c r="G958" s="447"/>
      <c r="J958" s="447"/>
      <c r="M958" s="447"/>
      <c r="R958" s="447"/>
      <c r="S958"/>
      <c r="T958"/>
      <c r="U958" s="447"/>
      <c r="V958"/>
      <c r="W958"/>
      <c r="X958" s="447"/>
      <c r="Y958"/>
      <c r="Z958"/>
      <c r="AA958" s="447"/>
      <c r="AB958"/>
      <c r="AC958"/>
      <c r="AE958"/>
      <c r="AF958" s="447"/>
      <c r="AG958"/>
      <c r="AH958"/>
      <c r="AI958" s="447"/>
      <c r="AJ958"/>
      <c r="AK958"/>
      <c r="AL958" s="447"/>
      <c r="AM958"/>
      <c r="AN958"/>
      <c r="AO958" s="447"/>
      <c r="AP958"/>
      <c r="AQ958"/>
      <c r="AS958"/>
      <c r="AT958" s="447"/>
      <c r="AU958"/>
      <c r="AV958"/>
      <c r="AW958" s="447"/>
      <c r="AX958"/>
      <c r="AY958"/>
      <c r="AZ958" s="447"/>
      <c r="BA958"/>
      <c r="BB958"/>
      <c r="BC958" s="447"/>
      <c r="BD958"/>
      <c r="BE958"/>
    </row>
    <row r="959" spans="4:57">
      <c r="D959" s="447"/>
      <c r="G959" s="447"/>
      <c r="J959" s="447"/>
      <c r="M959" s="447"/>
      <c r="R959" s="447"/>
      <c r="S959"/>
      <c r="T959"/>
      <c r="U959" s="447"/>
      <c r="V959"/>
      <c r="W959"/>
      <c r="X959" s="447"/>
      <c r="Y959"/>
      <c r="Z959"/>
      <c r="AA959" s="447"/>
      <c r="AB959"/>
      <c r="AC959"/>
      <c r="AE959"/>
      <c r="AF959" s="447"/>
      <c r="AG959"/>
      <c r="AH959"/>
      <c r="AI959" s="447"/>
      <c r="AJ959"/>
      <c r="AK959"/>
      <c r="AL959" s="447"/>
      <c r="AM959"/>
      <c r="AN959"/>
      <c r="AO959" s="447"/>
      <c r="AP959"/>
      <c r="AQ959"/>
      <c r="AS959"/>
      <c r="AT959" s="447"/>
      <c r="AU959"/>
      <c r="AV959"/>
      <c r="AW959" s="447"/>
      <c r="AX959"/>
      <c r="AY959"/>
      <c r="AZ959" s="447"/>
      <c r="BA959"/>
      <c r="BB959"/>
      <c r="BC959" s="447"/>
      <c r="BD959"/>
      <c r="BE959"/>
    </row>
    <row r="960" spans="4:57">
      <c r="D960" s="447"/>
      <c r="G960" s="447"/>
      <c r="J960" s="447"/>
      <c r="M960" s="447"/>
      <c r="R960" s="447"/>
      <c r="S960"/>
      <c r="T960"/>
      <c r="U960" s="447"/>
      <c r="V960"/>
      <c r="W960"/>
      <c r="X960" s="447"/>
      <c r="Y960"/>
      <c r="Z960"/>
      <c r="AA960" s="447"/>
      <c r="AB960"/>
      <c r="AC960"/>
      <c r="AE960"/>
      <c r="AF960" s="447"/>
      <c r="AG960"/>
      <c r="AH960"/>
      <c r="AI960" s="447"/>
      <c r="AJ960"/>
      <c r="AK960"/>
      <c r="AL960" s="447"/>
      <c r="AM960"/>
      <c r="AN960"/>
      <c r="AO960" s="447"/>
      <c r="AP960"/>
      <c r="AQ960"/>
      <c r="AS960"/>
      <c r="AT960" s="447"/>
      <c r="AU960"/>
      <c r="AV960"/>
      <c r="AW960" s="447"/>
      <c r="AX960"/>
      <c r="AY960"/>
      <c r="AZ960" s="447"/>
      <c r="BA960"/>
      <c r="BB960"/>
      <c r="BC960" s="447"/>
      <c r="BD960"/>
      <c r="BE960"/>
    </row>
    <row r="961" spans="4:57">
      <c r="D961" s="447"/>
      <c r="G961" s="447"/>
      <c r="J961" s="447"/>
      <c r="M961" s="447"/>
      <c r="R961" s="447"/>
      <c r="S961"/>
      <c r="T961"/>
      <c r="U961" s="447"/>
      <c r="V961"/>
      <c r="W961"/>
      <c r="X961" s="447"/>
      <c r="Y961"/>
      <c r="Z961"/>
      <c r="AA961" s="447"/>
      <c r="AB961"/>
      <c r="AC961"/>
      <c r="AE961"/>
      <c r="AF961" s="447"/>
      <c r="AG961"/>
      <c r="AH961"/>
      <c r="AI961" s="447"/>
      <c r="AJ961"/>
      <c r="AK961"/>
      <c r="AL961" s="447"/>
      <c r="AM961"/>
      <c r="AN961"/>
      <c r="AO961" s="447"/>
      <c r="AP961"/>
      <c r="AQ961"/>
      <c r="AS961"/>
      <c r="AT961" s="447"/>
      <c r="AU961"/>
      <c r="AV961"/>
      <c r="AW961" s="447"/>
      <c r="AX961"/>
      <c r="AY961"/>
      <c r="AZ961" s="447"/>
      <c r="BA961"/>
      <c r="BB961"/>
      <c r="BC961" s="447"/>
      <c r="BD961"/>
      <c r="BE961"/>
    </row>
    <row r="962" spans="4:57">
      <c r="D962" s="447"/>
      <c r="G962" s="447"/>
      <c r="J962" s="447"/>
      <c r="M962" s="447"/>
      <c r="R962" s="447"/>
      <c r="S962"/>
      <c r="T962"/>
      <c r="U962" s="447"/>
      <c r="V962"/>
      <c r="W962"/>
      <c r="X962" s="447"/>
      <c r="Y962"/>
      <c r="Z962"/>
      <c r="AA962" s="447"/>
      <c r="AB962"/>
      <c r="AC962"/>
      <c r="AE962"/>
      <c r="AF962" s="447"/>
      <c r="AG962"/>
      <c r="AH962"/>
      <c r="AI962" s="447"/>
      <c r="AJ962"/>
      <c r="AK962"/>
      <c r="AL962" s="447"/>
      <c r="AM962"/>
      <c r="AN962"/>
      <c r="AO962" s="447"/>
      <c r="AP962"/>
      <c r="AQ962"/>
      <c r="AS962"/>
      <c r="AT962" s="447"/>
      <c r="AU962"/>
      <c r="AV962"/>
      <c r="AW962" s="447"/>
      <c r="AX962"/>
      <c r="AY962"/>
      <c r="AZ962" s="447"/>
      <c r="BA962"/>
      <c r="BB962"/>
      <c r="BC962" s="447"/>
      <c r="BD962"/>
      <c r="BE962"/>
    </row>
    <row r="963" spans="4:57">
      <c r="D963" s="447"/>
      <c r="G963" s="447"/>
      <c r="J963" s="447"/>
      <c r="M963" s="447"/>
      <c r="R963" s="447"/>
      <c r="S963"/>
      <c r="T963"/>
      <c r="U963" s="447"/>
      <c r="V963"/>
      <c r="W963"/>
      <c r="X963" s="447"/>
      <c r="Y963"/>
      <c r="Z963"/>
      <c r="AA963" s="447"/>
      <c r="AB963"/>
      <c r="AC963"/>
      <c r="AE963"/>
      <c r="AF963" s="447"/>
      <c r="AG963"/>
      <c r="AH963"/>
      <c r="AI963" s="447"/>
      <c r="AJ963"/>
      <c r="AK963"/>
      <c r="AL963" s="447"/>
      <c r="AM963"/>
      <c r="AN963"/>
      <c r="AO963" s="447"/>
      <c r="AP963"/>
      <c r="AQ963"/>
      <c r="AS963"/>
      <c r="AT963" s="447"/>
      <c r="AU963"/>
      <c r="AV963"/>
      <c r="AW963" s="447"/>
      <c r="AX963"/>
      <c r="AY963"/>
      <c r="AZ963" s="447"/>
      <c r="BA963"/>
      <c r="BB963"/>
      <c r="BC963" s="447"/>
      <c r="BD963"/>
      <c r="BE963"/>
    </row>
    <row r="964" spans="4:57">
      <c r="D964" s="447"/>
      <c r="G964" s="447"/>
      <c r="J964" s="447"/>
      <c r="M964" s="447"/>
      <c r="R964" s="447"/>
      <c r="S964"/>
      <c r="T964"/>
      <c r="U964" s="447"/>
      <c r="V964"/>
      <c r="W964"/>
      <c r="X964" s="447"/>
      <c r="Y964"/>
      <c r="Z964"/>
      <c r="AA964" s="447"/>
      <c r="AB964"/>
      <c r="AC964"/>
      <c r="AE964"/>
      <c r="AF964" s="447"/>
      <c r="AG964"/>
      <c r="AH964"/>
      <c r="AI964" s="447"/>
      <c r="AJ964"/>
      <c r="AK964"/>
      <c r="AL964" s="447"/>
      <c r="AM964"/>
      <c r="AN964"/>
      <c r="AO964" s="447"/>
      <c r="AP964"/>
      <c r="AQ964"/>
      <c r="AS964"/>
      <c r="AT964" s="447"/>
      <c r="AU964"/>
      <c r="AV964"/>
      <c r="AW964" s="447"/>
      <c r="AX964"/>
      <c r="AY964"/>
      <c r="AZ964" s="447"/>
      <c r="BA964"/>
      <c r="BB964"/>
      <c r="BC964" s="447"/>
      <c r="BD964"/>
      <c r="BE964"/>
    </row>
    <row r="965" spans="4:57">
      <c r="D965" s="447"/>
      <c r="G965" s="447"/>
      <c r="J965" s="447"/>
      <c r="M965" s="447"/>
      <c r="R965" s="447"/>
      <c r="S965"/>
      <c r="T965"/>
      <c r="U965" s="447"/>
      <c r="V965"/>
      <c r="W965"/>
      <c r="X965" s="447"/>
      <c r="Y965"/>
      <c r="Z965"/>
      <c r="AA965" s="447"/>
      <c r="AB965"/>
      <c r="AC965"/>
      <c r="AE965"/>
      <c r="AF965" s="447"/>
      <c r="AG965"/>
      <c r="AH965"/>
      <c r="AI965" s="447"/>
      <c r="AJ965"/>
      <c r="AK965"/>
      <c r="AL965" s="447"/>
      <c r="AM965"/>
      <c r="AN965"/>
      <c r="AO965" s="447"/>
      <c r="AP965"/>
      <c r="AQ965"/>
      <c r="AS965"/>
      <c r="AT965" s="447"/>
      <c r="AU965"/>
      <c r="AV965"/>
      <c r="AW965" s="447"/>
      <c r="AX965"/>
      <c r="AY965"/>
      <c r="AZ965" s="447"/>
      <c r="BA965"/>
      <c r="BB965"/>
      <c r="BC965" s="447"/>
      <c r="BD965"/>
      <c r="BE965"/>
    </row>
    <row r="966" spans="4:57">
      <c r="D966" s="447"/>
      <c r="G966" s="447"/>
      <c r="J966" s="447"/>
      <c r="M966" s="447"/>
      <c r="R966" s="447"/>
      <c r="S966"/>
      <c r="T966"/>
      <c r="U966" s="447"/>
      <c r="V966"/>
      <c r="W966"/>
      <c r="X966" s="447"/>
      <c r="Y966"/>
      <c r="Z966"/>
      <c r="AA966" s="447"/>
      <c r="AB966"/>
      <c r="AC966"/>
      <c r="AE966"/>
      <c r="AF966" s="447"/>
      <c r="AG966"/>
      <c r="AH966"/>
      <c r="AI966" s="447"/>
      <c r="AJ966"/>
      <c r="AK966"/>
      <c r="AL966" s="447"/>
      <c r="AM966"/>
      <c r="AN966"/>
      <c r="AO966" s="447"/>
      <c r="AP966"/>
      <c r="AQ966"/>
      <c r="AS966"/>
      <c r="AT966" s="447"/>
      <c r="AU966"/>
      <c r="AV966"/>
      <c r="AW966" s="447"/>
      <c r="AX966"/>
      <c r="AY966"/>
      <c r="AZ966" s="447"/>
      <c r="BA966"/>
      <c r="BB966"/>
      <c r="BC966" s="447"/>
      <c r="BD966"/>
      <c r="BE966"/>
    </row>
    <row r="967" spans="4:57">
      <c r="D967" s="447"/>
      <c r="G967" s="447"/>
      <c r="J967" s="447"/>
      <c r="M967" s="447"/>
      <c r="R967" s="447"/>
      <c r="S967"/>
      <c r="T967"/>
      <c r="U967" s="447"/>
      <c r="V967"/>
      <c r="W967"/>
      <c r="X967" s="447"/>
      <c r="Y967"/>
      <c r="Z967"/>
      <c r="AA967" s="447"/>
      <c r="AB967"/>
      <c r="AC967"/>
      <c r="AE967"/>
      <c r="AF967" s="447"/>
      <c r="AG967"/>
      <c r="AH967"/>
      <c r="AI967" s="447"/>
      <c r="AJ967"/>
      <c r="AK967"/>
      <c r="AL967" s="447"/>
      <c r="AM967"/>
      <c r="AN967"/>
      <c r="AO967" s="447"/>
      <c r="AP967"/>
      <c r="AQ967"/>
      <c r="AS967"/>
      <c r="AT967" s="447"/>
      <c r="AU967"/>
      <c r="AV967"/>
      <c r="AW967" s="447"/>
      <c r="AX967"/>
      <c r="AY967"/>
      <c r="AZ967" s="447"/>
      <c r="BA967"/>
      <c r="BB967"/>
      <c r="BC967" s="447"/>
      <c r="BD967"/>
      <c r="BE967"/>
    </row>
    <row r="968" spans="4:57">
      <c r="D968" s="447"/>
      <c r="G968" s="447"/>
      <c r="J968" s="447"/>
      <c r="M968" s="447"/>
      <c r="R968" s="447"/>
      <c r="S968"/>
      <c r="T968"/>
      <c r="U968" s="447"/>
      <c r="V968"/>
      <c r="W968"/>
      <c r="X968" s="447"/>
      <c r="Y968"/>
      <c r="Z968"/>
      <c r="AA968" s="447"/>
      <c r="AB968"/>
      <c r="AC968"/>
      <c r="AE968"/>
      <c r="AF968" s="447"/>
      <c r="AG968"/>
      <c r="AH968"/>
      <c r="AI968" s="447"/>
      <c r="AJ968"/>
      <c r="AK968"/>
      <c r="AL968" s="447"/>
      <c r="AM968"/>
      <c r="AN968"/>
      <c r="AO968" s="447"/>
      <c r="AP968"/>
      <c r="AQ968"/>
      <c r="AS968"/>
      <c r="AT968" s="447"/>
      <c r="AU968"/>
      <c r="AV968"/>
      <c r="AW968" s="447"/>
      <c r="AX968"/>
      <c r="AY968"/>
      <c r="AZ968" s="447"/>
      <c r="BA968"/>
      <c r="BB968"/>
      <c r="BC968" s="447"/>
      <c r="BD968"/>
      <c r="BE968"/>
    </row>
    <row r="969" spans="4:57">
      <c r="D969" s="447"/>
      <c r="G969" s="447"/>
      <c r="J969" s="447"/>
      <c r="M969" s="447"/>
      <c r="R969" s="447"/>
      <c r="S969"/>
      <c r="T969"/>
      <c r="U969" s="447"/>
      <c r="V969"/>
      <c r="W969"/>
      <c r="X969" s="447"/>
      <c r="Y969"/>
      <c r="Z969"/>
      <c r="AA969" s="447"/>
      <c r="AB969"/>
      <c r="AC969"/>
      <c r="AE969"/>
      <c r="AF969" s="447"/>
      <c r="AG969"/>
      <c r="AH969"/>
      <c r="AI969" s="447"/>
      <c r="AJ969"/>
      <c r="AK969"/>
      <c r="AL969" s="447"/>
      <c r="AM969"/>
      <c r="AN969"/>
      <c r="AO969" s="447"/>
      <c r="AP969"/>
      <c r="AQ969"/>
      <c r="AS969"/>
      <c r="AT969" s="447"/>
      <c r="AU969"/>
      <c r="AV969"/>
      <c r="AW969" s="447"/>
      <c r="AX969"/>
      <c r="AY969"/>
      <c r="AZ969" s="447"/>
      <c r="BA969"/>
      <c r="BB969"/>
      <c r="BC969" s="447"/>
      <c r="BD969"/>
      <c r="BE969"/>
    </row>
    <row r="970" spans="4:57">
      <c r="D970" s="447"/>
      <c r="G970" s="447"/>
      <c r="J970" s="447"/>
      <c r="M970" s="447"/>
      <c r="R970" s="447"/>
      <c r="S970"/>
      <c r="T970"/>
      <c r="U970" s="447"/>
      <c r="V970"/>
      <c r="W970"/>
      <c r="X970" s="447"/>
      <c r="Y970"/>
      <c r="Z970"/>
      <c r="AA970" s="447"/>
      <c r="AB970"/>
      <c r="AC970"/>
      <c r="AE970"/>
      <c r="AF970" s="447"/>
      <c r="AG970"/>
      <c r="AH970"/>
      <c r="AI970" s="447"/>
      <c r="AJ970"/>
      <c r="AK970"/>
      <c r="AL970" s="447"/>
      <c r="AM970"/>
      <c r="AN970"/>
      <c r="AO970" s="447"/>
      <c r="AP970"/>
      <c r="AQ970"/>
      <c r="AS970"/>
      <c r="AT970" s="447"/>
      <c r="AU970"/>
      <c r="AV970"/>
      <c r="AW970" s="447"/>
      <c r="AX970"/>
      <c r="AY970"/>
      <c r="AZ970" s="447"/>
      <c r="BA970"/>
      <c r="BB970"/>
      <c r="BC970" s="447"/>
      <c r="BD970"/>
      <c r="BE970"/>
    </row>
    <row r="971" spans="4:57">
      <c r="D971" s="447"/>
      <c r="G971" s="447"/>
      <c r="J971" s="447"/>
      <c r="M971" s="447"/>
      <c r="R971" s="447"/>
      <c r="S971"/>
      <c r="T971"/>
      <c r="U971" s="447"/>
      <c r="V971"/>
      <c r="W971"/>
      <c r="X971" s="447"/>
      <c r="Y971"/>
      <c r="Z971"/>
      <c r="AA971" s="447"/>
      <c r="AB971"/>
      <c r="AC971"/>
      <c r="AE971"/>
      <c r="AF971" s="447"/>
      <c r="AG971"/>
      <c r="AH971"/>
      <c r="AI971" s="447"/>
      <c r="AJ971"/>
      <c r="AK971"/>
      <c r="AL971" s="447"/>
      <c r="AM971"/>
      <c r="AN971"/>
      <c r="AO971" s="447"/>
      <c r="AP971"/>
      <c r="AQ971"/>
      <c r="AS971"/>
      <c r="AT971" s="447"/>
      <c r="AU971"/>
      <c r="AV971"/>
      <c r="AW971" s="447"/>
      <c r="AX971"/>
      <c r="AY971"/>
      <c r="AZ971" s="447"/>
      <c r="BA971"/>
      <c r="BB971"/>
      <c r="BC971" s="447"/>
      <c r="BD971"/>
      <c r="BE971"/>
    </row>
    <row r="972" spans="4:57">
      <c r="D972" s="447"/>
      <c r="G972" s="447"/>
      <c r="J972" s="447"/>
      <c r="M972" s="447"/>
      <c r="R972" s="447"/>
      <c r="S972"/>
      <c r="T972"/>
      <c r="U972" s="447"/>
      <c r="V972"/>
      <c r="W972"/>
      <c r="X972" s="447"/>
      <c r="Y972"/>
      <c r="Z972"/>
      <c r="AA972" s="447"/>
      <c r="AB972"/>
      <c r="AC972"/>
      <c r="AE972"/>
      <c r="AF972" s="447"/>
      <c r="AG972"/>
      <c r="AH972"/>
      <c r="AI972" s="447"/>
      <c r="AJ972"/>
      <c r="AK972"/>
      <c r="AL972" s="447"/>
      <c r="AM972"/>
      <c r="AN972"/>
      <c r="AO972" s="447"/>
      <c r="AP972"/>
      <c r="AQ972"/>
      <c r="AS972"/>
      <c r="AT972" s="447"/>
      <c r="AU972"/>
      <c r="AV972"/>
      <c r="AW972" s="447"/>
      <c r="AX972"/>
      <c r="AY972"/>
      <c r="AZ972" s="447"/>
      <c r="BA972"/>
      <c r="BB972"/>
      <c r="BC972" s="447"/>
      <c r="BD972"/>
      <c r="BE972"/>
    </row>
    <row r="973" spans="4:57">
      <c r="D973" s="447"/>
      <c r="G973" s="447"/>
      <c r="J973" s="447"/>
      <c r="M973" s="447"/>
      <c r="R973" s="447"/>
      <c r="S973"/>
      <c r="T973"/>
      <c r="U973" s="447"/>
      <c r="V973"/>
      <c r="W973"/>
      <c r="X973" s="447"/>
      <c r="Y973"/>
      <c r="Z973"/>
      <c r="AA973" s="447"/>
      <c r="AB973"/>
      <c r="AC973"/>
      <c r="AE973"/>
      <c r="AF973" s="447"/>
      <c r="AG973"/>
      <c r="AH973"/>
      <c r="AI973" s="447"/>
      <c r="AJ973"/>
      <c r="AK973"/>
      <c r="AL973" s="447"/>
      <c r="AM973"/>
      <c r="AN973"/>
      <c r="AO973" s="447"/>
      <c r="AP973"/>
      <c r="AQ973"/>
      <c r="AS973"/>
      <c r="AT973" s="447"/>
      <c r="AU973"/>
      <c r="AV973"/>
      <c r="AW973" s="447"/>
      <c r="AX973"/>
      <c r="AY973"/>
      <c r="AZ973" s="447"/>
      <c r="BA973"/>
      <c r="BB973"/>
      <c r="BC973" s="447"/>
      <c r="BD973"/>
      <c r="BE973"/>
    </row>
    <row r="974" spans="4:57">
      <c r="D974" s="447"/>
      <c r="G974" s="447"/>
      <c r="J974" s="447"/>
      <c r="M974" s="447"/>
      <c r="R974" s="447"/>
      <c r="S974"/>
      <c r="T974"/>
      <c r="U974" s="447"/>
      <c r="V974"/>
      <c r="W974"/>
      <c r="X974" s="447"/>
      <c r="Y974"/>
      <c r="Z974"/>
      <c r="AA974" s="447"/>
      <c r="AB974"/>
      <c r="AC974"/>
      <c r="AE974"/>
      <c r="AF974" s="447"/>
      <c r="AG974"/>
      <c r="AH974"/>
      <c r="AI974" s="447"/>
      <c r="AJ974"/>
      <c r="AK974"/>
      <c r="AL974" s="447"/>
      <c r="AM974"/>
      <c r="AN974"/>
      <c r="AO974" s="447"/>
      <c r="AP974"/>
      <c r="AQ974"/>
      <c r="AS974"/>
      <c r="AT974" s="447"/>
      <c r="AU974"/>
      <c r="AV974"/>
      <c r="AW974" s="447"/>
      <c r="AX974"/>
      <c r="AY974"/>
      <c r="AZ974" s="447"/>
      <c r="BA974"/>
      <c r="BB974"/>
      <c r="BC974" s="447"/>
      <c r="BD974"/>
      <c r="BE974"/>
    </row>
    <row r="975" spans="4:57">
      <c r="D975" s="447"/>
      <c r="G975" s="447"/>
      <c r="J975" s="447"/>
      <c r="M975" s="447"/>
      <c r="R975" s="447"/>
      <c r="S975"/>
      <c r="T975"/>
      <c r="U975" s="447"/>
      <c r="V975"/>
      <c r="W975"/>
      <c r="X975" s="447"/>
      <c r="Y975"/>
      <c r="Z975"/>
      <c r="AA975" s="447"/>
      <c r="AB975"/>
      <c r="AC975"/>
      <c r="AE975"/>
      <c r="AF975" s="447"/>
      <c r="AG975"/>
      <c r="AH975"/>
      <c r="AI975" s="447"/>
      <c r="AJ975"/>
      <c r="AK975"/>
      <c r="AL975" s="447"/>
      <c r="AM975"/>
      <c r="AN975"/>
      <c r="AO975" s="447"/>
      <c r="AP975"/>
      <c r="AQ975"/>
      <c r="AS975"/>
      <c r="AT975" s="447"/>
      <c r="AU975"/>
      <c r="AV975"/>
      <c r="AW975" s="447"/>
      <c r="AX975"/>
      <c r="AY975"/>
      <c r="AZ975" s="447"/>
      <c r="BA975"/>
      <c r="BB975"/>
      <c r="BC975" s="447"/>
      <c r="BD975"/>
      <c r="BE975"/>
    </row>
    <row r="976" spans="4:57">
      <c r="D976" s="447"/>
      <c r="G976" s="447"/>
      <c r="J976" s="447"/>
      <c r="M976" s="447"/>
      <c r="R976" s="447"/>
      <c r="S976"/>
      <c r="T976"/>
      <c r="U976" s="447"/>
      <c r="V976"/>
      <c r="W976"/>
      <c r="X976" s="447"/>
      <c r="Y976"/>
      <c r="Z976"/>
      <c r="AA976" s="447"/>
      <c r="AB976"/>
      <c r="AC976"/>
      <c r="AE976"/>
      <c r="AF976" s="447"/>
      <c r="AG976"/>
      <c r="AH976"/>
      <c r="AI976" s="447"/>
      <c r="AJ976"/>
      <c r="AK976"/>
      <c r="AL976" s="447"/>
      <c r="AM976"/>
      <c r="AN976"/>
      <c r="AO976" s="447"/>
      <c r="AP976"/>
      <c r="AQ976"/>
      <c r="AS976"/>
      <c r="AT976" s="447"/>
      <c r="AU976"/>
      <c r="AV976"/>
      <c r="AW976" s="447"/>
      <c r="AX976"/>
      <c r="AY976"/>
      <c r="AZ976" s="447"/>
      <c r="BA976"/>
      <c r="BB976"/>
      <c r="BC976" s="447"/>
      <c r="BD976"/>
      <c r="BE976"/>
    </row>
    <row r="977" spans="4:57">
      <c r="D977" s="447"/>
      <c r="G977" s="447"/>
      <c r="J977" s="447"/>
      <c r="M977" s="447"/>
      <c r="R977" s="447"/>
      <c r="S977"/>
      <c r="T977"/>
      <c r="U977" s="447"/>
      <c r="V977"/>
      <c r="W977"/>
      <c r="X977" s="447"/>
      <c r="Y977"/>
      <c r="Z977"/>
      <c r="AA977" s="447"/>
      <c r="AB977"/>
      <c r="AC977"/>
      <c r="AE977"/>
      <c r="AF977" s="447"/>
      <c r="AG977"/>
      <c r="AH977"/>
      <c r="AI977" s="447"/>
      <c r="AJ977"/>
      <c r="AK977"/>
      <c r="AL977" s="447"/>
      <c r="AM977"/>
      <c r="AN977"/>
      <c r="AO977" s="447"/>
      <c r="AP977"/>
      <c r="AQ977"/>
      <c r="AS977"/>
      <c r="AT977" s="447"/>
      <c r="AU977"/>
      <c r="AV977"/>
      <c r="AW977" s="447"/>
      <c r="AX977"/>
      <c r="AY977"/>
      <c r="AZ977" s="447"/>
      <c r="BA977"/>
      <c r="BB977"/>
      <c r="BC977" s="447"/>
      <c r="BD977"/>
      <c r="BE977"/>
    </row>
    <row r="978" spans="4:57">
      <c r="D978" s="447"/>
      <c r="G978" s="447"/>
      <c r="J978" s="447"/>
      <c r="M978" s="447"/>
      <c r="R978" s="447"/>
      <c r="S978"/>
      <c r="T978"/>
      <c r="U978" s="447"/>
      <c r="V978"/>
      <c r="W978"/>
      <c r="X978" s="447"/>
      <c r="Y978"/>
      <c r="Z978"/>
      <c r="AA978" s="447"/>
      <c r="AB978"/>
      <c r="AC978"/>
      <c r="AE978"/>
      <c r="AF978" s="447"/>
      <c r="AG978"/>
      <c r="AH978"/>
      <c r="AI978" s="447"/>
      <c r="AJ978"/>
      <c r="AK978"/>
      <c r="AL978" s="447"/>
      <c r="AM978"/>
      <c r="AN978"/>
      <c r="AO978" s="447"/>
      <c r="AP978"/>
      <c r="AQ978"/>
      <c r="AS978"/>
      <c r="AT978" s="447"/>
      <c r="AU978"/>
      <c r="AV978"/>
      <c r="AW978" s="447"/>
      <c r="AX978"/>
      <c r="AY978"/>
      <c r="AZ978" s="447"/>
      <c r="BA978"/>
      <c r="BB978"/>
      <c r="BC978" s="447"/>
      <c r="BD978"/>
      <c r="BE978"/>
    </row>
    <row r="979" spans="4:57">
      <c r="D979" s="447"/>
      <c r="G979" s="447"/>
      <c r="J979" s="447"/>
      <c r="M979" s="447"/>
      <c r="R979" s="447"/>
      <c r="S979"/>
      <c r="T979"/>
      <c r="U979" s="447"/>
      <c r="V979"/>
      <c r="W979"/>
      <c r="X979" s="447"/>
      <c r="Y979"/>
      <c r="Z979"/>
      <c r="AA979" s="447"/>
      <c r="AB979"/>
      <c r="AC979"/>
      <c r="AE979"/>
      <c r="AF979" s="447"/>
      <c r="AG979"/>
      <c r="AH979"/>
      <c r="AI979" s="447"/>
      <c r="AJ979"/>
      <c r="AK979"/>
      <c r="AL979" s="447"/>
      <c r="AM979"/>
      <c r="AN979"/>
      <c r="AO979" s="447"/>
      <c r="AP979"/>
      <c r="AQ979"/>
      <c r="AS979"/>
      <c r="AT979" s="447"/>
      <c r="AU979"/>
      <c r="AV979"/>
      <c r="AW979" s="447"/>
      <c r="AX979"/>
      <c r="AY979"/>
      <c r="AZ979" s="447"/>
      <c r="BA979"/>
      <c r="BB979"/>
      <c r="BC979" s="447"/>
      <c r="BD979"/>
      <c r="BE979"/>
    </row>
    <row r="980" spans="4:57">
      <c r="D980" s="447"/>
      <c r="G980" s="447"/>
      <c r="J980" s="447"/>
      <c r="M980" s="447"/>
      <c r="R980" s="447"/>
      <c r="S980"/>
      <c r="T980"/>
      <c r="U980" s="447"/>
      <c r="V980"/>
      <c r="W980"/>
      <c r="X980" s="447"/>
      <c r="Y980"/>
      <c r="Z980"/>
      <c r="AA980" s="447"/>
      <c r="AB980"/>
      <c r="AC980"/>
      <c r="AE980"/>
      <c r="AF980" s="447"/>
      <c r="AG980"/>
      <c r="AH980"/>
      <c r="AI980" s="447"/>
      <c r="AJ980"/>
      <c r="AK980"/>
      <c r="AL980" s="447"/>
      <c r="AM980"/>
      <c r="AN980"/>
      <c r="AO980" s="447"/>
      <c r="AP980"/>
      <c r="AQ980"/>
      <c r="AS980"/>
      <c r="AT980" s="447"/>
      <c r="AU980"/>
      <c r="AV980"/>
      <c r="AW980" s="447"/>
      <c r="AX980"/>
      <c r="AY980"/>
      <c r="AZ980" s="447"/>
      <c r="BA980"/>
      <c r="BB980"/>
      <c r="BC980" s="447"/>
      <c r="BD980"/>
      <c r="BE980"/>
    </row>
    <row r="981" spans="4:57">
      <c r="D981" s="447"/>
      <c r="G981" s="447"/>
      <c r="J981" s="447"/>
      <c r="M981" s="447"/>
      <c r="R981" s="447"/>
      <c r="S981"/>
      <c r="T981"/>
      <c r="U981" s="447"/>
      <c r="V981"/>
      <c r="W981"/>
      <c r="X981" s="447"/>
      <c r="Y981"/>
      <c r="Z981"/>
      <c r="AA981" s="447"/>
      <c r="AB981"/>
      <c r="AC981"/>
      <c r="AE981"/>
      <c r="AF981" s="447"/>
      <c r="AG981"/>
      <c r="AH981"/>
      <c r="AI981" s="447"/>
      <c r="AJ981"/>
      <c r="AK981"/>
      <c r="AL981" s="447"/>
      <c r="AM981"/>
      <c r="AN981"/>
      <c r="AO981" s="447"/>
      <c r="AP981"/>
      <c r="AQ981"/>
      <c r="AS981"/>
      <c r="AT981" s="447"/>
      <c r="AU981"/>
      <c r="AV981"/>
      <c r="AW981" s="447"/>
      <c r="AX981"/>
      <c r="AY981"/>
      <c r="AZ981" s="447"/>
      <c r="BA981"/>
      <c r="BB981"/>
      <c r="BC981" s="447"/>
      <c r="BD981"/>
      <c r="BE981"/>
    </row>
    <row r="982" spans="4:57">
      <c r="D982" s="447"/>
      <c r="G982" s="447"/>
      <c r="J982" s="447"/>
      <c r="M982" s="447"/>
      <c r="R982" s="447"/>
      <c r="S982"/>
      <c r="T982"/>
      <c r="U982" s="447"/>
      <c r="V982"/>
      <c r="W982"/>
      <c r="X982" s="447"/>
      <c r="Y982"/>
      <c r="Z982"/>
      <c r="AA982" s="447"/>
      <c r="AB982"/>
      <c r="AC982"/>
      <c r="AE982"/>
      <c r="AF982" s="447"/>
      <c r="AG982"/>
      <c r="AH982"/>
      <c r="AI982" s="447"/>
      <c r="AJ982"/>
      <c r="AK982"/>
      <c r="AL982" s="447"/>
      <c r="AM982"/>
      <c r="AN982"/>
      <c r="AO982" s="447"/>
      <c r="AP982"/>
      <c r="AQ982"/>
      <c r="AS982"/>
      <c r="AT982" s="447"/>
      <c r="AU982"/>
      <c r="AV982"/>
      <c r="AW982" s="447"/>
      <c r="AX982"/>
      <c r="AY982"/>
      <c r="AZ982" s="447"/>
      <c r="BA982"/>
      <c r="BB982"/>
      <c r="BC982" s="447"/>
      <c r="BD982"/>
      <c r="BE982"/>
    </row>
    <row r="983" spans="4:57">
      <c r="D983" s="447"/>
      <c r="G983" s="447"/>
      <c r="J983" s="447"/>
      <c r="M983" s="447"/>
      <c r="R983" s="447"/>
      <c r="S983"/>
      <c r="T983"/>
      <c r="U983" s="447"/>
      <c r="V983"/>
      <c r="W983"/>
      <c r="X983" s="447"/>
      <c r="Y983"/>
      <c r="Z983"/>
      <c r="AA983" s="447"/>
      <c r="AB983"/>
      <c r="AC983"/>
      <c r="AE983"/>
      <c r="AF983" s="447"/>
      <c r="AG983"/>
      <c r="AH983"/>
      <c r="AI983" s="447"/>
      <c r="AJ983"/>
      <c r="AK983"/>
      <c r="AL983" s="447"/>
      <c r="AM983"/>
      <c r="AN983"/>
      <c r="AO983" s="447"/>
      <c r="AP983"/>
      <c r="AQ983"/>
      <c r="AS983"/>
      <c r="AT983" s="447"/>
      <c r="AU983"/>
      <c r="AV983"/>
      <c r="AW983" s="447"/>
      <c r="AX983"/>
      <c r="AY983"/>
      <c r="AZ983" s="447"/>
      <c r="BA983"/>
      <c r="BB983"/>
      <c r="BC983" s="447"/>
      <c r="BD983"/>
      <c r="BE983"/>
    </row>
    <row r="984" spans="4:57">
      <c r="D984" s="447"/>
      <c r="G984" s="447"/>
      <c r="J984" s="447"/>
      <c r="M984" s="447"/>
      <c r="R984" s="447"/>
      <c r="S984"/>
      <c r="T984"/>
      <c r="U984" s="447"/>
      <c r="V984"/>
      <c r="W984"/>
      <c r="X984" s="447"/>
      <c r="Y984"/>
      <c r="Z984"/>
      <c r="AA984" s="447"/>
      <c r="AB984"/>
      <c r="AC984"/>
      <c r="AE984"/>
      <c r="AF984" s="447"/>
      <c r="AG984"/>
      <c r="AH984"/>
      <c r="AI984" s="447"/>
      <c r="AJ984"/>
      <c r="AK984"/>
      <c r="AL984" s="447"/>
      <c r="AM984"/>
      <c r="AN984"/>
      <c r="AO984" s="447"/>
      <c r="AP984"/>
      <c r="AQ984"/>
      <c r="AS984"/>
      <c r="AT984" s="447"/>
      <c r="AU984"/>
      <c r="AV984"/>
      <c r="AW984" s="447"/>
      <c r="AX984"/>
      <c r="AY984"/>
      <c r="AZ984" s="447"/>
      <c r="BA984"/>
      <c r="BB984"/>
      <c r="BC984" s="447"/>
      <c r="BD984"/>
      <c r="BE984"/>
    </row>
    <row r="985" spans="4:57">
      <c r="D985" s="447"/>
      <c r="G985" s="447"/>
      <c r="J985" s="447"/>
      <c r="M985" s="447"/>
      <c r="R985" s="447"/>
      <c r="S985"/>
      <c r="T985"/>
      <c r="U985" s="447"/>
      <c r="V985"/>
      <c r="W985"/>
      <c r="X985" s="447"/>
      <c r="Y985"/>
      <c r="Z985"/>
      <c r="AA985" s="447"/>
      <c r="AB985"/>
      <c r="AC985"/>
      <c r="AE985"/>
      <c r="AF985" s="447"/>
      <c r="AG985"/>
      <c r="AH985"/>
      <c r="AI985" s="447"/>
      <c r="AJ985"/>
      <c r="AK985"/>
      <c r="AL985" s="447"/>
      <c r="AM985"/>
      <c r="AN985"/>
      <c r="AO985" s="447"/>
      <c r="AP985"/>
      <c r="AQ985"/>
      <c r="AS985"/>
      <c r="AT985" s="447"/>
      <c r="AU985"/>
      <c r="AV985"/>
      <c r="AW985" s="447"/>
      <c r="AX985"/>
      <c r="AY985"/>
      <c r="AZ985" s="447"/>
      <c r="BA985"/>
      <c r="BB985"/>
      <c r="BC985" s="447"/>
      <c r="BD985"/>
      <c r="BE985"/>
    </row>
    <row r="986" spans="4:57">
      <c r="D986" s="447"/>
      <c r="G986" s="447"/>
      <c r="J986" s="447"/>
      <c r="M986" s="447"/>
      <c r="R986" s="447"/>
      <c r="S986"/>
      <c r="T986"/>
      <c r="U986" s="447"/>
      <c r="V986"/>
      <c r="W986"/>
      <c r="X986" s="447"/>
      <c r="Y986"/>
      <c r="Z986"/>
      <c r="AA986" s="447"/>
      <c r="AB986"/>
      <c r="AC986"/>
      <c r="AE986"/>
      <c r="AF986" s="447"/>
      <c r="AG986"/>
      <c r="AH986"/>
      <c r="AI986" s="447"/>
      <c r="AJ986"/>
      <c r="AK986"/>
      <c r="AL986" s="447"/>
      <c r="AM986"/>
      <c r="AN986"/>
      <c r="AO986" s="447"/>
      <c r="AP986"/>
      <c r="AQ986"/>
      <c r="AS986"/>
      <c r="AT986" s="447"/>
      <c r="AU986"/>
      <c r="AV986"/>
      <c r="AW986" s="447"/>
      <c r="AX986"/>
      <c r="AY986"/>
      <c r="AZ986" s="447"/>
      <c r="BA986"/>
      <c r="BB986"/>
      <c r="BC986" s="447"/>
      <c r="BD986"/>
      <c r="BE986"/>
    </row>
    <row r="987" spans="4:57">
      <c r="D987" s="447"/>
      <c r="G987" s="447"/>
      <c r="J987" s="447"/>
      <c r="M987" s="447"/>
      <c r="R987" s="447"/>
      <c r="S987"/>
      <c r="T987"/>
      <c r="U987" s="447"/>
      <c r="V987"/>
      <c r="W987"/>
      <c r="X987" s="447"/>
      <c r="Y987"/>
      <c r="Z987"/>
      <c r="AA987" s="447"/>
      <c r="AB987"/>
      <c r="AC987"/>
      <c r="AE987"/>
      <c r="AF987" s="447"/>
      <c r="AG987"/>
      <c r="AH987"/>
      <c r="AI987" s="447"/>
      <c r="AJ987"/>
      <c r="AK987"/>
      <c r="AL987" s="447"/>
      <c r="AM987"/>
      <c r="AN987"/>
      <c r="AO987" s="447"/>
      <c r="AP987"/>
      <c r="AQ987"/>
      <c r="AS987"/>
      <c r="AT987" s="447"/>
      <c r="AU987"/>
      <c r="AV987"/>
      <c r="AW987" s="447"/>
      <c r="AX987"/>
      <c r="AY987"/>
      <c r="AZ987" s="447"/>
      <c r="BA987"/>
      <c r="BB987"/>
      <c r="BC987" s="447"/>
      <c r="BD987"/>
      <c r="BE987"/>
    </row>
    <row r="988" spans="4:57">
      <c r="D988" s="447"/>
      <c r="G988" s="447"/>
      <c r="J988" s="447"/>
      <c r="M988" s="447"/>
      <c r="R988" s="447"/>
      <c r="S988"/>
      <c r="T988"/>
      <c r="U988" s="447"/>
      <c r="V988"/>
      <c r="W988"/>
      <c r="X988" s="447"/>
      <c r="Y988"/>
      <c r="Z988"/>
      <c r="AA988" s="447"/>
      <c r="AB988"/>
      <c r="AC988"/>
      <c r="AE988"/>
      <c r="AF988" s="447"/>
      <c r="AG988"/>
      <c r="AH988"/>
      <c r="AI988" s="447"/>
      <c r="AJ988"/>
      <c r="AK988"/>
      <c r="AL988" s="447"/>
      <c r="AM988"/>
      <c r="AN988"/>
      <c r="AO988" s="447"/>
      <c r="AP988"/>
      <c r="AQ988"/>
      <c r="AS988"/>
      <c r="AT988" s="447"/>
      <c r="AU988"/>
      <c r="AV988"/>
      <c r="AW988" s="447"/>
      <c r="AX988"/>
      <c r="AY988"/>
      <c r="AZ988" s="447"/>
      <c r="BA988"/>
      <c r="BB988"/>
      <c r="BC988" s="447"/>
      <c r="BD988"/>
      <c r="BE988"/>
    </row>
    <row r="989" spans="4:57">
      <c r="D989" s="447"/>
      <c r="G989" s="447"/>
      <c r="J989" s="447"/>
      <c r="M989" s="447"/>
      <c r="R989" s="447"/>
      <c r="S989"/>
      <c r="T989"/>
      <c r="U989" s="447"/>
      <c r="V989"/>
      <c r="W989"/>
      <c r="X989" s="447"/>
      <c r="Y989"/>
      <c r="Z989"/>
      <c r="AA989" s="447"/>
      <c r="AB989"/>
      <c r="AC989"/>
      <c r="AE989"/>
      <c r="AF989" s="447"/>
      <c r="AG989"/>
      <c r="AH989"/>
      <c r="AI989" s="447"/>
      <c r="AJ989"/>
      <c r="AK989"/>
      <c r="AL989" s="447"/>
      <c r="AM989"/>
      <c r="AN989"/>
      <c r="AO989" s="447"/>
      <c r="AP989"/>
      <c r="AQ989"/>
      <c r="AS989"/>
      <c r="AT989" s="447"/>
      <c r="AU989"/>
      <c r="AV989"/>
      <c r="AW989" s="447"/>
      <c r="AX989"/>
      <c r="AY989"/>
      <c r="AZ989" s="447"/>
      <c r="BA989"/>
      <c r="BB989"/>
      <c r="BC989" s="447"/>
      <c r="BD989"/>
      <c r="BE989"/>
    </row>
    <row r="990" spans="4:57">
      <c r="D990" s="447"/>
      <c r="G990" s="447"/>
      <c r="J990" s="447"/>
      <c r="M990" s="447"/>
      <c r="R990" s="447"/>
      <c r="S990"/>
      <c r="T990"/>
      <c r="U990" s="447"/>
      <c r="V990"/>
      <c r="W990"/>
      <c r="X990" s="447"/>
      <c r="Y990"/>
      <c r="Z990"/>
      <c r="AA990" s="447"/>
      <c r="AB990"/>
      <c r="AC990"/>
      <c r="AE990"/>
      <c r="AF990" s="447"/>
      <c r="AG990"/>
      <c r="AH990"/>
      <c r="AI990" s="447"/>
      <c r="AJ990"/>
      <c r="AK990"/>
      <c r="AL990" s="447"/>
      <c r="AM990"/>
      <c r="AN990"/>
      <c r="AO990" s="447"/>
      <c r="AP990"/>
      <c r="AQ990"/>
      <c r="AS990"/>
      <c r="AT990" s="447"/>
      <c r="AU990"/>
      <c r="AV990"/>
      <c r="AW990" s="447"/>
      <c r="AX990"/>
      <c r="AY990"/>
      <c r="AZ990" s="447"/>
      <c r="BA990"/>
      <c r="BB990"/>
      <c r="BC990" s="447"/>
      <c r="BD990"/>
      <c r="BE990"/>
    </row>
    <row r="991" spans="4:57">
      <c r="D991" s="447"/>
      <c r="G991" s="447"/>
      <c r="J991" s="447"/>
      <c r="M991" s="447"/>
      <c r="R991" s="447"/>
      <c r="S991"/>
      <c r="T991"/>
      <c r="U991" s="447"/>
      <c r="V991"/>
      <c r="W991"/>
      <c r="X991" s="447"/>
      <c r="Y991"/>
      <c r="Z991"/>
      <c r="AA991" s="447"/>
      <c r="AB991"/>
      <c r="AC991"/>
      <c r="AE991"/>
      <c r="AF991" s="447"/>
      <c r="AG991"/>
      <c r="AH991"/>
      <c r="AI991" s="447"/>
      <c r="AJ991"/>
      <c r="AK991"/>
      <c r="AL991" s="447"/>
      <c r="AM991"/>
      <c r="AN991"/>
      <c r="AO991" s="447"/>
      <c r="AP991"/>
      <c r="AQ991"/>
      <c r="AS991"/>
      <c r="AT991" s="447"/>
      <c r="AU991"/>
      <c r="AV991"/>
      <c r="AW991" s="447"/>
      <c r="AX991"/>
      <c r="AY991"/>
      <c r="AZ991" s="447"/>
      <c r="BA991"/>
      <c r="BB991"/>
      <c r="BC991" s="447"/>
      <c r="BD991"/>
      <c r="BE991"/>
    </row>
    <row r="992" spans="4:57">
      <c r="D992" s="447"/>
      <c r="G992" s="447"/>
      <c r="J992" s="447"/>
      <c r="M992" s="447"/>
      <c r="R992" s="447"/>
      <c r="S992"/>
      <c r="T992"/>
      <c r="U992" s="447"/>
      <c r="V992"/>
      <c r="W992"/>
      <c r="X992" s="447"/>
      <c r="Y992"/>
      <c r="Z992"/>
      <c r="AA992" s="447"/>
      <c r="AB992"/>
      <c r="AC992"/>
      <c r="AE992"/>
      <c r="AF992" s="447"/>
      <c r="AG992"/>
      <c r="AH992"/>
      <c r="AI992" s="447"/>
      <c r="AJ992"/>
      <c r="AK992"/>
      <c r="AL992" s="447"/>
      <c r="AM992"/>
      <c r="AN992"/>
      <c r="AO992" s="447"/>
      <c r="AP992"/>
      <c r="AQ992"/>
      <c r="AS992"/>
      <c r="AT992" s="447"/>
      <c r="AU992"/>
      <c r="AV992"/>
      <c r="AW992" s="447"/>
      <c r="AX992"/>
      <c r="AY992"/>
      <c r="AZ992" s="447"/>
      <c r="BA992"/>
      <c r="BB992"/>
      <c r="BC992" s="447"/>
      <c r="BD992"/>
      <c r="BE992"/>
    </row>
    <row r="993" spans="4:57">
      <c r="D993" s="447"/>
      <c r="G993" s="447"/>
      <c r="J993" s="447"/>
      <c r="M993" s="447"/>
      <c r="R993" s="447"/>
      <c r="S993"/>
      <c r="T993"/>
      <c r="U993" s="447"/>
      <c r="V993"/>
      <c r="W993"/>
      <c r="X993" s="447"/>
      <c r="Y993"/>
      <c r="Z993"/>
      <c r="AA993" s="447"/>
      <c r="AB993"/>
      <c r="AC993"/>
      <c r="AE993"/>
      <c r="AF993" s="447"/>
      <c r="AG993"/>
      <c r="AH993"/>
      <c r="AI993" s="447"/>
      <c r="AJ993"/>
      <c r="AK993"/>
      <c r="AL993" s="447"/>
      <c r="AM993"/>
      <c r="AN993"/>
      <c r="AO993" s="447"/>
      <c r="AP993"/>
      <c r="AQ993"/>
      <c r="AS993"/>
      <c r="AT993" s="447"/>
      <c r="AU993"/>
      <c r="AV993"/>
      <c r="AW993" s="447"/>
      <c r="AX993"/>
      <c r="AY993"/>
      <c r="AZ993" s="447"/>
      <c r="BA993"/>
      <c r="BB993"/>
      <c r="BC993" s="447"/>
      <c r="BD993"/>
      <c r="BE993"/>
    </row>
    <row r="994" spans="4:57">
      <c r="D994" s="447"/>
      <c r="G994" s="447"/>
      <c r="J994" s="447"/>
      <c r="M994" s="447"/>
      <c r="R994" s="447"/>
      <c r="S994"/>
      <c r="T994"/>
      <c r="U994" s="447"/>
      <c r="V994"/>
      <c r="W994"/>
      <c r="X994" s="447"/>
      <c r="Y994"/>
      <c r="Z994"/>
      <c r="AA994" s="447"/>
      <c r="AB994"/>
      <c r="AC994"/>
      <c r="AE994"/>
      <c r="AF994" s="447"/>
      <c r="AG994"/>
      <c r="AH994"/>
      <c r="AI994" s="447"/>
      <c r="AJ994"/>
      <c r="AK994"/>
      <c r="AL994" s="447"/>
      <c r="AM994"/>
      <c r="AN994"/>
      <c r="AO994" s="447"/>
      <c r="AP994"/>
      <c r="AQ994"/>
      <c r="AS994"/>
      <c r="AT994" s="447"/>
      <c r="AU994"/>
      <c r="AV994"/>
      <c r="AW994" s="447"/>
      <c r="AX994"/>
      <c r="AY994"/>
      <c r="AZ994" s="447"/>
      <c r="BA994"/>
      <c r="BB994"/>
      <c r="BC994" s="447"/>
      <c r="BD994"/>
      <c r="BE994"/>
    </row>
    <row r="995" spans="4:57">
      <c r="D995" s="447"/>
      <c r="G995" s="447"/>
      <c r="J995" s="447"/>
      <c r="M995" s="447"/>
      <c r="R995" s="447"/>
      <c r="S995"/>
      <c r="T995"/>
      <c r="U995" s="447"/>
      <c r="V995"/>
      <c r="W995"/>
      <c r="X995" s="447"/>
      <c r="Y995"/>
      <c r="Z995"/>
      <c r="AA995" s="447"/>
      <c r="AB995"/>
      <c r="AC995"/>
      <c r="AE995"/>
      <c r="AF995" s="447"/>
      <c r="AG995"/>
      <c r="AH995"/>
      <c r="AI995" s="447"/>
      <c r="AJ995"/>
      <c r="AK995"/>
      <c r="AL995" s="447"/>
      <c r="AM995"/>
      <c r="AN995"/>
      <c r="AO995" s="447"/>
      <c r="AP995"/>
      <c r="AQ995"/>
      <c r="AS995"/>
      <c r="AT995" s="447"/>
      <c r="AU995"/>
      <c r="AV995"/>
      <c r="AW995" s="447"/>
      <c r="AX995"/>
      <c r="AY995"/>
      <c r="AZ995" s="447"/>
      <c r="BA995"/>
      <c r="BB995"/>
      <c r="BC995" s="447"/>
      <c r="BD995"/>
      <c r="BE995"/>
    </row>
    <row r="996" spans="4:57">
      <c r="D996" s="447"/>
      <c r="G996" s="447"/>
      <c r="J996" s="447"/>
      <c r="M996" s="447"/>
      <c r="R996" s="447"/>
      <c r="S996"/>
      <c r="T996"/>
      <c r="U996" s="447"/>
      <c r="V996"/>
      <c r="W996"/>
      <c r="X996" s="447"/>
      <c r="Y996"/>
      <c r="Z996"/>
      <c r="AA996" s="447"/>
      <c r="AB996"/>
      <c r="AC996"/>
      <c r="AE996"/>
      <c r="AF996" s="447"/>
      <c r="AG996"/>
      <c r="AH996"/>
      <c r="AI996" s="447"/>
      <c r="AJ996"/>
      <c r="AK996"/>
      <c r="AL996" s="447"/>
      <c r="AM996"/>
      <c r="AN996"/>
      <c r="AO996" s="447"/>
      <c r="AP996"/>
      <c r="AQ996"/>
      <c r="AS996"/>
      <c r="AT996" s="447"/>
      <c r="AU996"/>
      <c r="AV996"/>
      <c r="AW996" s="447"/>
      <c r="AX996"/>
      <c r="AY996"/>
      <c r="AZ996" s="447"/>
      <c r="BA996"/>
      <c r="BB996"/>
      <c r="BC996" s="447"/>
      <c r="BD996"/>
      <c r="BE996"/>
    </row>
    <row r="997" spans="4:57">
      <c r="D997" s="447"/>
      <c r="G997" s="447"/>
      <c r="J997" s="447"/>
      <c r="M997" s="447"/>
      <c r="R997" s="447"/>
      <c r="S997"/>
      <c r="T997"/>
      <c r="U997" s="447"/>
      <c r="V997"/>
      <c r="W997"/>
      <c r="X997" s="447"/>
      <c r="Y997"/>
      <c r="Z997"/>
      <c r="AA997" s="447"/>
      <c r="AB997"/>
      <c r="AC997"/>
      <c r="AE997"/>
      <c r="AF997" s="447"/>
      <c r="AG997"/>
      <c r="AH997"/>
      <c r="AI997" s="447"/>
      <c r="AJ997"/>
      <c r="AK997"/>
      <c r="AL997" s="447"/>
      <c r="AM997"/>
      <c r="AN997"/>
      <c r="AO997" s="447"/>
      <c r="AP997"/>
      <c r="AQ997"/>
      <c r="AS997"/>
      <c r="AT997" s="447"/>
      <c r="AU997"/>
      <c r="AV997"/>
      <c r="AW997" s="447"/>
      <c r="AX997"/>
      <c r="AY997"/>
      <c r="AZ997" s="447"/>
      <c r="BA997"/>
      <c r="BB997"/>
      <c r="BC997" s="447"/>
      <c r="BD997"/>
      <c r="BE997"/>
    </row>
    <row r="998" spans="4:57">
      <c r="D998" s="447"/>
      <c r="G998" s="447"/>
      <c r="J998" s="447"/>
      <c r="M998" s="447"/>
      <c r="R998" s="447"/>
      <c r="S998"/>
      <c r="T998"/>
      <c r="U998" s="447"/>
      <c r="V998"/>
      <c r="W998"/>
      <c r="X998" s="447"/>
      <c r="Y998"/>
      <c r="Z998"/>
      <c r="AA998" s="447"/>
      <c r="AB998"/>
      <c r="AC998"/>
      <c r="AE998"/>
      <c r="AF998" s="447"/>
      <c r="AG998"/>
      <c r="AH998"/>
      <c r="AI998" s="447"/>
      <c r="AJ998"/>
      <c r="AK998"/>
      <c r="AL998" s="447"/>
      <c r="AM998"/>
      <c r="AN998"/>
      <c r="AO998" s="447"/>
      <c r="AP998"/>
      <c r="AQ998"/>
      <c r="AS998"/>
      <c r="AT998" s="447"/>
      <c r="AU998"/>
      <c r="AV998"/>
      <c r="AW998" s="447"/>
      <c r="AX998"/>
      <c r="AY998"/>
      <c r="AZ998" s="447"/>
      <c r="BA998"/>
      <c r="BB998"/>
      <c r="BC998" s="447"/>
      <c r="BD998"/>
      <c r="BE998"/>
    </row>
    <row r="999" spans="4:57">
      <c r="D999" s="447"/>
      <c r="G999" s="447"/>
      <c r="J999" s="447"/>
      <c r="M999" s="447"/>
      <c r="R999" s="447"/>
      <c r="S999"/>
      <c r="T999"/>
      <c r="U999" s="447"/>
      <c r="V999"/>
      <c r="W999"/>
      <c r="X999" s="447"/>
      <c r="Y999"/>
      <c r="Z999"/>
      <c r="AA999" s="447"/>
      <c r="AB999"/>
      <c r="AC999"/>
      <c r="AE999"/>
      <c r="AF999" s="447"/>
      <c r="AG999"/>
      <c r="AH999"/>
      <c r="AI999" s="447"/>
      <c r="AJ999"/>
      <c r="AK999"/>
      <c r="AL999" s="447"/>
      <c r="AM999"/>
      <c r="AN999"/>
      <c r="AO999" s="447"/>
      <c r="AP999"/>
      <c r="AQ999"/>
      <c r="AS999"/>
      <c r="AT999" s="447"/>
      <c r="AU999"/>
      <c r="AV999"/>
      <c r="AW999" s="447"/>
      <c r="AX999"/>
      <c r="AY999"/>
      <c r="AZ999" s="447"/>
      <c r="BA999"/>
      <c r="BB999"/>
      <c r="BC999" s="447"/>
      <c r="BD999"/>
      <c r="BE999"/>
    </row>
    <row r="1000" spans="4:57">
      <c r="D1000" s="447"/>
      <c r="G1000" s="447"/>
      <c r="J1000" s="447"/>
      <c r="M1000" s="447"/>
      <c r="R1000" s="447"/>
      <c r="S1000"/>
      <c r="T1000"/>
      <c r="U1000" s="447"/>
      <c r="V1000"/>
      <c r="W1000"/>
      <c r="X1000" s="447"/>
      <c r="Y1000"/>
      <c r="Z1000"/>
      <c r="AA1000" s="447"/>
      <c r="AB1000"/>
      <c r="AC1000"/>
      <c r="AE1000"/>
      <c r="AF1000" s="447"/>
      <c r="AG1000"/>
      <c r="AH1000"/>
      <c r="AI1000" s="447"/>
      <c r="AJ1000"/>
      <c r="AK1000"/>
      <c r="AL1000" s="447"/>
      <c r="AM1000"/>
      <c r="AN1000"/>
      <c r="AO1000" s="447"/>
      <c r="AP1000"/>
      <c r="AQ1000"/>
      <c r="AS1000"/>
      <c r="AT1000" s="447"/>
      <c r="AU1000"/>
      <c r="AV1000"/>
      <c r="AW1000" s="447"/>
      <c r="AX1000"/>
      <c r="AY1000"/>
      <c r="AZ1000" s="447"/>
      <c r="BA1000"/>
      <c r="BB1000"/>
      <c r="BC1000" s="447"/>
      <c r="BD1000"/>
      <c r="BE1000"/>
    </row>
    <row r="1001" spans="4:57">
      <c r="D1001" s="447"/>
      <c r="G1001" s="447"/>
      <c r="J1001" s="447"/>
      <c r="M1001" s="447"/>
      <c r="R1001" s="447"/>
      <c r="S1001"/>
      <c r="T1001"/>
      <c r="U1001" s="447"/>
      <c r="V1001"/>
      <c r="W1001"/>
      <c r="X1001" s="447"/>
      <c r="Y1001"/>
      <c r="Z1001"/>
      <c r="AA1001" s="447"/>
      <c r="AB1001"/>
      <c r="AC1001"/>
      <c r="AE1001"/>
      <c r="AF1001" s="447"/>
      <c r="AG1001"/>
      <c r="AH1001"/>
      <c r="AI1001" s="447"/>
      <c r="AJ1001"/>
      <c r="AK1001"/>
      <c r="AL1001" s="447"/>
      <c r="AM1001"/>
      <c r="AN1001"/>
      <c r="AO1001" s="447"/>
      <c r="AP1001"/>
      <c r="AQ1001"/>
      <c r="AS1001"/>
      <c r="AT1001" s="447"/>
      <c r="AU1001"/>
      <c r="AV1001"/>
      <c r="AW1001" s="447"/>
      <c r="AX1001"/>
      <c r="AY1001"/>
      <c r="AZ1001" s="447"/>
      <c r="BA1001"/>
      <c r="BB1001"/>
      <c r="BC1001" s="447"/>
      <c r="BD1001"/>
      <c r="BE1001"/>
    </row>
    <row r="1002" spans="4:57">
      <c r="D1002" s="447"/>
      <c r="G1002" s="447"/>
      <c r="J1002" s="447"/>
      <c r="M1002" s="447"/>
      <c r="R1002" s="447"/>
      <c r="S1002"/>
      <c r="T1002"/>
      <c r="U1002" s="447"/>
      <c r="V1002"/>
      <c r="W1002"/>
      <c r="X1002" s="447"/>
      <c r="Y1002"/>
      <c r="Z1002"/>
      <c r="AA1002" s="447"/>
      <c r="AB1002"/>
      <c r="AC1002"/>
      <c r="AE1002"/>
      <c r="AF1002" s="447"/>
      <c r="AG1002"/>
      <c r="AH1002"/>
      <c r="AI1002" s="447"/>
      <c r="AJ1002"/>
      <c r="AK1002"/>
      <c r="AL1002" s="447"/>
      <c r="AM1002"/>
      <c r="AN1002"/>
      <c r="AO1002" s="447"/>
      <c r="AP1002"/>
      <c r="AQ1002"/>
      <c r="AS1002"/>
      <c r="AT1002" s="447"/>
      <c r="AU1002"/>
      <c r="AV1002"/>
      <c r="AW1002" s="447"/>
      <c r="AX1002"/>
      <c r="AY1002"/>
      <c r="AZ1002" s="447"/>
      <c r="BA1002"/>
      <c r="BB1002"/>
      <c r="BC1002" s="447"/>
      <c r="BD1002"/>
      <c r="BE1002"/>
    </row>
    <row r="1003" spans="4:57">
      <c r="D1003" s="447"/>
      <c r="G1003" s="447"/>
      <c r="J1003" s="447"/>
      <c r="M1003" s="447"/>
      <c r="R1003" s="447"/>
      <c r="S1003"/>
      <c r="T1003"/>
      <c r="U1003" s="447"/>
      <c r="V1003"/>
      <c r="W1003"/>
      <c r="X1003" s="447"/>
      <c r="Y1003"/>
      <c r="Z1003"/>
      <c r="AA1003" s="447"/>
      <c r="AB1003"/>
      <c r="AC1003"/>
      <c r="AE1003"/>
      <c r="AF1003" s="447"/>
      <c r="AG1003"/>
      <c r="AH1003"/>
      <c r="AI1003" s="447"/>
      <c r="AJ1003"/>
      <c r="AK1003"/>
      <c r="AL1003" s="447"/>
      <c r="AM1003"/>
      <c r="AN1003"/>
      <c r="AO1003" s="447"/>
      <c r="AP1003"/>
      <c r="AQ1003"/>
      <c r="AS1003"/>
      <c r="AT1003" s="447"/>
      <c r="AU1003"/>
      <c r="AV1003"/>
      <c r="AW1003" s="447"/>
      <c r="AX1003"/>
      <c r="AY1003"/>
      <c r="AZ1003" s="447"/>
      <c r="BA1003"/>
      <c r="BB1003"/>
      <c r="BC1003" s="447"/>
      <c r="BD1003"/>
      <c r="BE1003"/>
    </row>
    <row r="1004" spans="4:57">
      <c r="D1004" s="447"/>
      <c r="G1004" s="447"/>
      <c r="J1004" s="447"/>
      <c r="M1004" s="447"/>
      <c r="R1004" s="447"/>
      <c r="S1004"/>
      <c r="T1004"/>
      <c r="U1004" s="447"/>
      <c r="V1004"/>
      <c r="W1004"/>
      <c r="X1004" s="447"/>
      <c r="Y1004"/>
      <c r="Z1004"/>
      <c r="AA1004" s="447"/>
      <c r="AB1004"/>
      <c r="AC1004"/>
      <c r="AE1004"/>
      <c r="AF1004" s="447"/>
      <c r="AG1004"/>
      <c r="AH1004"/>
      <c r="AI1004" s="447"/>
      <c r="AJ1004"/>
      <c r="AK1004"/>
      <c r="AL1004" s="447"/>
      <c r="AM1004"/>
      <c r="AN1004"/>
      <c r="AO1004" s="447"/>
      <c r="AP1004"/>
      <c r="AQ1004"/>
      <c r="AS1004"/>
      <c r="AT1004" s="447"/>
      <c r="AU1004"/>
      <c r="AV1004"/>
      <c r="AW1004" s="447"/>
      <c r="AX1004"/>
      <c r="AY1004"/>
      <c r="AZ1004" s="447"/>
      <c r="BA1004"/>
      <c r="BB1004"/>
      <c r="BC1004" s="447"/>
      <c r="BD1004"/>
      <c r="BE1004"/>
    </row>
    <row r="1005" spans="4:57">
      <c r="D1005" s="447"/>
      <c r="G1005" s="447"/>
      <c r="J1005" s="447"/>
      <c r="M1005" s="447"/>
      <c r="R1005" s="447"/>
      <c r="S1005"/>
      <c r="T1005"/>
      <c r="U1005" s="447"/>
      <c r="V1005"/>
      <c r="W1005"/>
      <c r="X1005" s="447"/>
      <c r="Y1005"/>
      <c r="Z1005"/>
      <c r="AA1005" s="447"/>
      <c r="AB1005"/>
      <c r="AC1005"/>
      <c r="AE1005"/>
      <c r="AF1005" s="447"/>
      <c r="AG1005"/>
      <c r="AH1005"/>
      <c r="AI1005" s="447"/>
      <c r="AJ1005"/>
      <c r="AK1005"/>
      <c r="AL1005" s="447"/>
      <c r="AM1005"/>
      <c r="AN1005"/>
      <c r="AO1005" s="447"/>
      <c r="AP1005"/>
      <c r="AQ1005"/>
      <c r="AS1005"/>
      <c r="AT1005" s="447"/>
      <c r="AU1005"/>
      <c r="AV1005"/>
      <c r="AW1005" s="447"/>
      <c r="AX1005"/>
      <c r="AY1005"/>
      <c r="AZ1005" s="447"/>
      <c r="BA1005"/>
      <c r="BB1005"/>
      <c r="BC1005" s="447"/>
      <c r="BD1005"/>
      <c r="BE1005"/>
    </row>
    <row r="1006" spans="4:57">
      <c r="D1006" s="447"/>
      <c r="G1006" s="447"/>
      <c r="J1006" s="447"/>
      <c r="M1006" s="447"/>
      <c r="R1006" s="447"/>
      <c r="S1006"/>
      <c r="T1006"/>
      <c r="U1006" s="447"/>
      <c r="V1006"/>
      <c r="W1006"/>
      <c r="X1006" s="447"/>
      <c r="Y1006"/>
      <c r="Z1006"/>
      <c r="AA1006" s="447"/>
      <c r="AB1006"/>
      <c r="AC1006"/>
      <c r="AE1006"/>
      <c r="AF1006" s="447"/>
      <c r="AG1006"/>
      <c r="AH1006"/>
      <c r="AI1006" s="447"/>
      <c r="AJ1006"/>
      <c r="AK1006"/>
      <c r="AL1006" s="447"/>
      <c r="AM1006"/>
      <c r="AN1006"/>
      <c r="AO1006" s="447"/>
      <c r="AP1006"/>
      <c r="AQ1006"/>
      <c r="AS1006"/>
      <c r="AT1006" s="447"/>
      <c r="AU1006"/>
      <c r="AV1006"/>
      <c r="AW1006" s="447"/>
      <c r="AX1006"/>
      <c r="AY1006"/>
      <c r="AZ1006" s="447"/>
      <c r="BA1006"/>
      <c r="BB1006"/>
      <c r="BC1006" s="447"/>
      <c r="BD1006"/>
      <c r="BE1006"/>
    </row>
    <row r="1007" spans="4:57">
      <c r="D1007" s="447"/>
      <c r="G1007" s="447"/>
      <c r="J1007" s="447"/>
      <c r="M1007" s="447"/>
      <c r="R1007" s="447"/>
      <c r="S1007"/>
      <c r="T1007"/>
      <c r="U1007" s="447"/>
      <c r="V1007"/>
      <c r="W1007"/>
      <c r="X1007" s="447"/>
      <c r="Y1007"/>
      <c r="Z1007"/>
      <c r="AA1007" s="447"/>
      <c r="AB1007"/>
      <c r="AC1007"/>
      <c r="AE1007"/>
      <c r="AF1007" s="447"/>
      <c r="AG1007"/>
      <c r="AH1007"/>
      <c r="AI1007" s="447"/>
      <c r="AJ1007"/>
      <c r="AK1007"/>
      <c r="AL1007" s="447"/>
      <c r="AM1007"/>
      <c r="AN1007"/>
      <c r="AO1007" s="447"/>
      <c r="AP1007"/>
      <c r="AQ1007"/>
      <c r="AS1007"/>
      <c r="AT1007" s="447"/>
      <c r="AU1007"/>
      <c r="AV1007"/>
      <c r="AW1007" s="447"/>
      <c r="AX1007"/>
      <c r="AY1007"/>
      <c r="AZ1007" s="447"/>
      <c r="BA1007"/>
      <c r="BB1007"/>
      <c r="BC1007" s="447"/>
      <c r="BD1007"/>
      <c r="BE1007"/>
    </row>
    <row r="1008" spans="4:57">
      <c r="D1008" s="447"/>
      <c r="G1008" s="447"/>
      <c r="J1008" s="447"/>
      <c r="M1008" s="447"/>
      <c r="R1008" s="447"/>
      <c r="S1008"/>
      <c r="T1008"/>
      <c r="U1008" s="447"/>
      <c r="V1008"/>
      <c r="W1008"/>
      <c r="X1008" s="447"/>
      <c r="Y1008"/>
      <c r="Z1008"/>
      <c r="AA1008" s="447"/>
      <c r="AB1008"/>
      <c r="AC1008"/>
      <c r="AE1008"/>
      <c r="AF1008" s="447"/>
      <c r="AG1008"/>
      <c r="AH1008"/>
      <c r="AI1008" s="447"/>
      <c r="AJ1008"/>
      <c r="AK1008"/>
      <c r="AL1008" s="447"/>
      <c r="AM1008"/>
      <c r="AN1008"/>
      <c r="AO1008" s="447"/>
      <c r="AP1008"/>
      <c r="AQ1008"/>
      <c r="AS1008"/>
      <c r="AT1008" s="447"/>
      <c r="AU1008"/>
      <c r="AV1008"/>
      <c r="AW1008" s="447"/>
      <c r="AX1008"/>
      <c r="AY1008"/>
      <c r="AZ1008" s="447"/>
      <c r="BA1008"/>
      <c r="BB1008"/>
      <c r="BC1008" s="447"/>
      <c r="BD1008"/>
      <c r="BE1008"/>
    </row>
    <row r="1009" spans="4:57">
      <c r="D1009" s="447"/>
      <c r="G1009" s="447"/>
      <c r="J1009" s="447"/>
      <c r="M1009" s="447"/>
      <c r="R1009" s="447"/>
      <c r="S1009"/>
      <c r="T1009"/>
      <c r="U1009" s="447"/>
      <c r="V1009"/>
      <c r="W1009"/>
      <c r="X1009" s="447"/>
      <c r="Y1009"/>
      <c r="Z1009"/>
      <c r="AA1009" s="447"/>
      <c r="AB1009"/>
      <c r="AC1009"/>
      <c r="AE1009"/>
      <c r="AF1009" s="447"/>
      <c r="AG1009"/>
      <c r="AH1009"/>
      <c r="AI1009" s="447"/>
      <c r="AJ1009"/>
      <c r="AK1009"/>
      <c r="AL1009" s="447"/>
      <c r="AM1009"/>
      <c r="AN1009"/>
      <c r="AO1009" s="447"/>
      <c r="AP1009"/>
      <c r="AQ1009"/>
      <c r="AS1009"/>
      <c r="AT1009" s="447"/>
      <c r="AU1009"/>
      <c r="AV1009"/>
      <c r="AW1009" s="447"/>
      <c r="AX1009"/>
      <c r="AY1009"/>
      <c r="AZ1009" s="447"/>
      <c r="BA1009"/>
      <c r="BB1009"/>
      <c r="BC1009" s="447"/>
      <c r="BD1009"/>
      <c r="BE1009"/>
    </row>
    <row r="1010" spans="4:57">
      <c r="D1010" s="447"/>
      <c r="G1010" s="447"/>
      <c r="J1010" s="447"/>
      <c r="M1010" s="447"/>
      <c r="R1010" s="447"/>
      <c r="S1010"/>
      <c r="T1010"/>
      <c r="U1010" s="447"/>
      <c r="V1010"/>
      <c r="W1010"/>
      <c r="X1010" s="447"/>
      <c r="Y1010"/>
      <c r="Z1010"/>
      <c r="AA1010" s="447"/>
      <c r="AB1010"/>
      <c r="AC1010"/>
      <c r="AE1010"/>
      <c r="AF1010" s="447"/>
      <c r="AG1010"/>
      <c r="AH1010"/>
      <c r="AI1010" s="447"/>
      <c r="AJ1010"/>
      <c r="AK1010"/>
      <c r="AL1010" s="447"/>
      <c r="AM1010"/>
      <c r="AN1010"/>
      <c r="AO1010" s="447"/>
      <c r="AP1010"/>
      <c r="AQ1010"/>
      <c r="AS1010"/>
      <c r="AT1010" s="447"/>
      <c r="AU1010"/>
      <c r="AV1010"/>
      <c r="AW1010" s="447"/>
      <c r="AX1010"/>
      <c r="AY1010"/>
      <c r="AZ1010" s="447"/>
      <c r="BA1010"/>
      <c r="BB1010"/>
      <c r="BC1010" s="447"/>
      <c r="BD1010"/>
      <c r="BE1010"/>
    </row>
    <row r="1011" spans="4:57">
      <c r="D1011" s="447"/>
      <c r="G1011" s="447"/>
      <c r="J1011" s="447"/>
      <c r="M1011" s="447"/>
      <c r="R1011" s="447"/>
      <c r="S1011"/>
      <c r="T1011"/>
      <c r="U1011" s="447"/>
      <c r="V1011"/>
      <c r="W1011"/>
      <c r="X1011" s="447"/>
      <c r="Y1011"/>
      <c r="Z1011"/>
      <c r="AA1011" s="447"/>
      <c r="AB1011"/>
      <c r="AC1011"/>
      <c r="AE1011"/>
      <c r="AF1011" s="447"/>
      <c r="AG1011"/>
      <c r="AH1011"/>
      <c r="AI1011" s="447"/>
      <c r="AJ1011"/>
      <c r="AK1011"/>
      <c r="AL1011" s="447"/>
      <c r="AM1011"/>
      <c r="AN1011"/>
      <c r="AO1011" s="447"/>
      <c r="AP1011"/>
      <c r="AQ1011"/>
      <c r="AS1011"/>
      <c r="AT1011" s="447"/>
      <c r="AU1011"/>
      <c r="AV1011"/>
      <c r="AW1011" s="447"/>
      <c r="AX1011"/>
      <c r="AY1011"/>
      <c r="AZ1011" s="447"/>
      <c r="BA1011"/>
      <c r="BB1011"/>
      <c r="BC1011" s="447"/>
      <c r="BD1011"/>
      <c r="BE1011"/>
    </row>
    <row r="1012" spans="4:57">
      <c r="D1012" s="447"/>
      <c r="G1012" s="447"/>
      <c r="J1012" s="447"/>
      <c r="M1012" s="447"/>
      <c r="R1012" s="447"/>
      <c r="S1012"/>
      <c r="T1012"/>
      <c r="U1012" s="447"/>
      <c r="V1012"/>
      <c r="W1012"/>
      <c r="X1012" s="447"/>
      <c r="Y1012"/>
      <c r="Z1012"/>
      <c r="AA1012" s="447"/>
      <c r="AB1012"/>
      <c r="AC1012"/>
      <c r="AE1012"/>
      <c r="AF1012" s="447"/>
      <c r="AG1012"/>
      <c r="AH1012"/>
      <c r="AI1012" s="447"/>
      <c r="AJ1012"/>
      <c r="AK1012"/>
      <c r="AL1012" s="447"/>
      <c r="AM1012"/>
      <c r="AN1012"/>
      <c r="AO1012" s="447"/>
      <c r="AP1012"/>
      <c r="AQ1012"/>
      <c r="AS1012"/>
      <c r="AT1012" s="447"/>
      <c r="AU1012"/>
      <c r="AV1012"/>
      <c r="AW1012" s="447"/>
      <c r="AX1012"/>
      <c r="AY1012"/>
      <c r="AZ1012" s="447"/>
      <c r="BA1012"/>
      <c r="BB1012"/>
      <c r="BC1012" s="447"/>
      <c r="BD1012"/>
      <c r="BE1012"/>
    </row>
    <row r="1013" spans="4:57">
      <c r="D1013" s="447"/>
      <c r="G1013" s="447"/>
      <c r="J1013" s="447"/>
      <c r="M1013" s="447"/>
      <c r="R1013" s="447"/>
      <c r="S1013"/>
      <c r="T1013"/>
      <c r="U1013" s="447"/>
      <c r="V1013"/>
      <c r="W1013"/>
      <c r="X1013" s="447"/>
      <c r="Y1013"/>
      <c r="Z1013"/>
      <c r="AA1013" s="447"/>
      <c r="AB1013"/>
      <c r="AC1013"/>
      <c r="AE1013"/>
      <c r="AF1013" s="447"/>
      <c r="AG1013"/>
      <c r="AH1013"/>
      <c r="AI1013" s="447"/>
      <c r="AJ1013"/>
      <c r="AK1013"/>
      <c r="AL1013" s="447"/>
      <c r="AM1013"/>
      <c r="AN1013"/>
      <c r="AO1013" s="447"/>
      <c r="AP1013"/>
      <c r="AQ1013"/>
      <c r="AS1013"/>
      <c r="AT1013" s="447"/>
      <c r="AU1013"/>
      <c r="AV1013"/>
      <c r="AW1013" s="447"/>
      <c r="AX1013"/>
      <c r="AY1013"/>
      <c r="AZ1013" s="447"/>
      <c r="BA1013"/>
      <c r="BB1013"/>
      <c r="BC1013" s="447"/>
      <c r="BD1013"/>
      <c r="BE1013"/>
    </row>
    <row r="1014" spans="4:57">
      <c r="D1014" s="447"/>
      <c r="G1014" s="447"/>
      <c r="J1014" s="447"/>
      <c r="M1014" s="447"/>
      <c r="R1014" s="447"/>
      <c r="S1014"/>
      <c r="T1014"/>
      <c r="U1014" s="447"/>
      <c r="V1014"/>
      <c r="W1014"/>
      <c r="X1014" s="447"/>
      <c r="Y1014"/>
      <c r="Z1014"/>
      <c r="AA1014" s="447"/>
      <c r="AB1014"/>
      <c r="AC1014"/>
      <c r="AE1014"/>
      <c r="AF1014" s="447"/>
      <c r="AG1014"/>
      <c r="AH1014"/>
      <c r="AI1014" s="447"/>
      <c r="AJ1014"/>
      <c r="AK1014"/>
      <c r="AL1014" s="447"/>
      <c r="AM1014"/>
      <c r="AN1014"/>
      <c r="AO1014" s="447"/>
      <c r="AP1014"/>
      <c r="AQ1014"/>
      <c r="AS1014"/>
      <c r="AT1014" s="447"/>
      <c r="AU1014"/>
      <c r="AV1014"/>
      <c r="AW1014" s="447"/>
      <c r="AX1014"/>
      <c r="AY1014"/>
      <c r="AZ1014" s="447"/>
      <c r="BA1014"/>
      <c r="BB1014"/>
      <c r="BC1014" s="447"/>
      <c r="BD1014"/>
      <c r="BE1014"/>
    </row>
    <row r="1015" spans="4:57">
      <c r="D1015" s="447"/>
      <c r="G1015" s="447"/>
      <c r="J1015" s="447"/>
      <c r="M1015" s="447"/>
      <c r="R1015" s="447"/>
      <c r="S1015"/>
      <c r="T1015"/>
      <c r="U1015" s="447"/>
      <c r="V1015"/>
      <c r="W1015"/>
      <c r="X1015" s="447"/>
      <c r="Y1015"/>
      <c r="Z1015"/>
      <c r="AA1015" s="447"/>
      <c r="AB1015"/>
      <c r="AC1015"/>
      <c r="AE1015"/>
      <c r="AF1015" s="447"/>
      <c r="AG1015"/>
      <c r="AH1015"/>
      <c r="AI1015" s="447"/>
      <c r="AJ1015"/>
      <c r="AK1015"/>
      <c r="AL1015" s="447"/>
      <c r="AM1015"/>
      <c r="AN1015"/>
      <c r="AO1015" s="447"/>
      <c r="AP1015"/>
      <c r="AQ1015"/>
      <c r="AS1015"/>
      <c r="AT1015" s="447"/>
      <c r="AU1015"/>
      <c r="AV1015"/>
      <c r="AW1015" s="447"/>
      <c r="AX1015"/>
      <c r="AY1015"/>
      <c r="AZ1015" s="447"/>
      <c r="BA1015"/>
      <c r="BB1015"/>
      <c r="BC1015" s="447"/>
      <c r="BD1015"/>
      <c r="BE1015"/>
    </row>
    <row r="1016" spans="4:57">
      <c r="D1016" s="447"/>
      <c r="G1016" s="447"/>
      <c r="J1016" s="447"/>
      <c r="M1016" s="447"/>
      <c r="R1016" s="447"/>
      <c r="S1016"/>
      <c r="T1016"/>
      <c r="U1016" s="447"/>
      <c r="V1016"/>
      <c r="W1016"/>
      <c r="X1016" s="447"/>
      <c r="Y1016"/>
      <c r="Z1016"/>
      <c r="AA1016" s="447"/>
      <c r="AB1016"/>
      <c r="AC1016"/>
      <c r="AE1016"/>
      <c r="AF1016" s="447"/>
      <c r="AG1016"/>
      <c r="AH1016"/>
      <c r="AI1016" s="447"/>
      <c r="AJ1016"/>
      <c r="AK1016"/>
      <c r="AL1016" s="447"/>
      <c r="AM1016"/>
      <c r="AN1016"/>
      <c r="AO1016" s="447"/>
      <c r="AP1016"/>
      <c r="AQ1016"/>
      <c r="AS1016"/>
      <c r="AT1016" s="447"/>
      <c r="AU1016"/>
      <c r="AV1016"/>
      <c r="AW1016" s="447"/>
      <c r="AX1016"/>
      <c r="AY1016"/>
      <c r="AZ1016" s="447"/>
      <c r="BA1016"/>
      <c r="BB1016"/>
      <c r="BC1016" s="447"/>
      <c r="BD1016"/>
      <c r="BE1016"/>
    </row>
    <row r="1017" spans="4:57">
      <c r="D1017" s="447"/>
      <c r="G1017" s="447"/>
      <c r="J1017" s="447"/>
      <c r="M1017" s="447"/>
      <c r="R1017" s="447"/>
      <c r="S1017"/>
      <c r="T1017"/>
      <c r="U1017" s="447"/>
      <c r="V1017"/>
      <c r="W1017"/>
      <c r="X1017" s="447"/>
      <c r="Y1017"/>
      <c r="Z1017"/>
      <c r="AA1017" s="447"/>
      <c r="AB1017"/>
      <c r="AC1017"/>
      <c r="AE1017"/>
      <c r="AF1017" s="447"/>
      <c r="AG1017"/>
      <c r="AH1017"/>
      <c r="AI1017" s="447"/>
      <c r="AJ1017"/>
      <c r="AK1017"/>
      <c r="AL1017" s="447"/>
      <c r="AM1017"/>
      <c r="AN1017"/>
      <c r="AO1017" s="447"/>
      <c r="AP1017"/>
      <c r="AQ1017"/>
      <c r="AS1017"/>
      <c r="AT1017" s="447"/>
      <c r="AU1017"/>
      <c r="AV1017"/>
      <c r="AW1017" s="447"/>
      <c r="AX1017"/>
      <c r="AY1017"/>
      <c r="AZ1017" s="447"/>
      <c r="BA1017"/>
      <c r="BB1017"/>
      <c r="BC1017" s="447"/>
      <c r="BD1017"/>
      <c r="BE1017"/>
    </row>
    <row r="1018" spans="4:57">
      <c r="D1018" s="447"/>
      <c r="G1018" s="447"/>
      <c r="J1018" s="447"/>
      <c r="M1018" s="447"/>
      <c r="R1018" s="447"/>
      <c r="S1018"/>
      <c r="T1018"/>
      <c r="U1018" s="447"/>
      <c r="V1018"/>
      <c r="W1018"/>
      <c r="X1018" s="447"/>
      <c r="Y1018"/>
      <c r="Z1018"/>
      <c r="AA1018" s="447"/>
      <c r="AB1018"/>
      <c r="AC1018"/>
      <c r="AE1018"/>
      <c r="AF1018" s="447"/>
      <c r="AG1018"/>
      <c r="AH1018"/>
      <c r="AI1018" s="447"/>
      <c r="AJ1018"/>
      <c r="AK1018"/>
      <c r="AL1018" s="447"/>
      <c r="AM1018"/>
      <c r="AN1018"/>
      <c r="AO1018" s="447"/>
      <c r="AP1018"/>
      <c r="AQ1018"/>
      <c r="AS1018"/>
      <c r="AT1018" s="447"/>
      <c r="AU1018"/>
      <c r="AV1018"/>
      <c r="AW1018" s="447"/>
      <c r="AX1018"/>
      <c r="AY1018"/>
      <c r="AZ1018" s="447"/>
      <c r="BA1018"/>
      <c r="BB1018"/>
      <c r="BC1018" s="447"/>
      <c r="BD1018"/>
      <c r="BE1018"/>
    </row>
    <row r="1019" spans="4:57">
      <c r="D1019" s="447"/>
      <c r="G1019" s="447"/>
      <c r="J1019" s="447"/>
      <c r="M1019" s="447"/>
      <c r="R1019" s="447"/>
      <c r="S1019"/>
      <c r="T1019"/>
      <c r="U1019" s="447"/>
      <c r="V1019"/>
      <c r="W1019"/>
      <c r="X1019" s="447"/>
      <c r="Y1019"/>
      <c r="Z1019"/>
      <c r="AA1019" s="447"/>
      <c r="AB1019"/>
      <c r="AC1019"/>
      <c r="AE1019"/>
      <c r="AF1019" s="447"/>
      <c r="AG1019"/>
      <c r="AH1019"/>
      <c r="AI1019" s="447"/>
      <c r="AJ1019"/>
      <c r="AK1019"/>
      <c r="AL1019" s="447"/>
      <c r="AM1019"/>
      <c r="AN1019"/>
      <c r="AO1019" s="447"/>
      <c r="AP1019"/>
      <c r="AQ1019"/>
      <c r="AS1019"/>
      <c r="AT1019" s="447"/>
      <c r="AU1019"/>
      <c r="AV1019"/>
      <c r="AW1019" s="447"/>
      <c r="AX1019"/>
      <c r="AY1019"/>
      <c r="AZ1019" s="447"/>
      <c r="BA1019"/>
      <c r="BB1019"/>
      <c r="BC1019" s="447"/>
      <c r="BD1019"/>
      <c r="BE1019"/>
    </row>
    <row r="1020" spans="4:57">
      <c r="D1020" s="447"/>
      <c r="G1020" s="447"/>
      <c r="J1020" s="447"/>
      <c r="M1020" s="447"/>
      <c r="R1020" s="447"/>
      <c r="S1020"/>
      <c r="T1020"/>
      <c r="U1020" s="447"/>
      <c r="V1020"/>
      <c r="W1020"/>
      <c r="X1020" s="447"/>
      <c r="Y1020"/>
      <c r="Z1020"/>
      <c r="AA1020" s="447"/>
      <c r="AB1020"/>
      <c r="AC1020"/>
      <c r="AE1020"/>
      <c r="AF1020" s="447"/>
      <c r="AG1020"/>
      <c r="AH1020"/>
      <c r="AI1020" s="447"/>
      <c r="AJ1020"/>
      <c r="AK1020"/>
      <c r="AL1020" s="447"/>
      <c r="AM1020"/>
      <c r="AN1020"/>
      <c r="AO1020" s="447"/>
      <c r="AP1020"/>
      <c r="AQ1020"/>
      <c r="AS1020"/>
      <c r="AT1020" s="447"/>
      <c r="AU1020"/>
      <c r="AV1020"/>
      <c r="AW1020" s="447"/>
      <c r="AX1020"/>
      <c r="AY1020"/>
      <c r="AZ1020" s="447"/>
      <c r="BA1020"/>
      <c r="BB1020"/>
      <c r="BC1020" s="447"/>
      <c r="BD1020"/>
      <c r="BE1020"/>
    </row>
    <row r="1021" spans="4:57">
      <c r="D1021" s="447"/>
      <c r="G1021" s="447"/>
      <c r="J1021" s="447"/>
      <c r="M1021" s="447"/>
      <c r="R1021" s="447"/>
      <c r="S1021"/>
      <c r="T1021"/>
      <c r="U1021" s="447"/>
      <c r="V1021"/>
      <c r="W1021"/>
      <c r="X1021" s="447"/>
      <c r="Y1021"/>
      <c r="Z1021"/>
      <c r="AA1021" s="447"/>
      <c r="AB1021"/>
      <c r="AC1021"/>
      <c r="AE1021"/>
      <c r="AF1021" s="447"/>
      <c r="AG1021"/>
      <c r="AH1021"/>
      <c r="AI1021" s="447"/>
      <c r="AJ1021"/>
      <c r="AK1021"/>
      <c r="AL1021" s="447"/>
      <c r="AM1021"/>
      <c r="AN1021"/>
      <c r="AO1021" s="447"/>
      <c r="AP1021"/>
      <c r="AQ1021"/>
      <c r="AS1021"/>
      <c r="AT1021" s="447"/>
      <c r="AU1021"/>
      <c r="AV1021"/>
      <c r="AW1021" s="447"/>
      <c r="AX1021"/>
      <c r="AY1021"/>
      <c r="AZ1021" s="447"/>
      <c r="BA1021"/>
      <c r="BB1021"/>
      <c r="BC1021" s="447"/>
      <c r="BD1021"/>
      <c r="BE1021"/>
    </row>
    <row r="1022" spans="4:57">
      <c r="D1022" s="447"/>
      <c r="G1022" s="447"/>
      <c r="J1022" s="447"/>
      <c r="M1022" s="447"/>
      <c r="R1022" s="447"/>
      <c r="S1022"/>
      <c r="T1022"/>
      <c r="U1022" s="447"/>
      <c r="V1022"/>
      <c r="W1022"/>
      <c r="X1022" s="447"/>
      <c r="Y1022"/>
      <c r="Z1022"/>
      <c r="AA1022" s="447"/>
      <c r="AB1022"/>
      <c r="AC1022"/>
      <c r="AE1022"/>
      <c r="AF1022" s="447"/>
      <c r="AG1022"/>
      <c r="AH1022"/>
      <c r="AI1022" s="447"/>
      <c r="AJ1022"/>
      <c r="AK1022"/>
      <c r="AL1022" s="447"/>
      <c r="AM1022"/>
      <c r="AN1022"/>
      <c r="AO1022" s="447"/>
      <c r="AP1022"/>
      <c r="AQ1022"/>
      <c r="AS1022"/>
      <c r="AT1022" s="447"/>
      <c r="AU1022"/>
      <c r="AV1022"/>
      <c r="AW1022" s="447"/>
      <c r="AX1022"/>
      <c r="AY1022"/>
      <c r="AZ1022" s="447"/>
      <c r="BA1022"/>
      <c r="BB1022"/>
      <c r="BC1022" s="447"/>
      <c r="BD1022"/>
      <c r="BE1022"/>
    </row>
    <row r="1023" spans="4:57">
      <c r="D1023" s="447"/>
      <c r="G1023" s="447"/>
      <c r="J1023" s="447"/>
      <c r="M1023" s="447"/>
      <c r="R1023" s="447"/>
      <c r="S1023"/>
      <c r="T1023"/>
      <c r="U1023" s="447"/>
      <c r="V1023"/>
      <c r="W1023"/>
      <c r="X1023" s="447"/>
      <c r="Y1023"/>
      <c r="Z1023"/>
      <c r="AA1023" s="447"/>
      <c r="AB1023"/>
      <c r="AC1023"/>
      <c r="AE1023"/>
      <c r="AF1023" s="447"/>
      <c r="AG1023"/>
      <c r="AH1023"/>
      <c r="AI1023" s="447"/>
      <c r="AJ1023"/>
      <c r="AK1023"/>
      <c r="AL1023" s="447"/>
      <c r="AM1023"/>
      <c r="AN1023"/>
      <c r="AO1023" s="447"/>
      <c r="AP1023"/>
      <c r="AQ1023"/>
      <c r="AS1023"/>
      <c r="AT1023" s="447"/>
      <c r="AU1023"/>
      <c r="AV1023"/>
      <c r="AW1023" s="447"/>
      <c r="AX1023"/>
      <c r="AY1023"/>
      <c r="AZ1023" s="447"/>
      <c r="BA1023"/>
      <c r="BB1023"/>
      <c r="BC1023" s="447"/>
      <c r="BD1023"/>
      <c r="BE1023"/>
    </row>
    <row r="1024" spans="4:57">
      <c r="D1024" s="447"/>
      <c r="G1024" s="447"/>
      <c r="J1024" s="447"/>
      <c r="M1024" s="447"/>
      <c r="R1024" s="447"/>
      <c r="S1024"/>
      <c r="T1024"/>
      <c r="U1024" s="447"/>
      <c r="V1024"/>
      <c r="W1024"/>
      <c r="X1024" s="447"/>
      <c r="Y1024"/>
      <c r="Z1024"/>
      <c r="AA1024" s="447"/>
      <c r="AB1024"/>
      <c r="AC1024"/>
      <c r="AE1024"/>
      <c r="AF1024" s="447"/>
      <c r="AG1024"/>
      <c r="AH1024"/>
      <c r="AI1024" s="447"/>
      <c r="AJ1024"/>
      <c r="AK1024"/>
      <c r="AL1024" s="447"/>
      <c r="AM1024"/>
      <c r="AN1024"/>
      <c r="AO1024" s="447"/>
      <c r="AP1024"/>
      <c r="AQ1024"/>
      <c r="AS1024"/>
      <c r="AT1024" s="447"/>
      <c r="AU1024"/>
      <c r="AV1024"/>
      <c r="AW1024" s="447"/>
      <c r="AX1024"/>
      <c r="AY1024"/>
      <c r="AZ1024" s="447"/>
      <c r="BA1024"/>
      <c r="BB1024"/>
      <c r="BC1024" s="447"/>
      <c r="BD1024"/>
      <c r="BE1024"/>
    </row>
    <row r="1025" spans="4:57">
      <c r="D1025" s="447"/>
      <c r="G1025" s="447"/>
      <c r="J1025" s="447"/>
      <c r="M1025" s="447"/>
      <c r="R1025" s="447"/>
      <c r="S1025"/>
      <c r="T1025"/>
      <c r="U1025" s="447"/>
      <c r="V1025"/>
      <c r="W1025"/>
      <c r="X1025" s="447"/>
      <c r="Y1025"/>
      <c r="Z1025"/>
      <c r="AA1025" s="447"/>
      <c r="AB1025"/>
      <c r="AC1025"/>
      <c r="AE1025"/>
      <c r="AF1025" s="447"/>
      <c r="AG1025"/>
      <c r="AH1025"/>
      <c r="AI1025" s="447"/>
      <c r="AJ1025"/>
      <c r="AK1025"/>
      <c r="AL1025" s="447"/>
      <c r="AM1025"/>
      <c r="AN1025"/>
      <c r="AO1025" s="447"/>
      <c r="AP1025"/>
      <c r="AQ1025"/>
      <c r="AS1025"/>
      <c r="AT1025" s="447"/>
      <c r="AU1025"/>
      <c r="AV1025"/>
      <c r="AW1025" s="447"/>
      <c r="AX1025"/>
      <c r="AY1025"/>
      <c r="AZ1025" s="447"/>
      <c r="BA1025"/>
      <c r="BB1025"/>
      <c r="BC1025" s="447"/>
      <c r="BD1025"/>
      <c r="BE1025"/>
    </row>
    <row r="1026" spans="4:57">
      <c r="D1026" s="447"/>
      <c r="G1026" s="447"/>
      <c r="J1026" s="447"/>
      <c r="M1026" s="447"/>
      <c r="R1026" s="447"/>
      <c r="S1026"/>
      <c r="T1026"/>
      <c r="U1026" s="447"/>
      <c r="V1026"/>
      <c r="W1026"/>
      <c r="X1026" s="447"/>
      <c r="Y1026"/>
      <c r="Z1026"/>
      <c r="AA1026" s="447"/>
      <c r="AB1026"/>
      <c r="AC1026"/>
      <c r="AE1026"/>
      <c r="AF1026" s="447"/>
      <c r="AG1026"/>
      <c r="AH1026"/>
      <c r="AI1026" s="447"/>
      <c r="AJ1026"/>
      <c r="AK1026"/>
      <c r="AL1026" s="447"/>
      <c r="AM1026"/>
      <c r="AN1026"/>
      <c r="AO1026" s="447"/>
      <c r="AP1026"/>
      <c r="AQ1026"/>
      <c r="AS1026"/>
      <c r="AT1026" s="447"/>
      <c r="AU1026"/>
      <c r="AV1026"/>
      <c r="AW1026" s="447"/>
      <c r="AX1026"/>
      <c r="AY1026"/>
      <c r="AZ1026" s="447"/>
      <c r="BA1026"/>
      <c r="BB1026"/>
      <c r="BC1026" s="447"/>
      <c r="BD1026"/>
      <c r="BE1026"/>
    </row>
    <row r="1027" spans="4:57">
      <c r="D1027" s="447"/>
      <c r="G1027" s="447"/>
      <c r="J1027" s="447"/>
      <c r="M1027" s="447"/>
      <c r="R1027" s="447"/>
      <c r="S1027"/>
      <c r="T1027"/>
      <c r="U1027" s="447"/>
      <c r="V1027"/>
      <c r="W1027"/>
      <c r="X1027" s="447"/>
      <c r="Y1027"/>
      <c r="Z1027"/>
      <c r="AA1027" s="447"/>
      <c r="AB1027"/>
      <c r="AC1027"/>
      <c r="AE1027"/>
      <c r="AF1027" s="447"/>
      <c r="AG1027"/>
      <c r="AH1027"/>
      <c r="AI1027" s="447"/>
      <c r="AJ1027"/>
      <c r="AK1027"/>
      <c r="AL1027" s="447"/>
      <c r="AM1027"/>
      <c r="AN1027"/>
      <c r="AO1027" s="447"/>
      <c r="AP1027"/>
      <c r="AQ1027"/>
      <c r="AS1027"/>
      <c r="AT1027" s="447"/>
      <c r="AU1027"/>
      <c r="AV1027"/>
      <c r="AW1027" s="447"/>
      <c r="AX1027"/>
      <c r="AY1027"/>
      <c r="AZ1027" s="447"/>
      <c r="BA1027"/>
      <c r="BB1027"/>
      <c r="BC1027" s="447"/>
      <c r="BD1027"/>
      <c r="BE1027"/>
    </row>
    <row r="1028" spans="4:57">
      <c r="D1028" s="447"/>
      <c r="G1028" s="447"/>
      <c r="J1028" s="447"/>
      <c r="M1028" s="447"/>
      <c r="R1028" s="447"/>
      <c r="S1028"/>
      <c r="T1028"/>
      <c r="U1028" s="447"/>
      <c r="V1028"/>
      <c r="W1028"/>
      <c r="X1028" s="447"/>
      <c r="Y1028"/>
      <c r="Z1028"/>
      <c r="AA1028" s="447"/>
      <c r="AB1028"/>
      <c r="AC1028"/>
      <c r="AE1028"/>
      <c r="AF1028" s="447"/>
      <c r="AG1028"/>
      <c r="AH1028"/>
      <c r="AI1028" s="447"/>
      <c r="AJ1028"/>
      <c r="AK1028"/>
      <c r="AL1028" s="447"/>
      <c r="AM1028"/>
      <c r="AN1028"/>
      <c r="AO1028" s="447"/>
      <c r="AP1028"/>
      <c r="AQ1028"/>
      <c r="AS1028"/>
      <c r="AT1028" s="447"/>
      <c r="AU1028"/>
      <c r="AV1028"/>
      <c r="AW1028" s="447"/>
      <c r="AX1028"/>
      <c r="AY1028"/>
      <c r="AZ1028" s="447"/>
      <c r="BA1028"/>
      <c r="BB1028"/>
      <c r="BC1028" s="447"/>
      <c r="BD1028"/>
      <c r="BE1028"/>
    </row>
    <row r="1029" spans="4:57">
      <c r="D1029" s="447"/>
      <c r="G1029" s="447"/>
      <c r="J1029" s="447"/>
      <c r="M1029" s="447"/>
      <c r="R1029" s="447"/>
      <c r="S1029"/>
      <c r="T1029"/>
      <c r="U1029" s="447"/>
      <c r="V1029"/>
      <c r="W1029"/>
      <c r="X1029" s="447"/>
      <c r="Y1029"/>
      <c r="Z1029"/>
      <c r="AA1029" s="447"/>
      <c r="AB1029"/>
      <c r="AC1029"/>
      <c r="AE1029"/>
      <c r="AF1029" s="447"/>
      <c r="AG1029"/>
      <c r="AH1029"/>
      <c r="AI1029" s="447"/>
      <c r="AJ1029"/>
      <c r="AK1029"/>
      <c r="AL1029" s="447"/>
      <c r="AM1029"/>
      <c r="AN1029"/>
      <c r="AO1029" s="447"/>
      <c r="AP1029"/>
      <c r="AQ1029"/>
      <c r="AS1029"/>
      <c r="AT1029" s="447"/>
      <c r="AU1029"/>
      <c r="AV1029"/>
      <c r="AW1029" s="447"/>
      <c r="AX1029"/>
      <c r="AY1029"/>
      <c r="AZ1029" s="447"/>
      <c r="BA1029"/>
      <c r="BB1029"/>
      <c r="BC1029" s="447"/>
      <c r="BD1029"/>
      <c r="BE1029"/>
    </row>
    <row r="1030" spans="4:57">
      <c r="D1030" s="447"/>
      <c r="G1030" s="447"/>
      <c r="J1030" s="447"/>
      <c r="M1030" s="447"/>
      <c r="R1030" s="447"/>
      <c r="S1030"/>
      <c r="T1030"/>
      <c r="U1030" s="447"/>
      <c r="V1030"/>
      <c r="W1030"/>
      <c r="X1030" s="447"/>
      <c r="Y1030"/>
      <c r="Z1030"/>
      <c r="AA1030" s="447"/>
      <c r="AB1030"/>
      <c r="AC1030"/>
      <c r="AE1030"/>
      <c r="AF1030" s="447"/>
      <c r="AG1030"/>
      <c r="AH1030"/>
      <c r="AI1030" s="447"/>
      <c r="AJ1030"/>
      <c r="AK1030"/>
      <c r="AL1030" s="447"/>
      <c r="AM1030"/>
      <c r="AN1030"/>
      <c r="AO1030" s="447"/>
      <c r="AP1030"/>
      <c r="AQ1030"/>
      <c r="AS1030"/>
      <c r="AT1030" s="447"/>
      <c r="AU1030"/>
      <c r="AV1030"/>
      <c r="AW1030" s="447"/>
      <c r="AX1030"/>
      <c r="AY1030"/>
      <c r="AZ1030" s="447"/>
      <c r="BA1030"/>
      <c r="BB1030"/>
      <c r="BC1030" s="447"/>
      <c r="BD1030"/>
      <c r="BE1030"/>
    </row>
    <row r="1031" spans="4:57">
      <c r="D1031" s="447"/>
      <c r="G1031" s="447"/>
      <c r="J1031" s="447"/>
      <c r="M1031" s="447"/>
      <c r="R1031" s="447"/>
      <c r="S1031"/>
      <c r="T1031"/>
      <c r="U1031" s="447"/>
      <c r="V1031"/>
      <c r="W1031"/>
      <c r="X1031" s="447"/>
      <c r="Y1031"/>
      <c r="Z1031"/>
      <c r="AA1031" s="447"/>
      <c r="AB1031"/>
      <c r="AC1031"/>
      <c r="AE1031"/>
      <c r="AF1031" s="447"/>
      <c r="AG1031"/>
      <c r="AH1031"/>
      <c r="AI1031" s="447"/>
      <c r="AJ1031"/>
      <c r="AK1031"/>
      <c r="AL1031" s="447"/>
      <c r="AM1031"/>
      <c r="AN1031"/>
      <c r="AO1031" s="447"/>
      <c r="AP1031"/>
      <c r="AQ1031"/>
      <c r="AS1031"/>
      <c r="AT1031" s="447"/>
      <c r="AU1031"/>
      <c r="AV1031"/>
      <c r="AW1031" s="447"/>
      <c r="AX1031"/>
      <c r="AY1031"/>
      <c r="AZ1031" s="447"/>
      <c r="BA1031"/>
      <c r="BB1031"/>
      <c r="BC1031" s="447"/>
      <c r="BD1031"/>
      <c r="BE1031"/>
    </row>
    <row r="1032" spans="4:57">
      <c r="D1032" s="447"/>
      <c r="G1032" s="447"/>
      <c r="J1032" s="447"/>
      <c r="M1032" s="447"/>
      <c r="R1032" s="447"/>
      <c r="S1032"/>
      <c r="T1032"/>
      <c r="U1032" s="447"/>
      <c r="V1032"/>
      <c r="W1032"/>
      <c r="X1032" s="447"/>
      <c r="Y1032"/>
      <c r="Z1032"/>
      <c r="AA1032" s="447"/>
      <c r="AB1032"/>
      <c r="AC1032"/>
      <c r="AE1032"/>
      <c r="AF1032" s="447"/>
      <c r="AG1032"/>
      <c r="AH1032"/>
      <c r="AI1032" s="447"/>
      <c r="AJ1032"/>
      <c r="AK1032"/>
      <c r="AL1032" s="447"/>
      <c r="AM1032"/>
      <c r="AN1032"/>
      <c r="AO1032" s="447"/>
      <c r="AP1032"/>
      <c r="AQ1032"/>
      <c r="AS1032"/>
      <c r="AT1032" s="447"/>
      <c r="AU1032"/>
      <c r="AV1032"/>
      <c r="AW1032" s="447"/>
      <c r="AX1032"/>
      <c r="AY1032"/>
      <c r="AZ1032" s="447"/>
      <c r="BA1032"/>
      <c r="BB1032"/>
      <c r="BC1032" s="447"/>
      <c r="BD1032"/>
      <c r="BE1032"/>
    </row>
    <row r="1033" spans="4:57">
      <c r="D1033" s="447"/>
      <c r="G1033" s="447"/>
      <c r="J1033" s="447"/>
      <c r="M1033" s="447"/>
      <c r="R1033" s="447"/>
      <c r="S1033"/>
      <c r="T1033"/>
      <c r="U1033" s="447"/>
      <c r="V1033"/>
      <c r="W1033"/>
      <c r="X1033" s="447"/>
      <c r="Y1033"/>
      <c r="Z1033"/>
      <c r="AA1033" s="447"/>
      <c r="AB1033"/>
      <c r="AC1033"/>
      <c r="AE1033"/>
      <c r="AF1033" s="447"/>
      <c r="AG1033"/>
      <c r="AH1033"/>
      <c r="AI1033" s="447"/>
      <c r="AJ1033"/>
      <c r="AK1033"/>
      <c r="AL1033" s="447"/>
      <c r="AM1033"/>
      <c r="AN1033"/>
      <c r="AO1033" s="447"/>
      <c r="AP1033"/>
      <c r="AQ1033"/>
      <c r="AS1033"/>
      <c r="AT1033" s="447"/>
      <c r="AU1033"/>
      <c r="AV1033"/>
      <c r="AW1033" s="447"/>
      <c r="AX1033"/>
      <c r="AY1033"/>
      <c r="AZ1033" s="447"/>
      <c r="BA1033"/>
      <c r="BB1033"/>
      <c r="BC1033" s="447"/>
      <c r="BD1033"/>
      <c r="BE1033"/>
    </row>
    <row r="1034" spans="4:57">
      <c r="D1034" s="447"/>
      <c r="G1034" s="447"/>
      <c r="J1034" s="447"/>
      <c r="M1034" s="447"/>
      <c r="R1034" s="447"/>
      <c r="S1034"/>
      <c r="T1034"/>
      <c r="U1034" s="447"/>
      <c r="V1034"/>
      <c r="W1034"/>
      <c r="X1034" s="447"/>
      <c r="Y1034"/>
      <c r="Z1034"/>
      <c r="AA1034" s="447"/>
      <c r="AB1034"/>
      <c r="AC1034"/>
      <c r="AE1034"/>
      <c r="AF1034" s="447"/>
      <c r="AG1034"/>
      <c r="AH1034"/>
      <c r="AI1034" s="447"/>
      <c r="AJ1034"/>
      <c r="AK1034"/>
      <c r="AL1034" s="447"/>
      <c r="AM1034"/>
      <c r="AN1034"/>
      <c r="AO1034" s="447"/>
      <c r="AP1034"/>
      <c r="AQ1034"/>
      <c r="AS1034"/>
      <c r="AT1034" s="447"/>
      <c r="AU1034"/>
      <c r="AV1034"/>
      <c r="AW1034" s="447"/>
      <c r="AX1034"/>
      <c r="AY1034"/>
      <c r="AZ1034" s="447"/>
      <c r="BA1034"/>
      <c r="BB1034"/>
      <c r="BC1034" s="447"/>
      <c r="BD1034"/>
      <c r="BE1034"/>
    </row>
    <row r="1035" spans="4:57">
      <c r="D1035" s="447"/>
      <c r="G1035" s="447"/>
      <c r="J1035" s="447"/>
      <c r="M1035" s="447"/>
      <c r="R1035" s="447"/>
      <c r="S1035"/>
      <c r="T1035"/>
      <c r="U1035" s="447"/>
      <c r="V1035"/>
      <c r="W1035"/>
      <c r="X1035" s="447"/>
      <c r="Y1035"/>
      <c r="Z1035"/>
      <c r="AA1035" s="447"/>
      <c r="AB1035"/>
      <c r="AC1035"/>
      <c r="AE1035"/>
      <c r="AF1035" s="447"/>
      <c r="AG1035"/>
      <c r="AH1035"/>
      <c r="AI1035" s="447"/>
      <c r="AJ1035"/>
      <c r="AK1035"/>
      <c r="AL1035" s="447"/>
      <c r="AM1035"/>
      <c r="AN1035"/>
      <c r="AO1035" s="447"/>
      <c r="AP1035"/>
      <c r="AQ1035"/>
      <c r="AS1035"/>
      <c r="AT1035" s="447"/>
      <c r="AU1035"/>
      <c r="AV1035"/>
      <c r="AW1035" s="447"/>
      <c r="AX1035"/>
      <c r="AY1035"/>
      <c r="AZ1035" s="447"/>
      <c r="BA1035"/>
      <c r="BB1035"/>
      <c r="BC1035" s="447"/>
      <c r="BD1035"/>
      <c r="BE1035"/>
    </row>
    <row r="1036" spans="4:57">
      <c r="D1036" s="447"/>
      <c r="G1036" s="447"/>
      <c r="J1036" s="447"/>
      <c r="M1036" s="447"/>
      <c r="R1036" s="447"/>
      <c r="S1036"/>
      <c r="T1036"/>
      <c r="U1036" s="447"/>
      <c r="V1036"/>
      <c r="W1036"/>
      <c r="X1036" s="447"/>
      <c r="Y1036"/>
      <c r="Z1036"/>
      <c r="AA1036" s="447"/>
      <c r="AB1036"/>
      <c r="AC1036"/>
      <c r="AE1036"/>
      <c r="AF1036" s="447"/>
      <c r="AG1036"/>
      <c r="AH1036"/>
      <c r="AI1036" s="447"/>
      <c r="AJ1036"/>
      <c r="AK1036"/>
      <c r="AL1036" s="447"/>
      <c r="AM1036"/>
      <c r="AN1036"/>
      <c r="AO1036" s="447"/>
      <c r="AP1036"/>
      <c r="AQ1036"/>
      <c r="AS1036"/>
      <c r="AT1036" s="447"/>
      <c r="AU1036"/>
      <c r="AV1036"/>
      <c r="AW1036" s="447"/>
      <c r="AX1036"/>
      <c r="AY1036"/>
      <c r="AZ1036" s="447"/>
      <c r="BA1036"/>
      <c r="BB1036"/>
      <c r="BC1036" s="447"/>
      <c r="BD1036"/>
      <c r="BE1036"/>
    </row>
    <row r="1037" spans="4:57">
      <c r="D1037" s="447"/>
      <c r="G1037" s="447"/>
      <c r="J1037" s="447"/>
      <c r="M1037" s="447"/>
      <c r="R1037" s="447"/>
      <c r="S1037"/>
      <c r="T1037"/>
      <c r="U1037" s="447"/>
      <c r="V1037"/>
      <c r="W1037"/>
      <c r="X1037" s="447"/>
      <c r="Y1037"/>
      <c r="Z1037"/>
      <c r="AA1037" s="447"/>
      <c r="AB1037"/>
      <c r="AC1037"/>
      <c r="AE1037"/>
      <c r="AF1037" s="447"/>
      <c r="AG1037"/>
      <c r="AH1037"/>
      <c r="AI1037" s="447"/>
      <c r="AJ1037"/>
      <c r="AK1037"/>
      <c r="AL1037" s="447"/>
      <c r="AM1037"/>
      <c r="AN1037"/>
      <c r="AO1037" s="447"/>
      <c r="AP1037"/>
      <c r="AQ1037"/>
      <c r="AS1037"/>
      <c r="AT1037" s="447"/>
      <c r="AU1037"/>
      <c r="AV1037"/>
      <c r="AW1037" s="447"/>
      <c r="AX1037"/>
      <c r="AY1037"/>
      <c r="AZ1037" s="447"/>
      <c r="BA1037"/>
      <c r="BB1037"/>
      <c r="BC1037" s="447"/>
      <c r="BD1037"/>
      <c r="BE1037"/>
    </row>
    <row r="1038" spans="4:57">
      <c r="D1038" s="447"/>
      <c r="G1038" s="447"/>
      <c r="J1038" s="447"/>
      <c r="M1038" s="447"/>
      <c r="R1038" s="447"/>
      <c r="S1038"/>
      <c r="T1038"/>
      <c r="U1038" s="447"/>
      <c r="V1038"/>
      <c r="W1038"/>
      <c r="X1038" s="447"/>
      <c r="Y1038"/>
      <c r="Z1038"/>
      <c r="AA1038" s="447"/>
      <c r="AB1038"/>
      <c r="AC1038"/>
      <c r="AE1038"/>
      <c r="AF1038" s="447"/>
      <c r="AG1038"/>
      <c r="AH1038"/>
      <c r="AI1038" s="447"/>
      <c r="AJ1038"/>
      <c r="AK1038"/>
      <c r="AL1038" s="447"/>
      <c r="AM1038"/>
      <c r="AN1038"/>
      <c r="AO1038" s="447"/>
      <c r="AP1038"/>
      <c r="AQ1038"/>
      <c r="AS1038"/>
      <c r="AT1038" s="447"/>
      <c r="AU1038"/>
      <c r="AV1038"/>
      <c r="AW1038" s="447"/>
      <c r="AX1038"/>
      <c r="AY1038"/>
      <c r="AZ1038" s="447"/>
      <c r="BA1038"/>
      <c r="BB1038"/>
      <c r="BC1038" s="447"/>
      <c r="BD1038"/>
      <c r="BE1038"/>
    </row>
    <row r="1039" spans="4:57">
      <c r="D1039" s="447"/>
      <c r="G1039" s="447"/>
      <c r="J1039" s="447"/>
      <c r="M1039" s="447"/>
      <c r="R1039" s="447"/>
      <c r="S1039"/>
      <c r="T1039"/>
      <c r="U1039" s="447"/>
      <c r="V1039"/>
      <c r="W1039"/>
      <c r="X1039" s="447"/>
      <c r="Y1039"/>
      <c r="Z1039"/>
      <c r="AA1039" s="447"/>
      <c r="AB1039"/>
      <c r="AC1039"/>
      <c r="AE1039"/>
      <c r="AF1039" s="447"/>
      <c r="AG1039"/>
      <c r="AH1039"/>
      <c r="AI1039" s="447"/>
      <c r="AJ1039"/>
      <c r="AK1039"/>
      <c r="AL1039" s="447"/>
      <c r="AM1039"/>
      <c r="AN1039"/>
      <c r="AO1039" s="447"/>
      <c r="AP1039"/>
      <c r="AQ1039"/>
      <c r="AS1039"/>
      <c r="AT1039" s="447"/>
      <c r="AU1039"/>
      <c r="AV1039"/>
      <c r="AW1039" s="447"/>
      <c r="AX1039"/>
      <c r="AY1039"/>
      <c r="AZ1039" s="447"/>
      <c r="BA1039"/>
      <c r="BB1039"/>
      <c r="BC1039" s="447"/>
      <c r="BD1039"/>
      <c r="BE1039"/>
    </row>
    <row r="1040" spans="4:57">
      <c r="D1040" s="447"/>
      <c r="G1040" s="447"/>
      <c r="J1040" s="447"/>
      <c r="M1040" s="447"/>
      <c r="R1040" s="447"/>
      <c r="S1040"/>
      <c r="T1040"/>
      <c r="U1040" s="447"/>
      <c r="V1040"/>
      <c r="W1040"/>
      <c r="X1040" s="447"/>
      <c r="Y1040"/>
      <c r="Z1040"/>
      <c r="AA1040" s="447"/>
      <c r="AB1040"/>
      <c r="AC1040"/>
      <c r="AE1040"/>
      <c r="AF1040" s="447"/>
      <c r="AG1040"/>
      <c r="AH1040"/>
      <c r="AI1040" s="447"/>
      <c r="AJ1040"/>
      <c r="AK1040"/>
      <c r="AL1040" s="447"/>
      <c r="AM1040"/>
      <c r="AN1040"/>
      <c r="AO1040" s="447"/>
      <c r="AP1040"/>
      <c r="AQ1040"/>
      <c r="AS1040"/>
      <c r="AT1040" s="447"/>
      <c r="AU1040"/>
      <c r="AV1040"/>
      <c r="AW1040" s="447"/>
      <c r="AX1040"/>
      <c r="AY1040"/>
      <c r="AZ1040" s="447"/>
      <c r="BA1040"/>
      <c r="BB1040"/>
      <c r="BC1040" s="447"/>
      <c r="BD1040"/>
      <c r="BE1040"/>
    </row>
    <row r="1041" spans="4:57">
      <c r="D1041" s="447"/>
      <c r="G1041" s="447"/>
      <c r="J1041" s="447"/>
      <c r="M1041" s="447"/>
      <c r="R1041" s="447"/>
      <c r="S1041"/>
      <c r="T1041"/>
      <c r="U1041" s="447"/>
      <c r="V1041"/>
      <c r="W1041"/>
      <c r="X1041" s="447"/>
      <c r="Y1041"/>
      <c r="Z1041"/>
      <c r="AA1041" s="447"/>
      <c r="AB1041"/>
      <c r="AC1041"/>
      <c r="AE1041"/>
      <c r="AF1041" s="447"/>
      <c r="AG1041"/>
      <c r="AH1041"/>
      <c r="AI1041" s="447"/>
      <c r="AJ1041"/>
      <c r="AK1041"/>
      <c r="AL1041" s="447"/>
      <c r="AM1041"/>
      <c r="AN1041"/>
      <c r="AO1041" s="447"/>
      <c r="AP1041"/>
      <c r="AQ1041"/>
      <c r="AS1041"/>
      <c r="AT1041" s="447"/>
      <c r="AU1041"/>
      <c r="AV1041"/>
      <c r="AW1041" s="447"/>
      <c r="AX1041"/>
      <c r="AY1041"/>
      <c r="AZ1041" s="447"/>
      <c r="BA1041"/>
      <c r="BB1041"/>
      <c r="BC1041" s="447"/>
      <c r="BD1041"/>
      <c r="BE1041"/>
    </row>
    <row r="1042" spans="4:57">
      <c r="D1042" s="447"/>
      <c r="G1042" s="447"/>
      <c r="J1042" s="447"/>
      <c r="M1042" s="447"/>
      <c r="R1042" s="447"/>
      <c r="S1042"/>
      <c r="T1042"/>
      <c r="U1042" s="447"/>
      <c r="V1042"/>
      <c r="W1042"/>
      <c r="X1042" s="447"/>
      <c r="Y1042"/>
      <c r="Z1042"/>
      <c r="AA1042" s="447"/>
      <c r="AB1042"/>
      <c r="AC1042"/>
      <c r="AE1042"/>
      <c r="AF1042" s="447"/>
      <c r="AG1042"/>
      <c r="AH1042"/>
      <c r="AI1042" s="447"/>
      <c r="AJ1042"/>
      <c r="AK1042"/>
      <c r="AL1042" s="447"/>
      <c r="AM1042"/>
      <c r="AN1042"/>
      <c r="AO1042" s="447"/>
      <c r="AP1042"/>
      <c r="AQ1042"/>
      <c r="AS1042"/>
      <c r="AT1042" s="447"/>
      <c r="AU1042"/>
      <c r="AV1042"/>
      <c r="AW1042" s="447"/>
      <c r="AX1042"/>
      <c r="AY1042"/>
      <c r="AZ1042" s="447"/>
      <c r="BA1042"/>
      <c r="BB1042"/>
      <c r="BC1042" s="447"/>
      <c r="BD1042"/>
      <c r="BE1042"/>
    </row>
    <row r="1043" spans="4:57">
      <c r="D1043" s="447"/>
      <c r="G1043" s="447"/>
      <c r="J1043" s="447"/>
      <c r="M1043" s="447"/>
      <c r="R1043" s="447"/>
      <c r="S1043"/>
      <c r="T1043"/>
      <c r="U1043" s="447"/>
      <c r="V1043"/>
      <c r="W1043"/>
      <c r="X1043" s="447"/>
      <c r="Y1043"/>
      <c r="Z1043"/>
      <c r="AA1043" s="447"/>
      <c r="AB1043"/>
      <c r="AC1043"/>
      <c r="AE1043"/>
      <c r="AF1043" s="447"/>
      <c r="AG1043"/>
      <c r="AH1043"/>
      <c r="AI1043" s="447"/>
      <c r="AJ1043"/>
      <c r="AK1043"/>
      <c r="AL1043" s="447"/>
      <c r="AM1043"/>
      <c r="AN1043"/>
      <c r="AO1043" s="447"/>
      <c r="AP1043"/>
      <c r="AQ1043"/>
      <c r="AS1043"/>
      <c r="AT1043" s="447"/>
      <c r="AU1043"/>
      <c r="AV1043"/>
      <c r="AW1043" s="447"/>
      <c r="AX1043"/>
      <c r="AY1043"/>
      <c r="AZ1043" s="447"/>
      <c r="BA1043"/>
      <c r="BB1043"/>
      <c r="BC1043" s="447"/>
      <c r="BD1043"/>
      <c r="BE1043"/>
    </row>
    <row r="1044" spans="4:57">
      <c r="D1044" s="447"/>
      <c r="G1044" s="447"/>
      <c r="J1044" s="447"/>
      <c r="M1044" s="447"/>
      <c r="R1044" s="447"/>
      <c r="S1044"/>
      <c r="T1044"/>
      <c r="U1044" s="447"/>
      <c r="V1044"/>
      <c r="W1044"/>
      <c r="X1044" s="447"/>
      <c r="Y1044"/>
      <c r="Z1044"/>
      <c r="AA1044" s="447"/>
      <c r="AB1044"/>
      <c r="AC1044"/>
      <c r="AE1044"/>
      <c r="AF1044" s="447"/>
      <c r="AG1044"/>
      <c r="AH1044"/>
      <c r="AI1044" s="447"/>
      <c r="AJ1044"/>
      <c r="AK1044"/>
      <c r="AL1044" s="447"/>
      <c r="AM1044"/>
      <c r="AN1044"/>
      <c r="AO1044" s="447"/>
      <c r="AP1044"/>
      <c r="AQ1044"/>
      <c r="AS1044"/>
      <c r="AT1044" s="447"/>
      <c r="AU1044"/>
      <c r="AV1044"/>
      <c r="AW1044" s="447"/>
      <c r="AX1044"/>
      <c r="AY1044"/>
      <c r="AZ1044" s="447"/>
      <c r="BA1044"/>
      <c r="BB1044"/>
      <c r="BC1044" s="447"/>
      <c r="BD1044"/>
      <c r="BE1044"/>
    </row>
    <row r="1045" spans="4:57">
      <c r="D1045" s="447"/>
      <c r="G1045" s="447"/>
      <c r="J1045" s="447"/>
      <c r="M1045" s="447"/>
      <c r="R1045" s="447"/>
      <c r="S1045"/>
      <c r="T1045"/>
      <c r="U1045" s="447"/>
      <c r="V1045"/>
      <c r="W1045"/>
      <c r="X1045" s="447"/>
      <c r="Y1045"/>
      <c r="Z1045"/>
      <c r="AA1045" s="447"/>
      <c r="AB1045"/>
      <c r="AC1045"/>
      <c r="AE1045"/>
      <c r="AF1045" s="447"/>
      <c r="AG1045"/>
      <c r="AH1045"/>
      <c r="AI1045" s="447"/>
      <c r="AJ1045"/>
      <c r="AK1045"/>
      <c r="AL1045" s="447"/>
      <c r="AM1045"/>
      <c r="AN1045"/>
      <c r="AO1045" s="447"/>
      <c r="AP1045"/>
      <c r="AQ1045"/>
      <c r="AS1045"/>
      <c r="AT1045" s="447"/>
      <c r="AU1045"/>
      <c r="AV1045"/>
      <c r="AW1045" s="447"/>
      <c r="AX1045"/>
      <c r="AY1045"/>
      <c r="AZ1045" s="447"/>
      <c r="BA1045"/>
      <c r="BB1045"/>
      <c r="BC1045" s="447"/>
      <c r="BD1045"/>
      <c r="BE1045"/>
    </row>
    <row r="1046" spans="4:57">
      <c r="D1046" s="447"/>
      <c r="G1046" s="447"/>
      <c r="J1046" s="447"/>
      <c r="M1046" s="447"/>
      <c r="R1046" s="447"/>
      <c r="S1046"/>
      <c r="T1046"/>
      <c r="U1046" s="447"/>
      <c r="V1046"/>
      <c r="W1046"/>
      <c r="X1046" s="447"/>
      <c r="Y1046"/>
      <c r="Z1046"/>
      <c r="AA1046" s="447"/>
      <c r="AB1046"/>
      <c r="AC1046"/>
      <c r="AE1046"/>
      <c r="AF1046" s="447"/>
      <c r="AG1046"/>
      <c r="AH1046"/>
      <c r="AI1046" s="447"/>
      <c r="AJ1046"/>
      <c r="AK1046"/>
      <c r="AL1046" s="447"/>
      <c r="AM1046"/>
      <c r="AN1046"/>
      <c r="AO1046" s="447"/>
      <c r="AP1046"/>
      <c r="AQ1046"/>
      <c r="AS1046"/>
      <c r="AT1046" s="447"/>
      <c r="AU1046"/>
      <c r="AV1046"/>
      <c r="AW1046" s="447"/>
      <c r="AX1046"/>
      <c r="AY1046"/>
      <c r="AZ1046" s="447"/>
      <c r="BA1046"/>
      <c r="BB1046"/>
      <c r="BC1046" s="447"/>
      <c r="BD1046"/>
      <c r="BE1046"/>
    </row>
    <row r="1047" spans="4:57">
      <c r="D1047" s="447"/>
      <c r="G1047" s="447"/>
      <c r="J1047" s="447"/>
      <c r="M1047" s="447"/>
      <c r="R1047" s="447"/>
      <c r="S1047"/>
      <c r="T1047"/>
      <c r="U1047" s="447"/>
      <c r="V1047"/>
      <c r="W1047"/>
      <c r="X1047" s="447"/>
      <c r="Y1047"/>
      <c r="Z1047"/>
      <c r="AA1047" s="447"/>
      <c r="AB1047"/>
      <c r="AC1047"/>
      <c r="AE1047"/>
      <c r="AF1047" s="447"/>
      <c r="AG1047"/>
      <c r="AH1047"/>
      <c r="AI1047" s="447"/>
      <c r="AJ1047"/>
      <c r="AK1047"/>
      <c r="AL1047" s="447"/>
      <c r="AM1047"/>
      <c r="AN1047"/>
      <c r="AO1047" s="447"/>
      <c r="AP1047"/>
      <c r="AQ1047"/>
      <c r="AS1047"/>
      <c r="AT1047" s="447"/>
      <c r="AU1047"/>
      <c r="AV1047"/>
      <c r="AW1047" s="447"/>
      <c r="AX1047"/>
      <c r="AY1047"/>
      <c r="AZ1047" s="447"/>
      <c r="BA1047"/>
      <c r="BB1047"/>
      <c r="BC1047" s="447"/>
      <c r="BD1047"/>
      <c r="BE1047"/>
    </row>
    <row r="1048" spans="4:57">
      <c r="D1048" s="447"/>
      <c r="G1048" s="447"/>
      <c r="J1048" s="447"/>
      <c r="M1048" s="447"/>
      <c r="R1048" s="447"/>
      <c r="S1048"/>
      <c r="T1048"/>
      <c r="U1048" s="447"/>
      <c r="V1048"/>
      <c r="W1048"/>
      <c r="X1048" s="447"/>
      <c r="Y1048"/>
      <c r="Z1048"/>
      <c r="AA1048" s="447"/>
      <c r="AB1048"/>
      <c r="AC1048"/>
      <c r="AE1048"/>
      <c r="AF1048" s="447"/>
      <c r="AG1048"/>
      <c r="AH1048"/>
      <c r="AI1048" s="447"/>
      <c r="AJ1048"/>
      <c r="AK1048"/>
      <c r="AL1048" s="447"/>
      <c r="AM1048"/>
      <c r="AN1048"/>
      <c r="AO1048" s="447"/>
      <c r="AP1048"/>
      <c r="AQ1048"/>
      <c r="AS1048"/>
      <c r="AT1048" s="447"/>
      <c r="AU1048"/>
      <c r="AV1048"/>
      <c r="AW1048" s="447"/>
      <c r="AX1048"/>
      <c r="AY1048"/>
      <c r="AZ1048" s="447"/>
      <c r="BA1048"/>
      <c r="BB1048"/>
      <c r="BC1048" s="447"/>
      <c r="BD1048"/>
      <c r="BE1048"/>
    </row>
    <row r="1049" spans="4:57">
      <c r="D1049" s="447"/>
      <c r="G1049" s="447"/>
      <c r="J1049" s="447"/>
      <c r="M1049" s="447"/>
      <c r="R1049" s="447"/>
      <c r="S1049"/>
      <c r="T1049"/>
      <c r="U1049" s="447"/>
      <c r="V1049"/>
      <c r="W1049"/>
      <c r="X1049" s="447"/>
      <c r="Y1049"/>
      <c r="Z1049"/>
      <c r="AA1049" s="447"/>
      <c r="AB1049"/>
      <c r="AC1049"/>
      <c r="AE1049"/>
      <c r="AF1049" s="447"/>
      <c r="AG1049"/>
      <c r="AH1049"/>
      <c r="AI1049" s="447"/>
      <c r="AJ1049"/>
      <c r="AK1049"/>
      <c r="AL1049" s="447"/>
      <c r="AM1049"/>
      <c r="AN1049"/>
      <c r="AO1049" s="447"/>
      <c r="AP1049"/>
      <c r="AQ1049"/>
      <c r="AS1049"/>
      <c r="AT1049" s="447"/>
      <c r="AU1049"/>
      <c r="AV1049"/>
      <c r="AW1049" s="447"/>
      <c r="AX1049"/>
      <c r="AY1049"/>
      <c r="AZ1049" s="447"/>
      <c r="BA1049"/>
      <c r="BB1049"/>
      <c r="BC1049" s="447"/>
      <c r="BD1049"/>
      <c r="BE1049"/>
    </row>
    <row r="1050" spans="4:57">
      <c r="D1050" s="447"/>
      <c r="G1050" s="447"/>
      <c r="J1050" s="447"/>
      <c r="M1050" s="447"/>
      <c r="R1050" s="447"/>
      <c r="S1050"/>
      <c r="T1050"/>
      <c r="U1050" s="447"/>
      <c r="V1050"/>
      <c r="W1050"/>
      <c r="X1050" s="447"/>
      <c r="Y1050"/>
      <c r="Z1050"/>
      <c r="AA1050" s="447"/>
      <c r="AB1050"/>
      <c r="AC1050"/>
      <c r="AE1050"/>
      <c r="AF1050" s="447"/>
      <c r="AG1050"/>
      <c r="AH1050"/>
      <c r="AI1050" s="447"/>
      <c r="AJ1050"/>
      <c r="AK1050"/>
      <c r="AL1050" s="447"/>
      <c r="AM1050"/>
      <c r="AN1050"/>
      <c r="AO1050" s="447"/>
      <c r="AP1050"/>
      <c r="AQ1050"/>
      <c r="AS1050"/>
      <c r="AT1050" s="447"/>
      <c r="AU1050"/>
      <c r="AV1050"/>
      <c r="AW1050" s="447"/>
      <c r="AX1050"/>
      <c r="AY1050"/>
      <c r="AZ1050" s="447"/>
      <c r="BA1050"/>
      <c r="BB1050"/>
      <c r="BC1050" s="447"/>
      <c r="BD1050"/>
      <c r="BE1050"/>
    </row>
    <row r="1051" spans="4:57">
      <c r="D1051" s="447"/>
      <c r="G1051" s="447"/>
      <c r="J1051" s="447"/>
      <c r="M1051" s="447"/>
      <c r="R1051" s="447"/>
      <c r="S1051"/>
      <c r="T1051"/>
      <c r="U1051" s="447"/>
      <c r="V1051"/>
      <c r="W1051"/>
      <c r="X1051" s="447"/>
      <c r="Y1051"/>
      <c r="Z1051"/>
      <c r="AA1051" s="447"/>
      <c r="AB1051"/>
      <c r="AC1051"/>
      <c r="AE1051"/>
      <c r="AF1051" s="447"/>
      <c r="AG1051"/>
      <c r="AH1051"/>
      <c r="AI1051" s="447"/>
      <c r="AJ1051"/>
      <c r="AK1051"/>
      <c r="AL1051" s="447"/>
      <c r="AM1051"/>
      <c r="AN1051"/>
      <c r="AO1051" s="447"/>
      <c r="AP1051"/>
      <c r="AQ1051"/>
      <c r="AS1051"/>
      <c r="AT1051" s="447"/>
      <c r="AU1051"/>
      <c r="AV1051"/>
      <c r="AW1051" s="447"/>
      <c r="AX1051"/>
      <c r="AY1051"/>
      <c r="AZ1051" s="447"/>
      <c r="BA1051"/>
      <c r="BB1051"/>
      <c r="BC1051" s="447"/>
      <c r="BD1051"/>
      <c r="BE1051"/>
    </row>
    <row r="1052" spans="4:57">
      <c r="D1052" s="447"/>
      <c r="G1052" s="447"/>
      <c r="J1052" s="447"/>
      <c r="M1052" s="447"/>
      <c r="R1052" s="447"/>
      <c r="S1052"/>
      <c r="T1052"/>
      <c r="U1052" s="447"/>
      <c r="V1052"/>
      <c r="W1052"/>
      <c r="X1052" s="447"/>
      <c r="Y1052"/>
      <c r="Z1052"/>
      <c r="AA1052" s="447"/>
      <c r="AB1052"/>
      <c r="AC1052"/>
      <c r="AE1052"/>
      <c r="AF1052" s="447"/>
      <c r="AG1052"/>
      <c r="AH1052"/>
      <c r="AI1052" s="447"/>
      <c r="AJ1052"/>
      <c r="AK1052"/>
      <c r="AL1052" s="447"/>
      <c r="AM1052"/>
      <c r="AN1052"/>
      <c r="AO1052" s="447"/>
      <c r="AP1052"/>
      <c r="AQ1052"/>
      <c r="AS1052"/>
      <c r="AT1052" s="447"/>
      <c r="AU1052"/>
      <c r="AV1052"/>
      <c r="AW1052" s="447"/>
      <c r="AX1052"/>
      <c r="AY1052"/>
      <c r="AZ1052" s="447"/>
      <c r="BA1052"/>
      <c r="BB1052"/>
      <c r="BC1052" s="447"/>
      <c r="BD1052"/>
      <c r="BE1052"/>
    </row>
    <row r="1053" spans="4:57">
      <c r="D1053" s="447"/>
      <c r="G1053" s="447"/>
      <c r="J1053" s="447"/>
      <c r="M1053" s="447"/>
      <c r="R1053" s="447"/>
      <c r="S1053"/>
      <c r="T1053"/>
      <c r="U1053" s="447"/>
      <c r="V1053"/>
      <c r="W1053"/>
      <c r="X1053" s="447"/>
      <c r="Y1053"/>
      <c r="Z1053"/>
      <c r="AA1053" s="447"/>
      <c r="AB1053"/>
      <c r="AC1053"/>
      <c r="AE1053"/>
      <c r="AF1053" s="447"/>
      <c r="AG1053"/>
      <c r="AH1053"/>
      <c r="AI1053" s="447"/>
      <c r="AJ1053"/>
      <c r="AK1053"/>
      <c r="AL1053" s="447"/>
      <c r="AM1053"/>
      <c r="AN1053"/>
      <c r="AO1053" s="447"/>
      <c r="AP1053"/>
      <c r="AQ1053"/>
      <c r="AS1053"/>
      <c r="AT1053" s="447"/>
      <c r="AU1053"/>
      <c r="AV1053"/>
      <c r="AW1053" s="447"/>
      <c r="AX1053"/>
      <c r="AY1053"/>
      <c r="AZ1053" s="447"/>
      <c r="BA1053"/>
      <c r="BB1053"/>
      <c r="BC1053" s="447"/>
      <c r="BD1053"/>
      <c r="BE1053"/>
    </row>
    <row r="1054" spans="4:57">
      <c r="D1054" s="447"/>
      <c r="G1054" s="447"/>
      <c r="J1054" s="447"/>
      <c r="M1054" s="447"/>
      <c r="R1054" s="447"/>
      <c r="S1054"/>
      <c r="T1054"/>
      <c r="U1054" s="447"/>
      <c r="V1054"/>
      <c r="W1054"/>
      <c r="X1054" s="447"/>
      <c r="Y1054"/>
      <c r="Z1054"/>
      <c r="AA1054" s="447"/>
      <c r="AB1054"/>
      <c r="AC1054"/>
      <c r="AE1054"/>
      <c r="AF1054" s="447"/>
      <c r="AG1054"/>
      <c r="AH1054"/>
      <c r="AI1054" s="447"/>
      <c r="AJ1054"/>
      <c r="AK1054"/>
      <c r="AL1054" s="447"/>
      <c r="AM1054"/>
      <c r="AN1054"/>
      <c r="AO1054" s="447"/>
      <c r="AP1054"/>
      <c r="AQ1054"/>
      <c r="AS1054"/>
      <c r="AT1054" s="447"/>
      <c r="AU1054"/>
      <c r="AV1054"/>
      <c r="AW1054" s="447"/>
      <c r="AX1054"/>
      <c r="AY1054"/>
      <c r="AZ1054" s="447"/>
      <c r="BA1054"/>
      <c r="BB1054"/>
      <c r="BC1054" s="447"/>
      <c r="BD1054"/>
      <c r="BE1054"/>
    </row>
    <row r="1055" spans="4:57">
      <c r="D1055" s="447"/>
      <c r="G1055" s="447"/>
      <c r="J1055" s="447"/>
      <c r="M1055" s="447"/>
      <c r="R1055" s="447"/>
      <c r="S1055"/>
      <c r="T1055"/>
      <c r="U1055" s="447"/>
      <c r="V1055"/>
      <c r="W1055"/>
      <c r="X1055" s="447"/>
      <c r="Y1055"/>
      <c r="Z1055"/>
      <c r="AA1055" s="447"/>
      <c r="AB1055"/>
      <c r="AC1055"/>
      <c r="AE1055"/>
      <c r="AF1055" s="447"/>
      <c r="AG1055"/>
      <c r="AH1055"/>
      <c r="AI1055" s="447"/>
      <c r="AJ1055"/>
      <c r="AK1055"/>
      <c r="AL1055" s="447"/>
      <c r="AM1055"/>
      <c r="AN1055"/>
      <c r="AO1055" s="447"/>
      <c r="AP1055"/>
      <c r="AQ1055"/>
      <c r="AS1055"/>
      <c r="AT1055" s="447"/>
      <c r="AU1055"/>
      <c r="AV1055"/>
      <c r="AW1055" s="447"/>
      <c r="AX1055"/>
      <c r="AY1055"/>
      <c r="AZ1055" s="447"/>
      <c r="BA1055"/>
      <c r="BB1055"/>
      <c r="BC1055" s="447"/>
      <c r="BD1055"/>
      <c r="BE1055"/>
    </row>
    <row r="1056" spans="4:57">
      <c r="D1056" s="447"/>
      <c r="G1056" s="447"/>
      <c r="J1056" s="447"/>
      <c r="M1056" s="447"/>
      <c r="R1056" s="447"/>
      <c r="S1056"/>
      <c r="T1056"/>
      <c r="U1056" s="447"/>
      <c r="V1056"/>
      <c r="W1056"/>
      <c r="X1056" s="447"/>
      <c r="Y1056"/>
      <c r="Z1056"/>
      <c r="AA1056" s="447"/>
      <c r="AB1056"/>
      <c r="AC1056"/>
      <c r="AE1056"/>
      <c r="AF1056" s="447"/>
      <c r="AG1056"/>
      <c r="AH1056"/>
      <c r="AI1056" s="447"/>
      <c r="AJ1056"/>
      <c r="AK1056"/>
      <c r="AL1056" s="447"/>
      <c r="AM1056"/>
      <c r="AN1056"/>
      <c r="AO1056" s="447"/>
      <c r="AP1056"/>
      <c r="AQ1056"/>
      <c r="AS1056"/>
      <c r="AT1056" s="447"/>
      <c r="AU1056"/>
      <c r="AV1056"/>
      <c r="AW1056" s="447"/>
      <c r="AX1056"/>
      <c r="AY1056"/>
      <c r="AZ1056" s="447"/>
      <c r="BA1056"/>
      <c r="BB1056"/>
      <c r="BC1056" s="447"/>
      <c r="BD1056"/>
      <c r="BE1056"/>
    </row>
    <row r="1057" spans="4:57">
      <c r="D1057" s="447"/>
      <c r="G1057" s="447"/>
      <c r="J1057" s="447"/>
      <c r="M1057" s="447"/>
      <c r="R1057" s="447"/>
      <c r="S1057"/>
      <c r="T1057"/>
      <c r="U1057" s="447"/>
      <c r="V1057"/>
      <c r="W1057"/>
      <c r="X1057" s="447"/>
      <c r="Y1057"/>
      <c r="Z1057"/>
      <c r="AA1057" s="447"/>
      <c r="AB1057"/>
      <c r="AC1057"/>
      <c r="AE1057"/>
      <c r="AF1057" s="447"/>
      <c r="AG1057"/>
      <c r="AH1057"/>
      <c r="AI1057" s="447"/>
      <c r="AJ1057"/>
      <c r="AK1057"/>
      <c r="AL1057" s="447"/>
      <c r="AM1057"/>
      <c r="AN1057"/>
      <c r="AO1057" s="447"/>
      <c r="AP1057"/>
      <c r="AQ1057"/>
      <c r="AS1057"/>
      <c r="AT1057" s="447"/>
      <c r="AU1057"/>
      <c r="AV1057"/>
      <c r="AW1057" s="447"/>
      <c r="AX1057"/>
      <c r="AY1057"/>
      <c r="AZ1057" s="447"/>
      <c r="BA1057"/>
      <c r="BB1057"/>
      <c r="BC1057" s="447"/>
      <c r="BD1057"/>
      <c r="BE1057"/>
    </row>
    <row r="1058" spans="4:57">
      <c r="D1058" s="447"/>
      <c r="G1058" s="447"/>
      <c r="J1058" s="447"/>
      <c r="M1058" s="447"/>
      <c r="R1058" s="447"/>
      <c r="S1058"/>
      <c r="T1058"/>
      <c r="U1058" s="447"/>
      <c r="V1058"/>
      <c r="W1058"/>
      <c r="X1058" s="447"/>
      <c r="Y1058"/>
      <c r="Z1058"/>
      <c r="AA1058" s="447"/>
      <c r="AB1058"/>
      <c r="AC1058"/>
      <c r="AE1058"/>
      <c r="AF1058" s="447"/>
      <c r="AG1058"/>
      <c r="AH1058"/>
      <c r="AI1058" s="447"/>
      <c r="AJ1058"/>
      <c r="AK1058"/>
      <c r="AL1058" s="447"/>
      <c r="AM1058"/>
      <c r="AN1058"/>
      <c r="AO1058" s="447"/>
      <c r="AP1058"/>
      <c r="AQ1058"/>
      <c r="AS1058"/>
      <c r="AT1058" s="447"/>
      <c r="AU1058"/>
      <c r="AV1058"/>
      <c r="AW1058" s="447"/>
      <c r="AX1058"/>
      <c r="AY1058"/>
      <c r="AZ1058" s="447"/>
      <c r="BA1058"/>
      <c r="BB1058"/>
      <c r="BC1058" s="447"/>
      <c r="BD1058"/>
      <c r="BE1058"/>
    </row>
    <row r="1059" spans="4:57">
      <c r="D1059" s="447"/>
      <c r="G1059" s="447"/>
      <c r="J1059" s="447"/>
      <c r="M1059" s="447"/>
      <c r="R1059" s="447"/>
      <c r="S1059"/>
      <c r="T1059"/>
      <c r="U1059" s="447"/>
      <c r="V1059"/>
      <c r="W1059"/>
      <c r="X1059" s="447"/>
      <c r="Y1059"/>
      <c r="Z1059"/>
      <c r="AA1059" s="447"/>
      <c r="AB1059"/>
      <c r="AC1059"/>
      <c r="AE1059"/>
      <c r="AF1059" s="447"/>
      <c r="AG1059"/>
      <c r="AH1059"/>
      <c r="AI1059" s="447"/>
      <c r="AJ1059"/>
      <c r="AK1059"/>
      <c r="AL1059" s="447"/>
      <c r="AM1059"/>
      <c r="AN1059"/>
      <c r="AO1059" s="447"/>
      <c r="AP1059"/>
      <c r="AQ1059"/>
      <c r="AS1059"/>
      <c r="AT1059" s="447"/>
      <c r="AU1059"/>
      <c r="AV1059"/>
      <c r="AW1059" s="447"/>
      <c r="AX1059"/>
      <c r="AY1059"/>
      <c r="AZ1059" s="447"/>
      <c r="BA1059"/>
      <c r="BB1059"/>
      <c r="BC1059" s="447"/>
      <c r="BD1059"/>
      <c r="BE1059"/>
    </row>
    <row r="1060" spans="4:57">
      <c r="D1060" s="447"/>
      <c r="G1060" s="447"/>
      <c r="J1060" s="447"/>
      <c r="M1060" s="447"/>
      <c r="R1060" s="447"/>
      <c r="S1060"/>
      <c r="T1060"/>
      <c r="U1060" s="447"/>
      <c r="V1060"/>
      <c r="W1060"/>
      <c r="X1060" s="447"/>
      <c r="Y1060"/>
      <c r="Z1060"/>
      <c r="AA1060" s="447"/>
      <c r="AB1060"/>
      <c r="AC1060"/>
      <c r="AE1060"/>
      <c r="AF1060" s="447"/>
      <c r="AG1060"/>
      <c r="AH1060"/>
      <c r="AI1060" s="447"/>
      <c r="AJ1060"/>
      <c r="AK1060"/>
      <c r="AL1060" s="447"/>
      <c r="AM1060"/>
      <c r="AN1060"/>
      <c r="AO1060" s="447"/>
      <c r="AP1060"/>
      <c r="AQ1060"/>
      <c r="AS1060"/>
      <c r="AT1060" s="447"/>
      <c r="AU1060"/>
      <c r="AV1060"/>
      <c r="AW1060" s="447"/>
      <c r="AX1060"/>
      <c r="AY1060"/>
      <c r="AZ1060" s="447"/>
      <c r="BA1060"/>
      <c r="BB1060"/>
      <c r="BC1060" s="447"/>
      <c r="BD1060"/>
      <c r="BE1060"/>
    </row>
    <row r="1061" spans="4:57">
      <c r="D1061" s="447"/>
      <c r="G1061" s="447"/>
      <c r="J1061" s="447"/>
      <c r="M1061" s="447"/>
      <c r="R1061" s="447"/>
      <c r="S1061"/>
      <c r="T1061"/>
      <c r="U1061" s="447"/>
      <c r="V1061"/>
      <c r="W1061"/>
      <c r="X1061" s="447"/>
      <c r="Y1061"/>
      <c r="Z1061"/>
      <c r="AA1061" s="447"/>
      <c r="AB1061"/>
      <c r="AC1061"/>
      <c r="AE1061"/>
      <c r="AF1061" s="447"/>
      <c r="AG1061"/>
      <c r="AH1061"/>
      <c r="AI1061" s="447"/>
      <c r="AJ1061"/>
      <c r="AK1061"/>
      <c r="AL1061" s="447"/>
      <c r="AM1061"/>
      <c r="AN1061"/>
      <c r="AO1061" s="447"/>
      <c r="AP1061"/>
      <c r="AQ1061"/>
      <c r="AS1061"/>
      <c r="AT1061" s="447"/>
      <c r="AU1061"/>
      <c r="AV1061"/>
      <c r="AW1061" s="447"/>
      <c r="AX1061"/>
      <c r="AY1061"/>
      <c r="AZ1061" s="447"/>
      <c r="BA1061"/>
      <c r="BB1061"/>
      <c r="BC1061" s="447"/>
      <c r="BD1061"/>
      <c r="BE1061"/>
    </row>
    <row r="1062" spans="4:57">
      <c r="D1062" s="447"/>
      <c r="G1062" s="447"/>
      <c r="J1062" s="447"/>
      <c r="M1062" s="447"/>
      <c r="R1062" s="447"/>
      <c r="S1062"/>
      <c r="T1062"/>
      <c r="U1062" s="447"/>
      <c r="V1062"/>
      <c r="W1062"/>
      <c r="X1062" s="447"/>
      <c r="Y1062"/>
      <c r="Z1062"/>
      <c r="AA1062" s="447"/>
      <c r="AB1062"/>
      <c r="AC1062"/>
      <c r="AE1062"/>
      <c r="AF1062" s="447"/>
      <c r="AG1062"/>
      <c r="AH1062"/>
      <c r="AI1062" s="447"/>
      <c r="AJ1062"/>
      <c r="AK1062"/>
      <c r="AL1062" s="447"/>
      <c r="AM1062"/>
      <c r="AN1062"/>
      <c r="AO1062" s="447"/>
      <c r="AP1062"/>
      <c r="AQ1062"/>
      <c r="AS1062"/>
      <c r="AT1062" s="447"/>
      <c r="AU1062"/>
      <c r="AV1062"/>
      <c r="AW1062" s="447"/>
      <c r="AX1062"/>
      <c r="AY1062"/>
      <c r="AZ1062" s="447"/>
      <c r="BA1062"/>
      <c r="BB1062"/>
      <c r="BC1062" s="447"/>
      <c r="BD1062"/>
      <c r="BE1062"/>
    </row>
    <row r="1063" spans="4:57">
      <c r="D1063" s="447"/>
      <c r="G1063" s="447"/>
      <c r="J1063" s="447"/>
      <c r="M1063" s="447"/>
      <c r="R1063" s="447"/>
      <c r="S1063"/>
      <c r="T1063"/>
      <c r="U1063" s="447"/>
      <c r="V1063"/>
      <c r="W1063"/>
      <c r="X1063" s="447"/>
      <c r="Y1063"/>
      <c r="Z1063"/>
      <c r="AA1063" s="447"/>
      <c r="AB1063"/>
      <c r="AC1063"/>
      <c r="AE1063"/>
      <c r="AF1063" s="447"/>
      <c r="AG1063"/>
      <c r="AH1063"/>
      <c r="AI1063" s="447"/>
      <c r="AJ1063"/>
      <c r="AK1063"/>
      <c r="AL1063" s="447"/>
      <c r="AM1063"/>
      <c r="AN1063"/>
      <c r="AO1063" s="447"/>
      <c r="AP1063"/>
      <c r="AQ1063"/>
      <c r="AS1063"/>
      <c r="AT1063" s="447"/>
      <c r="AU1063"/>
      <c r="AV1063"/>
      <c r="AW1063" s="447"/>
      <c r="AX1063"/>
      <c r="AY1063"/>
      <c r="AZ1063" s="447"/>
      <c r="BA1063"/>
      <c r="BB1063"/>
      <c r="BC1063" s="447"/>
      <c r="BD1063"/>
      <c r="BE1063"/>
    </row>
    <row r="1064" spans="4:57">
      <c r="D1064" s="447"/>
      <c r="G1064" s="447"/>
      <c r="J1064" s="447"/>
      <c r="M1064" s="447"/>
      <c r="R1064" s="447"/>
      <c r="S1064"/>
      <c r="T1064"/>
      <c r="U1064" s="447"/>
      <c r="V1064"/>
      <c r="W1064"/>
      <c r="X1064" s="447"/>
      <c r="Y1064"/>
      <c r="Z1064"/>
      <c r="AA1064" s="447"/>
      <c r="AB1064"/>
      <c r="AC1064"/>
      <c r="AE1064"/>
      <c r="AF1064" s="447"/>
      <c r="AG1064"/>
      <c r="AH1064"/>
      <c r="AI1064" s="447"/>
      <c r="AJ1064"/>
      <c r="AK1064"/>
      <c r="AL1064" s="447"/>
      <c r="AM1064"/>
      <c r="AN1064"/>
      <c r="AO1064" s="447"/>
      <c r="AP1064"/>
      <c r="AQ1064"/>
      <c r="AS1064"/>
      <c r="AT1064" s="447"/>
      <c r="AU1064"/>
      <c r="AV1064"/>
      <c r="AW1064" s="447"/>
      <c r="AX1064"/>
      <c r="AY1064"/>
      <c r="AZ1064" s="447"/>
      <c r="BA1064"/>
      <c r="BB1064"/>
      <c r="BC1064" s="447"/>
      <c r="BD1064"/>
      <c r="BE1064"/>
    </row>
    <row r="1065" spans="4:57">
      <c r="D1065" s="447"/>
      <c r="G1065" s="447"/>
      <c r="J1065" s="447"/>
      <c r="M1065" s="447"/>
      <c r="R1065" s="447"/>
      <c r="S1065"/>
      <c r="T1065"/>
      <c r="U1065" s="447"/>
      <c r="V1065"/>
      <c r="W1065"/>
      <c r="X1065" s="447"/>
      <c r="Y1065"/>
      <c r="Z1065"/>
      <c r="AA1065" s="447"/>
      <c r="AB1065"/>
      <c r="AC1065"/>
      <c r="AE1065"/>
      <c r="AF1065" s="447"/>
      <c r="AG1065"/>
      <c r="AH1065"/>
      <c r="AI1065" s="447"/>
      <c r="AJ1065"/>
      <c r="AK1065"/>
      <c r="AL1065" s="447"/>
      <c r="AM1065"/>
      <c r="AN1065"/>
      <c r="AO1065" s="447"/>
      <c r="AP1065"/>
      <c r="AQ1065"/>
      <c r="AS1065"/>
      <c r="AT1065" s="447"/>
      <c r="AU1065"/>
      <c r="AV1065"/>
      <c r="AW1065" s="447"/>
      <c r="AX1065"/>
      <c r="AY1065"/>
      <c r="AZ1065" s="447"/>
      <c r="BA1065"/>
      <c r="BB1065"/>
      <c r="BC1065" s="447"/>
      <c r="BD1065"/>
      <c r="BE1065"/>
    </row>
    <row r="1066" spans="4:57">
      <c r="D1066" s="447"/>
      <c r="G1066" s="447"/>
      <c r="J1066" s="447"/>
      <c r="M1066" s="447"/>
      <c r="R1066" s="447"/>
      <c r="S1066"/>
      <c r="T1066"/>
      <c r="U1066" s="447"/>
      <c r="V1066"/>
      <c r="W1066"/>
      <c r="X1066" s="447"/>
      <c r="Y1066"/>
      <c r="Z1066"/>
      <c r="AA1066" s="447"/>
      <c r="AB1066"/>
      <c r="AC1066"/>
      <c r="AE1066"/>
      <c r="AF1066" s="447"/>
      <c r="AG1066"/>
      <c r="AH1066"/>
      <c r="AI1066" s="447"/>
      <c r="AJ1066"/>
      <c r="AK1066"/>
      <c r="AL1066" s="447"/>
      <c r="AM1066"/>
      <c r="AN1066"/>
      <c r="AO1066" s="447"/>
      <c r="AP1066"/>
      <c r="AQ1066"/>
      <c r="AS1066"/>
      <c r="AT1066" s="447"/>
      <c r="AU1066"/>
      <c r="AV1066"/>
      <c r="AW1066" s="447"/>
      <c r="AX1066"/>
      <c r="AY1066"/>
      <c r="AZ1066" s="447"/>
      <c r="BA1066"/>
      <c r="BB1066"/>
      <c r="BC1066" s="447"/>
      <c r="BD1066"/>
      <c r="BE1066"/>
    </row>
    <row r="1067" spans="4:57">
      <c r="D1067" s="447"/>
      <c r="G1067" s="447"/>
      <c r="J1067" s="447"/>
      <c r="M1067" s="447"/>
      <c r="R1067" s="447"/>
      <c r="S1067"/>
      <c r="T1067"/>
      <c r="U1067" s="447"/>
      <c r="V1067"/>
      <c r="W1067"/>
      <c r="X1067" s="447"/>
      <c r="Y1067"/>
      <c r="Z1067"/>
      <c r="AA1067" s="447"/>
      <c r="AB1067"/>
      <c r="AC1067"/>
      <c r="AE1067"/>
      <c r="AF1067" s="447"/>
      <c r="AG1067"/>
      <c r="AH1067"/>
      <c r="AI1067" s="447"/>
      <c r="AJ1067"/>
      <c r="AK1067"/>
      <c r="AL1067" s="447"/>
      <c r="AM1067"/>
      <c r="AN1067"/>
      <c r="AO1067" s="447"/>
      <c r="AP1067"/>
      <c r="AQ1067"/>
      <c r="AS1067"/>
      <c r="AT1067" s="447"/>
      <c r="AU1067"/>
      <c r="AV1067"/>
      <c r="AW1067" s="447"/>
      <c r="AX1067"/>
      <c r="AY1067"/>
      <c r="AZ1067" s="447"/>
      <c r="BA1067"/>
      <c r="BB1067"/>
      <c r="BC1067" s="447"/>
      <c r="BD1067"/>
      <c r="BE1067"/>
    </row>
    <row r="1068" spans="4:57">
      <c r="D1068" s="447"/>
      <c r="G1068" s="447"/>
      <c r="J1068" s="447"/>
      <c r="M1068" s="447"/>
      <c r="R1068" s="447"/>
      <c r="S1068"/>
      <c r="T1068"/>
      <c r="U1068" s="447"/>
      <c r="V1068"/>
      <c r="W1068"/>
      <c r="X1068" s="447"/>
      <c r="Y1068"/>
      <c r="Z1068"/>
      <c r="AA1068" s="447"/>
      <c r="AB1068"/>
      <c r="AC1068"/>
      <c r="AE1068"/>
      <c r="AF1068" s="447"/>
      <c r="AG1068"/>
      <c r="AH1068"/>
      <c r="AI1068" s="447"/>
      <c r="AJ1068"/>
      <c r="AK1068"/>
      <c r="AL1068" s="447"/>
      <c r="AM1068"/>
      <c r="AN1068"/>
      <c r="AO1068" s="447"/>
      <c r="AP1068"/>
      <c r="AQ1068"/>
      <c r="AS1068"/>
      <c r="AT1068" s="447"/>
      <c r="AU1068"/>
      <c r="AV1068"/>
      <c r="AW1068" s="447"/>
      <c r="AX1068"/>
      <c r="AY1068"/>
      <c r="AZ1068" s="447"/>
      <c r="BA1068"/>
      <c r="BB1068"/>
      <c r="BC1068" s="447"/>
      <c r="BD1068"/>
      <c r="BE1068"/>
    </row>
    <row r="1069" spans="4:57">
      <c r="D1069" s="447"/>
      <c r="G1069" s="447"/>
      <c r="J1069" s="447"/>
      <c r="M1069" s="447"/>
      <c r="R1069" s="447"/>
      <c r="S1069"/>
      <c r="T1069"/>
      <c r="U1069" s="447"/>
      <c r="V1069"/>
      <c r="W1069"/>
      <c r="X1069" s="447"/>
      <c r="Y1069"/>
      <c r="Z1069"/>
      <c r="AA1069" s="447"/>
      <c r="AB1069"/>
      <c r="AC1069"/>
      <c r="AE1069"/>
      <c r="AF1069" s="447"/>
      <c r="AG1069"/>
      <c r="AH1069"/>
      <c r="AI1069" s="447"/>
      <c r="AJ1069"/>
      <c r="AK1069"/>
      <c r="AL1069" s="447"/>
      <c r="AM1069"/>
      <c r="AN1069"/>
      <c r="AO1069" s="447"/>
      <c r="AP1069"/>
      <c r="AQ1069"/>
      <c r="AS1069"/>
      <c r="AT1069" s="447"/>
      <c r="AU1069"/>
      <c r="AV1069"/>
      <c r="AW1069" s="447"/>
      <c r="AX1069"/>
      <c r="AY1069"/>
      <c r="AZ1069" s="447"/>
      <c r="BA1069"/>
      <c r="BB1069"/>
      <c r="BC1069" s="447"/>
      <c r="BD1069"/>
      <c r="BE1069"/>
    </row>
    <row r="1070" spans="4:57">
      <c r="D1070" s="447"/>
      <c r="G1070" s="447"/>
      <c r="J1070" s="447"/>
      <c r="M1070" s="447"/>
      <c r="R1070" s="447"/>
      <c r="S1070"/>
      <c r="T1070"/>
      <c r="U1070" s="447"/>
      <c r="V1070"/>
      <c r="W1070"/>
      <c r="X1070" s="447"/>
      <c r="Y1070"/>
      <c r="Z1070"/>
      <c r="AA1070" s="447"/>
      <c r="AB1070"/>
      <c r="AC1070"/>
      <c r="AE1070"/>
      <c r="AF1070" s="447"/>
      <c r="AG1070"/>
      <c r="AH1070"/>
      <c r="AI1070" s="447"/>
      <c r="AJ1070"/>
      <c r="AK1070"/>
      <c r="AL1070" s="447"/>
      <c r="AM1070"/>
      <c r="AN1070"/>
      <c r="AO1070" s="447"/>
      <c r="AP1070"/>
      <c r="AQ1070"/>
      <c r="AS1070"/>
      <c r="AT1070" s="447"/>
      <c r="AU1070"/>
      <c r="AV1070"/>
      <c r="AW1070" s="447"/>
      <c r="AX1070"/>
      <c r="AY1070"/>
      <c r="AZ1070" s="447"/>
      <c r="BA1070"/>
      <c r="BB1070"/>
      <c r="BC1070" s="447"/>
      <c r="BD1070"/>
      <c r="BE1070"/>
    </row>
    <row r="1071" spans="4:57">
      <c r="D1071" s="447"/>
      <c r="G1071" s="447"/>
      <c r="J1071" s="447"/>
      <c r="M1071" s="447"/>
      <c r="R1071" s="447"/>
      <c r="S1071"/>
      <c r="T1071"/>
      <c r="U1071" s="447"/>
      <c r="V1071"/>
      <c r="W1071"/>
      <c r="X1071" s="447"/>
      <c r="Y1071"/>
      <c r="Z1071"/>
      <c r="AA1071" s="447"/>
      <c r="AB1071"/>
      <c r="AC1071"/>
      <c r="AE1071"/>
      <c r="AF1071" s="447"/>
      <c r="AG1071"/>
      <c r="AH1071"/>
      <c r="AI1071" s="447"/>
      <c r="AJ1071"/>
      <c r="AK1071"/>
      <c r="AL1071" s="447"/>
      <c r="AM1071"/>
      <c r="AN1071"/>
      <c r="AO1071" s="447"/>
      <c r="AP1071"/>
      <c r="AQ1071"/>
      <c r="AS1071"/>
      <c r="AT1071" s="447"/>
      <c r="AU1071"/>
      <c r="AV1071"/>
      <c r="AW1071" s="447"/>
      <c r="AX1071"/>
      <c r="AY1071"/>
      <c r="AZ1071" s="447"/>
      <c r="BA1071"/>
      <c r="BB1071"/>
      <c r="BC1071" s="447"/>
      <c r="BD1071"/>
      <c r="BE1071"/>
    </row>
    <row r="1072" spans="4:57">
      <c r="D1072" s="447"/>
      <c r="G1072" s="447"/>
      <c r="J1072" s="447"/>
      <c r="M1072" s="447"/>
      <c r="R1072" s="447"/>
      <c r="S1072"/>
      <c r="T1072"/>
      <c r="U1072" s="447"/>
      <c r="V1072"/>
      <c r="W1072"/>
      <c r="X1072" s="447"/>
      <c r="Y1072"/>
      <c r="Z1072"/>
      <c r="AA1072" s="447"/>
      <c r="AB1072"/>
      <c r="AC1072"/>
      <c r="AE1072"/>
      <c r="AF1072" s="447"/>
      <c r="AG1072"/>
      <c r="AH1072"/>
      <c r="AI1072" s="447"/>
      <c r="AJ1072"/>
      <c r="AK1072"/>
      <c r="AL1072" s="447"/>
      <c r="AM1072"/>
      <c r="AN1072"/>
      <c r="AO1072" s="447"/>
      <c r="AP1072"/>
      <c r="AQ1072"/>
      <c r="AS1072"/>
      <c r="AT1072" s="447"/>
      <c r="AU1072"/>
      <c r="AV1072"/>
      <c r="AW1072" s="447"/>
      <c r="AX1072"/>
      <c r="AY1072"/>
      <c r="AZ1072" s="447"/>
      <c r="BA1072"/>
      <c r="BB1072"/>
      <c r="BC1072" s="447"/>
      <c r="BD1072"/>
      <c r="BE1072"/>
    </row>
    <row r="1073" spans="4:57">
      <c r="D1073" s="447"/>
      <c r="G1073" s="447"/>
      <c r="J1073" s="447"/>
      <c r="M1073" s="447"/>
      <c r="R1073" s="447"/>
      <c r="S1073"/>
      <c r="T1073"/>
      <c r="U1073" s="447"/>
      <c r="V1073"/>
      <c r="W1073"/>
      <c r="X1073" s="447"/>
      <c r="Y1073"/>
      <c r="Z1073"/>
      <c r="AA1073" s="447"/>
      <c r="AB1073"/>
      <c r="AC1073"/>
      <c r="AE1073"/>
      <c r="AF1073" s="447"/>
      <c r="AG1073"/>
      <c r="AH1073"/>
      <c r="AI1073" s="447"/>
      <c r="AJ1073"/>
      <c r="AK1073"/>
      <c r="AL1073" s="447"/>
      <c r="AM1073"/>
      <c r="AN1073"/>
      <c r="AO1073" s="447"/>
      <c r="AP1073"/>
      <c r="AQ1073"/>
      <c r="AS1073"/>
      <c r="AT1073" s="447"/>
      <c r="AU1073"/>
      <c r="AV1073"/>
      <c r="AW1073" s="447"/>
      <c r="AX1073"/>
      <c r="AY1073"/>
      <c r="AZ1073" s="447"/>
      <c r="BA1073"/>
      <c r="BB1073"/>
      <c r="BC1073" s="447"/>
      <c r="BD1073"/>
      <c r="BE1073"/>
    </row>
    <row r="1074" spans="4:57">
      <c r="D1074" s="447"/>
      <c r="G1074" s="447"/>
      <c r="J1074" s="447"/>
      <c r="M1074" s="447"/>
      <c r="R1074" s="447"/>
      <c r="S1074"/>
      <c r="T1074"/>
      <c r="U1074" s="447"/>
      <c r="V1074"/>
      <c r="W1074"/>
      <c r="X1074" s="447"/>
      <c r="Y1074"/>
      <c r="Z1074"/>
      <c r="AA1074" s="447"/>
      <c r="AB1074"/>
      <c r="AC1074"/>
      <c r="AE1074"/>
      <c r="AF1074" s="447"/>
      <c r="AG1074"/>
      <c r="AH1074"/>
      <c r="AI1074" s="447"/>
      <c r="AJ1074"/>
      <c r="AK1074"/>
      <c r="AL1074" s="447"/>
      <c r="AM1074"/>
      <c r="AN1074"/>
      <c r="AO1074" s="447"/>
      <c r="AP1074"/>
      <c r="AQ1074"/>
      <c r="AS1074"/>
      <c r="AT1074" s="447"/>
      <c r="AU1074"/>
      <c r="AV1074"/>
      <c r="AW1074" s="447"/>
      <c r="AX1074"/>
      <c r="AY1074"/>
      <c r="AZ1074" s="447"/>
      <c r="BA1074"/>
      <c r="BB1074"/>
      <c r="BC1074" s="447"/>
      <c r="BD1074"/>
      <c r="BE1074"/>
    </row>
    <row r="1075" spans="4:57">
      <c r="D1075" s="447"/>
      <c r="G1075" s="447"/>
      <c r="J1075" s="447"/>
      <c r="M1075" s="447"/>
      <c r="R1075" s="447"/>
      <c r="S1075"/>
      <c r="T1075"/>
      <c r="U1075" s="447"/>
      <c r="V1075"/>
      <c r="W1075"/>
      <c r="X1075" s="447"/>
      <c r="Y1075"/>
      <c r="Z1075"/>
      <c r="AA1075" s="447"/>
      <c r="AB1075"/>
      <c r="AC1075"/>
      <c r="AE1075"/>
      <c r="AF1075" s="447"/>
      <c r="AG1075"/>
      <c r="AH1075"/>
      <c r="AI1075" s="447"/>
      <c r="AJ1075"/>
      <c r="AK1075"/>
      <c r="AL1075" s="447"/>
      <c r="AM1075"/>
      <c r="AN1075"/>
      <c r="AO1075" s="447"/>
      <c r="AP1075"/>
      <c r="AQ1075"/>
      <c r="AS1075"/>
      <c r="AT1075" s="447"/>
      <c r="AU1075"/>
      <c r="AV1075"/>
      <c r="AW1075" s="447"/>
      <c r="AX1075"/>
      <c r="AY1075"/>
      <c r="AZ1075" s="447"/>
      <c r="BA1075"/>
      <c r="BB1075"/>
      <c r="BC1075" s="447"/>
      <c r="BD1075"/>
      <c r="BE1075"/>
    </row>
    <row r="1076" spans="4:57">
      <c r="D1076" s="447"/>
      <c r="G1076" s="447"/>
      <c r="J1076" s="447"/>
      <c r="M1076" s="447"/>
      <c r="R1076" s="447"/>
      <c r="S1076"/>
      <c r="T1076"/>
      <c r="U1076" s="447"/>
      <c r="V1076"/>
      <c r="W1076"/>
      <c r="X1076" s="447"/>
      <c r="Y1076"/>
      <c r="Z1076"/>
      <c r="AA1076" s="447"/>
      <c r="AB1076"/>
      <c r="AC1076"/>
      <c r="AE1076"/>
      <c r="AF1076" s="447"/>
      <c r="AG1076"/>
      <c r="AH1076"/>
      <c r="AI1076" s="447"/>
      <c r="AJ1076"/>
      <c r="AK1076"/>
      <c r="AL1076" s="447"/>
      <c r="AM1076"/>
      <c r="AN1076"/>
      <c r="AO1076" s="447"/>
      <c r="AP1076"/>
      <c r="AQ1076"/>
      <c r="AS1076"/>
      <c r="AT1076" s="447"/>
      <c r="AU1076"/>
      <c r="AV1076"/>
      <c r="AW1076" s="447"/>
      <c r="AX1076"/>
      <c r="AY1076"/>
      <c r="AZ1076" s="447"/>
      <c r="BA1076"/>
      <c r="BB1076"/>
      <c r="BC1076" s="447"/>
      <c r="BD1076"/>
      <c r="BE1076"/>
    </row>
    <row r="1077" spans="4:57">
      <c r="D1077" s="447"/>
      <c r="G1077" s="447"/>
      <c r="J1077" s="447"/>
      <c r="M1077" s="447"/>
      <c r="R1077" s="447"/>
      <c r="S1077"/>
      <c r="T1077"/>
      <c r="U1077" s="447"/>
      <c r="V1077"/>
      <c r="W1077"/>
      <c r="X1077" s="447"/>
      <c r="Y1077"/>
      <c r="Z1077"/>
      <c r="AA1077" s="447"/>
      <c r="AB1077"/>
      <c r="AC1077"/>
      <c r="AE1077"/>
      <c r="AF1077" s="447"/>
      <c r="AG1077"/>
      <c r="AH1077"/>
      <c r="AI1077" s="447"/>
      <c r="AJ1077"/>
      <c r="AK1077"/>
      <c r="AL1077" s="447"/>
      <c r="AM1077"/>
      <c r="AN1077"/>
      <c r="AO1077" s="447"/>
      <c r="AP1077"/>
      <c r="AQ1077"/>
      <c r="AS1077"/>
      <c r="AT1077" s="447"/>
      <c r="AU1077"/>
      <c r="AV1077"/>
      <c r="AW1077" s="447"/>
      <c r="AX1077"/>
      <c r="AY1077"/>
      <c r="AZ1077" s="447"/>
      <c r="BA1077"/>
      <c r="BB1077"/>
      <c r="BC1077" s="447"/>
      <c r="BD1077"/>
      <c r="BE1077"/>
    </row>
    <row r="1078" spans="4:57">
      <c r="D1078" s="447"/>
      <c r="G1078" s="447"/>
      <c r="J1078" s="447"/>
      <c r="M1078" s="447"/>
      <c r="R1078" s="447"/>
      <c r="S1078"/>
      <c r="T1078"/>
      <c r="U1078" s="447"/>
      <c r="V1078"/>
      <c r="W1078"/>
      <c r="X1078" s="447"/>
      <c r="Y1078"/>
      <c r="Z1078"/>
      <c r="AA1078" s="447"/>
      <c r="AB1078"/>
      <c r="AC1078"/>
      <c r="AE1078"/>
      <c r="AF1078" s="447"/>
      <c r="AG1078"/>
      <c r="AH1078"/>
      <c r="AI1078" s="447"/>
      <c r="AJ1078"/>
      <c r="AK1078"/>
      <c r="AL1078" s="447"/>
      <c r="AM1078"/>
      <c r="AN1078"/>
      <c r="AO1078" s="447"/>
      <c r="AP1078"/>
      <c r="AQ1078"/>
      <c r="AS1078"/>
      <c r="AT1078" s="447"/>
      <c r="AU1078"/>
      <c r="AV1078"/>
      <c r="AW1078" s="447"/>
      <c r="AX1078"/>
      <c r="AY1078"/>
      <c r="AZ1078" s="447"/>
      <c r="BA1078"/>
      <c r="BB1078"/>
      <c r="BC1078" s="447"/>
      <c r="BD1078"/>
      <c r="BE1078"/>
    </row>
    <row r="1079" spans="4:57">
      <c r="D1079" s="447"/>
      <c r="G1079" s="447"/>
      <c r="J1079" s="447"/>
      <c r="M1079" s="447"/>
      <c r="R1079" s="447"/>
      <c r="S1079"/>
      <c r="T1079"/>
      <c r="U1079" s="447"/>
      <c r="V1079"/>
      <c r="W1079"/>
      <c r="X1079" s="447"/>
      <c r="Y1079"/>
      <c r="Z1079"/>
      <c r="AA1079" s="447"/>
      <c r="AB1079"/>
      <c r="AC1079"/>
      <c r="AE1079"/>
      <c r="AF1079" s="447"/>
      <c r="AG1079"/>
      <c r="AH1079"/>
      <c r="AI1079" s="447"/>
      <c r="AJ1079"/>
      <c r="AK1079"/>
      <c r="AL1079" s="447"/>
      <c r="AM1079"/>
      <c r="AN1079"/>
      <c r="AO1079" s="447"/>
      <c r="AP1079"/>
      <c r="AQ1079"/>
      <c r="AS1079"/>
      <c r="AT1079" s="447"/>
      <c r="AU1079"/>
      <c r="AV1079"/>
      <c r="AW1079" s="447"/>
      <c r="AX1079"/>
      <c r="AY1079"/>
      <c r="AZ1079" s="447"/>
      <c r="BA1079"/>
      <c r="BB1079"/>
      <c r="BC1079" s="447"/>
      <c r="BD1079"/>
      <c r="BE1079"/>
    </row>
    <row r="1080" spans="4:57">
      <c r="D1080" s="447"/>
      <c r="G1080" s="447"/>
      <c r="J1080" s="447"/>
      <c r="M1080" s="447"/>
      <c r="R1080" s="447"/>
      <c r="S1080"/>
      <c r="T1080"/>
      <c r="U1080" s="447"/>
      <c r="V1080"/>
      <c r="W1080"/>
      <c r="X1080" s="447"/>
      <c r="Y1080"/>
      <c r="Z1080"/>
      <c r="AA1080" s="447"/>
      <c r="AB1080"/>
      <c r="AC1080"/>
      <c r="AE1080"/>
      <c r="AF1080" s="447"/>
      <c r="AG1080"/>
      <c r="AH1080"/>
      <c r="AI1080" s="447"/>
      <c r="AJ1080"/>
      <c r="AK1080"/>
      <c r="AL1080" s="447"/>
      <c r="AM1080"/>
      <c r="AN1080"/>
      <c r="AO1080" s="447"/>
      <c r="AP1080"/>
      <c r="AQ1080"/>
      <c r="AS1080"/>
      <c r="AT1080" s="447"/>
      <c r="AU1080"/>
      <c r="AV1080"/>
      <c r="AW1080" s="447"/>
      <c r="AX1080"/>
      <c r="AY1080"/>
      <c r="AZ1080" s="447"/>
      <c r="BA1080"/>
      <c r="BB1080"/>
      <c r="BC1080" s="447"/>
      <c r="BD1080"/>
      <c r="BE1080"/>
    </row>
    <row r="1081" spans="4:57">
      <c r="D1081" s="447"/>
      <c r="G1081" s="447"/>
      <c r="J1081" s="447"/>
      <c r="M1081" s="447"/>
      <c r="R1081" s="447"/>
      <c r="S1081"/>
      <c r="T1081"/>
      <c r="U1081" s="447"/>
      <c r="V1081"/>
      <c r="W1081"/>
      <c r="X1081" s="447"/>
      <c r="Y1081"/>
      <c r="Z1081"/>
      <c r="AA1081" s="447"/>
      <c r="AB1081"/>
      <c r="AC1081"/>
      <c r="AE1081"/>
      <c r="AF1081" s="447"/>
      <c r="AG1081"/>
      <c r="AH1081"/>
      <c r="AI1081" s="447"/>
      <c r="AJ1081"/>
      <c r="AK1081"/>
      <c r="AL1081" s="447"/>
      <c r="AM1081"/>
      <c r="AN1081"/>
      <c r="AO1081" s="447"/>
      <c r="AP1081"/>
      <c r="AQ1081"/>
      <c r="AS1081"/>
      <c r="AT1081" s="447"/>
      <c r="AU1081"/>
      <c r="AV1081"/>
      <c r="AW1081" s="447"/>
      <c r="AX1081"/>
      <c r="AY1081"/>
      <c r="AZ1081" s="447"/>
      <c r="BA1081"/>
      <c r="BB1081"/>
      <c r="BC1081" s="447"/>
      <c r="BD1081"/>
      <c r="BE1081"/>
    </row>
    <row r="1082" spans="4:57">
      <c r="D1082" s="447"/>
      <c r="G1082" s="447"/>
      <c r="J1082" s="447"/>
      <c r="M1082" s="447"/>
      <c r="R1082" s="447"/>
      <c r="S1082"/>
      <c r="T1082"/>
      <c r="U1082" s="447"/>
      <c r="V1082"/>
      <c r="W1082"/>
      <c r="X1082" s="447"/>
      <c r="Y1082"/>
      <c r="Z1082"/>
      <c r="AA1082" s="447"/>
      <c r="AB1082"/>
      <c r="AC1082"/>
      <c r="AE1082"/>
      <c r="AF1082" s="447"/>
      <c r="AG1082"/>
      <c r="AH1082"/>
      <c r="AI1082" s="447"/>
      <c r="AJ1082"/>
      <c r="AK1082"/>
      <c r="AL1082" s="447"/>
      <c r="AM1082"/>
      <c r="AN1082"/>
      <c r="AO1082" s="447"/>
      <c r="AP1082"/>
      <c r="AQ1082"/>
      <c r="AS1082"/>
      <c r="AT1082" s="447"/>
      <c r="AU1082"/>
      <c r="AV1082"/>
      <c r="AW1082" s="447"/>
      <c r="AX1082"/>
      <c r="AY1082"/>
      <c r="AZ1082" s="447"/>
      <c r="BA1082"/>
      <c r="BB1082"/>
      <c r="BC1082" s="447"/>
      <c r="BD1082"/>
      <c r="BE1082"/>
    </row>
    <row r="1083" spans="4:57">
      <c r="D1083" s="447"/>
      <c r="G1083" s="447"/>
      <c r="J1083" s="447"/>
      <c r="M1083" s="447"/>
      <c r="R1083" s="447"/>
      <c r="S1083"/>
      <c r="T1083"/>
      <c r="U1083" s="447"/>
      <c r="V1083"/>
      <c r="W1083"/>
      <c r="X1083" s="447"/>
      <c r="Y1083"/>
      <c r="Z1083"/>
      <c r="AA1083" s="447"/>
      <c r="AB1083"/>
      <c r="AC1083"/>
      <c r="AE1083"/>
      <c r="AF1083" s="447"/>
      <c r="AG1083"/>
      <c r="AH1083"/>
      <c r="AI1083" s="447"/>
      <c r="AJ1083"/>
      <c r="AK1083"/>
      <c r="AL1083" s="447"/>
      <c r="AM1083"/>
      <c r="AN1083"/>
      <c r="AO1083" s="447"/>
      <c r="AP1083"/>
      <c r="AQ1083"/>
      <c r="AS1083"/>
      <c r="AT1083" s="447"/>
      <c r="AU1083"/>
      <c r="AV1083"/>
      <c r="AW1083" s="447"/>
      <c r="AX1083"/>
      <c r="AY1083"/>
      <c r="AZ1083" s="447"/>
      <c r="BA1083"/>
      <c r="BB1083"/>
      <c r="BC1083" s="447"/>
      <c r="BD1083"/>
      <c r="BE1083"/>
    </row>
    <row r="1084" spans="4:57">
      <c r="D1084" s="447"/>
      <c r="G1084" s="447"/>
      <c r="J1084" s="447"/>
      <c r="M1084" s="447"/>
      <c r="R1084" s="447"/>
      <c r="S1084"/>
      <c r="T1084"/>
      <c r="U1084" s="447"/>
      <c r="V1084"/>
      <c r="W1084"/>
      <c r="X1084" s="447"/>
      <c r="Y1084"/>
      <c r="Z1084"/>
      <c r="AA1084" s="447"/>
      <c r="AB1084"/>
      <c r="AC1084"/>
      <c r="AE1084"/>
      <c r="AF1084" s="447"/>
      <c r="AG1084"/>
      <c r="AH1084"/>
      <c r="AI1084" s="447"/>
      <c r="AJ1084"/>
      <c r="AK1084"/>
      <c r="AL1084" s="447"/>
      <c r="AM1084"/>
      <c r="AN1084"/>
      <c r="AO1084" s="447"/>
      <c r="AP1084"/>
      <c r="AQ1084"/>
      <c r="AS1084"/>
      <c r="AT1084" s="447"/>
      <c r="AU1084"/>
      <c r="AV1084"/>
      <c r="AW1084" s="447"/>
      <c r="AX1084"/>
      <c r="AY1084"/>
      <c r="AZ1084" s="447"/>
      <c r="BA1084"/>
      <c r="BB1084"/>
      <c r="BC1084" s="447"/>
      <c r="BD1084"/>
      <c r="BE1084"/>
    </row>
    <row r="1085" spans="4:57">
      <c r="D1085" s="447"/>
      <c r="G1085" s="447"/>
      <c r="J1085" s="447"/>
      <c r="M1085" s="447"/>
      <c r="R1085" s="447"/>
      <c r="S1085"/>
      <c r="T1085"/>
      <c r="U1085" s="447"/>
      <c r="V1085"/>
      <c r="W1085"/>
      <c r="X1085" s="447"/>
      <c r="Y1085"/>
      <c r="Z1085"/>
      <c r="AA1085" s="447"/>
      <c r="AB1085"/>
      <c r="AC1085"/>
      <c r="AE1085"/>
      <c r="AF1085" s="447"/>
      <c r="AG1085"/>
      <c r="AH1085"/>
      <c r="AI1085" s="447"/>
      <c r="AJ1085"/>
      <c r="AK1085"/>
      <c r="AL1085" s="447"/>
      <c r="AM1085"/>
      <c r="AN1085"/>
      <c r="AO1085" s="447"/>
      <c r="AP1085"/>
      <c r="AQ1085"/>
      <c r="AS1085"/>
      <c r="AT1085" s="447"/>
      <c r="AU1085"/>
      <c r="AV1085"/>
      <c r="AW1085" s="447"/>
      <c r="AX1085"/>
      <c r="AY1085"/>
      <c r="AZ1085" s="447"/>
      <c r="BA1085"/>
      <c r="BB1085"/>
      <c r="BC1085" s="447"/>
      <c r="BD1085"/>
      <c r="BE1085"/>
    </row>
    <row r="1086" spans="4:57">
      <c r="D1086" s="447"/>
      <c r="G1086" s="447"/>
      <c r="J1086" s="447"/>
      <c r="M1086" s="447"/>
      <c r="R1086" s="447"/>
      <c r="S1086"/>
      <c r="T1086"/>
      <c r="U1086" s="447"/>
      <c r="V1086"/>
      <c r="W1086"/>
      <c r="X1086" s="447"/>
      <c r="Y1086"/>
      <c r="Z1086"/>
      <c r="AA1086" s="447"/>
      <c r="AB1086"/>
      <c r="AC1086"/>
      <c r="AE1086"/>
      <c r="AF1086" s="447"/>
      <c r="AG1086"/>
      <c r="AH1086"/>
      <c r="AI1086" s="447"/>
      <c r="AJ1086"/>
      <c r="AK1086"/>
      <c r="AL1086" s="447"/>
      <c r="AM1086"/>
      <c r="AN1086"/>
      <c r="AO1086" s="447"/>
      <c r="AP1086"/>
      <c r="AQ1086"/>
      <c r="AS1086"/>
      <c r="AT1086" s="447"/>
      <c r="AU1086"/>
      <c r="AV1086"/>
      <c r="AW1086" s="447"/>
      <c r="AX1086"/>
      <c r="AY1086"/>
      <c r="AZ1086" s="447"/>
      <c r="BA1086"/>
      <c r="BB1086"/>
      <c r="BC1086" s="447"/>
      <c r="BD1086"/>
      <c r="BE1086"/>
    </row>
    <row r="1087" spans="4:57">
      <c r="D1087" s="447"/>
      <c r="G1087" s="447"/>
      <c r="J1087" s="447"/>
      <c r="M1087" s="447"/>
      <c r="R1087" s="447"/>
      <c r="S1087"/>
      <c r="T1087"/>
      <c r="U1087" s="447"/>
      <c r="V1087"/>
      <c r="W1087"/>
      <c r="X1087" s="447"/>
      <c r="Y1087"/>
      <c r="Z1087"/>
      <c r="AA1087" s="447"/>
      <c r="AB1087"/>
      <c r="AC1087"/>
      <c r="AE1087"/>
      <c r="AF1087" s="447"/>
      <c r="AG1087"/>
      <c r="AH1087"/>
      <c r="AI1087" s="447"/>
      <c r="AJ1087"/>
      <c r="AK1087"/>
      <c r="AL1087" s="447"/>
      <c r="AM1087"/>
      <c r="AN1087"/>
      <c r="AO1087" s="447"/>
      <c r="AP1087"/>
      <c r="AQ1087"/>
      <c r="AS1087"/>
      <c r="AT1087" s="447"/>
      <c r="AU1087"/>
      <c r="AV1087"/>
      <c r="AW1087" s="447"/>
      <c r="AX1087"/>
      <c r="AY1087"/>
      <c r="AZ1087" s="447"/>
      <c r="BA1087"/>
      <c r="BB1087"/>
      <c r="BC1087" s="447"/>
      <c r="BD1087"/>
      <c r="BE1087"/>
    </row>
    <row r="1088" spans="4:57">
      <c r="D1088" s="447"/>
      <c r="G1088" s="447"/>
      <c r="J1088" s="447"/>
      <c r="M1088" s="447"/>
      <c r="R1088" s="447"/>
      <c r="S1088"/>
      <c r="T1088"/>
      <c r="U1088" s="447"/>
      <c r="V1088"/>
      <c r="W1088"/>
      <c r="X1088" s="447"/>
      <c r="Y1088"/>
      <c r="Z1088"/>
      <c r="AA1088" s="447"/>
      <c r="AB1088"/>
      <c r="AC1088"/>
      <c r="AE1088"/>
      <c r="AF1088" s="447"/>
      <c r="AG1088"/>
      <c r="AH1088"/>
      <c r="AI1088" s="447"/>
      <c r="AJ1088"/>
      <c r="AK1088"/>
      <c r="AL1088" s="447"/>
      <c r="AM1088"/>
      <c r="AN1088"/>
      <c r="AO1088" s="447"/>
      <c r="AP1088"/>
      <c r="AQ1088"/>
      <c r="AS1088"/>
      <c r="AT1088" s="447"/>
      <c r="AU1088"/>
      <c r="AV1088"/>
      <c r="AW1088" s="447"/>
      <c r="AX1088"/>
      <c r="AY1088"/>
      <c r="AZ1088" s="447"/>
      <c r="BA1088"/>
      <c r="BB1088"/>
      <c r="BC1088" s="447"/>
      <c r="BD1088"/>
      <c r="BE1088"/>
    </row>
    <row r="1089" spans="4:57">
      <c r="D1089" s="447"/>
      <c r="G1089" s="447"/>
      <c r="J1089" s="447"/>
      <c r="M1089" s="447"/>
      <c r="R1089" s="447"/>
      <c r="S1089"/>
      <c r="T1089"/>
      <c r="U1089" s="447"/>
      <c r="V1089"/>
      <c r="W1089"/>
      <c r="X1089" s="447"/>
      <c r="Y1089"/>
      <c r="Z1089"/>
      <c r="AA1089" s="447"/>
      <c r="AB1089"/>
      <c r="AC1089"/>
      <c r="AE1089"/>
      <c r="AF1089" s="447"/>
      <c r="AG1089"/>
      <c r="AH1089"/>
      <c r="AI1089" s="447"/>
      <c r="AJ1089"/>
      <c r="AK1089"/>
      <c r="AL1089" s="447"/>
      <c r="AM1089"/>
      <c r="AN1089"/>
      <c r="AO1089" s="447"/>
      <c r="AP1089"/>
      <c r="AQ1089"/>
      <c r="AS1089"/>
      <c r="AT1089" s="447"/>
      <c r="AU1089"/>
      <c r="AV1089"/>
      <c r="AW1089" s="447"/>
      <c r="AX1089"/>
      <c r="AY1089"/>
      <c r="AZ1089" s="447"/>
      <c r="BA1089"/>
      <c r="BB1089"/>
      <c r="BC1089" s="447"/>
      <c r="BD1089"/>
      <c r="BE1089"/>
    </row>
    <row r="1090" spans="4:57">
      <c r="D1090" s="447"/>
      <c r="G1090" s="447"/>
      <c r="J1090" s="447"/>
      <c r="M1090" s="447"/>
      <c r="R1090" s="447"/>
      <c r="S1090"/>
      <c r="T1090"/>
      <c r="U1090" s="447"/>
      <c r="V1090"/>
      <c r="W1090"/>
      <c r="X1090" s="447"/>
      <c r="Y1090"/>
      <c r="Z1090"/>
      <c r="AA1090" s="447"/>
      <c r="AB1090"/>
      <c r="AC1090"/>
      <c r="AE1090"/>
      <c r="AF1090" s="447"/>
      <c r="AG1090"/>
      <c r="AH1090"/>
      <c r="AI1090" s="447"/>
      <c r="AJ1090"/>
      <c r="AK1090"/>
      <c r="AL1090" s="447"/>
      <c r="AM1090"/>
      <c r="AN1090"/>
      <c r="AO1090" s="447"/>
      <c r="AP1090"/>
      <c r="AQ1090"/>
      <c r="AS1090"/>
      <c r="AT1090" s="447"/>
      <c r="AU1090"/>
      <c r="AV1090"/>
      <c r="AW1090" s="447"/>
      <c r="AX1090"/>
      <c r="AY1090"/>
      <c r="AZ1090" s="447"/>
      <c r="BA1090"/>
      <c r="BB1090"/>
      <c r="BC1090" s="447"/>
      <c r="BD1090"/>
      <c r="BE1090"/>
    </row>
    <row r="1091" spans="4:57">
      <c r="D1091" s="447"/>
      <c r="G1091" s="447"/>
      <c r="J1091" s="447"/>
      <c r="M1091" s="447"/>
      <c r="R1091" s="447"/>
      <c r="S1091"/>
      <c r="T1091"/>
      <c r="U1091" s="447"/>
      <c r="V1091"/>
      <c r="W1091"/>
      <c r="X1091" s="447"/>
      <c r="Y1091"/>
      <c r="Z1091"/>
      <c r="AA1091" s="447"/>
      <c r="AB1091"/>
      <c r="AC1091"/>
      <c r="AE1091"/>
      <c r="AF1091" s="447"/>
      <c r="AG1091"/>
      <c r="AH1091"/>
      <c r="AI1091" s="447"/>
      <c r="AJ1091"/>
      <c r="AK1091"/>
      <c r="AL1091" s="447"/>
      <c r="AM1091"/>
      <c r="AN1091"/>
      <c r="AO1091" s="447"/>
      <c r="AP1091"/>
      <c r="AQ1091"/>
      <c r="AS1091"/>
      <c r="AT1091" s="447"/>
      <c r="AU1091"/>
      <c r="AV1091"/>
      <c r="AW1091" s="447"/>
      <c r="AX1091"/>
      <c r="AY1091"/>
      <c r="AZ1091" s="447"/>
      <c r="BA1091"/>
      <c r="BB1091"/>
      <c r="BC1091" s="447"/>
      <c r="BD1091"/>
      <c r="BE1091"/>
    </row>
    <row r="1092" spans="4:57">
      <c r="D1092" s="447"/>
      <c r="G1092" s="447"/>
      <c r="J1092" s="447"/>
      <c r="M1092" s="447"/>
      <c r="R1092" s="447"/>
      <c r="S1092"/>
      <c r="T1092"/>
      <c r="U1092" s="447"/>
      <c r="V1092"/>
      <c r="W1092"/>
      <c r="X1092" s="447"/>
      <c r="Y1092"/>
      <c r="Z1092"/>
      <c r="AA1092" s="447"/>
      <c r="AB1092"/>
      <c r="AC1092"/>
      <c r="AE1092"/>
      <c r="AF1092" s="447"/>
      <c r="AG1092"/>
      <c r="AH1092"/>
      <c r="AI1092" s="447"/>
      <c r="AJ1092"/>
      <c r="AK1092"/>
      <c r="AL1092" s="447"/>
      <c r="AM1092"/>
      <c r="AN1092"/>
      <c r="AO1092" s="447"/>
      <c r="AP1092"/>
      <c r="AQ1092"/>
      <c r="AS1092"/>
      <c r="AT1092" s="447"/>
      <c r="AU1092"/>
      <c r="AV1092"/>
      <c r="AW1092" s="447"/>
      <c r="AX1092"/>
      <c r="AY1092"/>
      <c r="AZ1092" s="447"/>
      <c r="BA1092"/>
      <c r="BB1092"/>
      <c r="BC1092" s="447"/>
      <c r="BD1092"/>
      <c r="BE1092"/>
    </row>
    <row r="1093" spans="4:57">
      <c r="D1093" s="447"/>
      <c r="G1093" s="447"/>
      <c r="J1093" s="447"/>
      <c r="M1093" s="447"/>
      <c r="R1093" s="447"/>
      <c r="S1093"/>
      <c r="T1093"/>
      <c r="U1093" s="447"/>
      <c r="V1093"/>
      <c r="W1093"/>
      <c r="X1093" s="447"/>
      <c r="Y1093"/>
      <c r="Z1093"/>
      <c r="AA1093" s="447"/>
      <c r="AB1093"/>
      <c r="AC1093"/>
      <c r="AE1093"/>
      <c r="AF1093" s="447"/>
      <c r="AG1093"/>
      <c r="AH1093"/>
      <c r="AI1093" s="447"/>
      <c r="AJ1093"/>
      <c r="AK1093"/>
      <c r="AL1093" s="447"/>
      <c r="AM1093"/>
      <c r="AN1093"/>
      <c r="AO1093" s="447"/>
      <c r="AP1093"/>
      <c r="AQ1093"/>
      <c r="AS1093"/>
      <c r="AT1093" s="447"/>
      <c r="AU1093"/>
      <c r="AV1093"/>
      <c r="AW1093" s="447"/>
      <c r="AX1093"/>
      <c r="AY1093"/>
      <c r="AZ1093" s="447"/>
      <c r="BA1093"/>
      <c r="BB1093"/>
      <c r="BC1093" s="447"/>
      <c r="BD1093"/>
      <c r="BE1093"/>
    </row>
    <row r="1094" spans="4:57">
      <c r="D1094" s="447"/>
      <c r="G1094" s="447"/>
      <c r="J1094" s="447"/>
      <c r="M1094" s="447"/>
      <c r="R1094" s="447"/>
      <c r="S1094"/>
      <c r="T1094"/>
      <c r="U1094" s="447"/>
      <c r="V1094"/>
      <c r="W1094"/>
      <c r="X1094" s="447"/>
      <c r="Y1094"/>
      <c r="Z1094"/>
      <c r="AA1094" s="447"/>
      <c r="AB1094"/>
      <c r="AC1094"/>
      <c r="AE1094"/>
      <c r="AF1094" s="447"/>
      <c r="AG1094"/>
      <c r="AH1094"/>
      <c r="AI1094" s="447"/>
      <c r="AJ1094"/>
      <c r="AK1094"/>
      <c r="AL1094" s="447"/>
      <c r="AM1094"/>
      <c r="AN1094"/>
      <c r="AO1094" s="447"/>
      <c r="AP1094"/>
      <c r="AQ1094"/>
      <c r="AS1094"/>
      <c r="AT1094" s="447"/>
      <c r="AU1094"/>
      <c r="AV1094"/>
      <c r="AW1094" s="447"/>
      <c r="AX1094"/>
      <c r="AY1094"/>
      <c r="AZ1094" s="447"/>
      <c r="BA1094"/>
      <c r="BB1094"/>
      <c r="BC1094" s="447"/>
      <c r="BD1094"/>
      <c r="BE1094"/>
    </row>
    <row r="1095" spans="4:57">
      <c r="D1095" s="447"/>
      <c r="G1095" s="447"/>
      <c r="J1095" s="447"/>
      <c r="M1095" s="447"/>
      <c r="R1095" s="447"/>
      <c r="S1095"/>
      <c r="T1095"/>
      <c r="U1095" s="447"/>
      <c r="V1095"/>
      <c r="W1095"/>
      <c r="X1095" s="447"/>
      <c r="Y1095"/>
      <c r="Z1095"/>
      <c r="AA1095" s="447"/>
      <c r="AB1095"/>
      <c r="AC1095"/>
      <c r="AE1095"/>
      <c r="AF1095" s="447"/>
      <c r="AG1095"/>
      <c r="AH1095"/>
      <c r="AI1095" s="447"/>
      <c r="AJ1095"/>
      <c r="AK1095"/>
      <c r="AL1095" s="447"/>
      <c r="AM1095"/>
      <c r="AN1095"/>
      <c r="AO1095" s="447"/>
      <c r="AP1095"/>
      <c r="AQ1095"/>
      <c r="AS1095"/>
      <c r="AT1095" s="447"/>
      <c r="AU1095"/>
      <c r="AV1095"/>
      <c r="AW1095" s="447"/>
      <c r="AX1095"/>
      <c r="AY1095"/>
      <c r="AZ1095" s="447"/>
      <c r="BA1095"/>
      <c r="BB1095"/>
      <c r="BC1095" s="447"/>
      <c r="BD1095"/>
      <c r="BE1095"/>
    </row>
    <row r="1096" spans="4:57">
      <c r="D1096" s="447"/>
      <c r="G1096" s="447"/>
      <c r="J1096" s="447"/>
      <c r="M1096" s="447"/>
      <c r="R1096" s="447"/>
      <c r="S1096"/>
      <c r="T1096"/>
      <c r="U1096" s="447"/>
      <c r="V1096"/>
      <c r="W1096"/>
      <c r="X1096" s="447"/>
      <c r="Y1096"/>
      <c r="Z1096"/>
      <c r="AA1096" s="447"/>
      <c r="AB1096"/>
      <c r="AC1096"/>
      <c r="AE1096"/>
      <c r="AF1096" s="447"/>
      <c r="AG1096"/>
      <c r="AH1096"/>
      <c r="AI1096" s="447"/>
      <c r="AJ1096"/>
      <c r="AK1096"/>
      <c r="AL1096" s="447"/>
      <c r="AM1096"/>
      <c r="AN1096"/>
      <c r="AO1096" s="447"/>
      <c r="AP1096"/>
      <c r="AQ1096"/>
      <c r="AS1096"/>
      <c r="AT1096" s="447"/>
      <c r="AU1096"/>
      <c r="AV1096"/>
      <c r="AW1096" s="447"/>
      <c r="AX1096"/>
      <c r="AY1096"/>
      <c r="AZ1096" s="447"/>
      <c r="BA1096"/>
      <c r="BB1096"/>
      <c r="BC1096" s="447"/>
      <c r="BD1096"/>
      <c r="BE1096"/>
    </row>
    <row r="1097" spans="4:57">
      <c r="D1097" s="447"/>
      <c r="G1097" s="447"/>
      <c r="J1097" s="447"/>
      <c r="M1097" s="447"/>
      <c r="R1097" s="447"/>
      <c r="S1097"/>
      <c r="T1097"/>
      <c r="U1097" s="447"/>
      <c r="V1097"/>
      <c r="W1097"/>
      <c r="X1097" s="447"/>
      <c r="Y1097"/>
      <c r="Z1097"/>
      <c r="AA1097" s="447"/>
      <c r="AB1097"/>
      <c r="AC1097"/>
      <c r="AE1097"/>
      <c r="AF1097" s="447"/>
      <c r="AG1097"/>
      <c r="AH1097"/>
      <c r="AI1097" s="447"/>
      <c r="AJ1097"/>
      <c r="AK1097"/>
      <c r="AL1097" s="447"/>
      <c r="AM1097"/>
      <c r="AN1097"/>
      <c r="AO1097" s="447"/>
      <c r="AP1097"/>
      <c r="AQ1097"/>
      <c r="AS1097"/>
      <c r="AT1097" s="447"/>
      <c r="AU1097"/>
      <c r="AV1097"/>
      <c r="AW1097" s="447"/>
      <c r="AX1097"/>
      <c r="AY1097"/>
      <c r="AZ1097" s="447"/>
      <c r="BA1097"/>
      <c r="BB1097"/>
      <c r="BC1097" s="447"/>
      <c r="BD1097"/>
      <c r="BE1097"/>
    </row>
    <row r="1098" spans="4:57">
      <c r="D1098" s="447"/>
      <c r="G1098" s="447"/>
      <c r="J1098" s="447"/>
      <c r="M1098" s="447"/>
      <c r="R1098" s="447"/>
      <c r="S1098"/>
      <c r="T1098"/>
      <c r="U1098" s="447"/>
      <c r="V1098"/>
      <c r="W1098"/>
      <c r="X1098" s="447"/>
      <c r="Y1098"/>
      <c r="Z1098"/>
      <c r="AA1098" s="447"/>
      <c r="AB1098"/>
      <c r="AC1098"/>
      <c r="AE1098"/>
      <c r="AF1098" s="447"/>
      <c r="AG1098"/>
      <c r="AH1098"/>
      <c r="AI1098" s="447"/>
      <c r="AJ1098"/>
      <c r="AK1098"/>
      <c r="AL1098" s="447"/>
      <c r="AM1098"/>
      <c r="AN1098"/>
      <c r="AO1098" s="447"/>
      <c r="AP1098"/>
      <c r="AQ1098"/>
      <c r="AS1098"/>
      <c r="AT1098" s="447"/>
      <c r="AU1098"/>
      <c r="AV1098"/>
      <c r="AW1098" s="447"/>
      <c r="AX1098"/>
      <c r="AY1098"/>
      <c r="AZ1098" s="447"/>
      <c r="BA1098"/>
      <c r="BB1098"/>
      <c r="BC1098" s="447"/>
      <c r="BD1098"/>
      <c r="BE1098"/>
    </row>
    <row r="1099" spans="4:57">
      <c r="D1099" s="447"/>
      <c r="G1099" s="447"/>
      <c r="J1099" s="447"/>
      <c r="M1099" s="447"/>
      <c r="R1099" s="447"/>
      <c r="S1099"/>
      <c r="T1099"/>
      <c r="U1099" s="447"/>
      <c r="V1099"/>
      <c r="W1099"/>
      <c r="X1099" s="447"/>
      <c r="Y1099"/>
      <c r="Z1099"/>
      <c r="AA1099" s="447"/>
      <c r="AB1099"/>
      <c r="AC1099"/>
      <c r="AE1099"/>
      <c r="AF1099" s="447"/>
      <c r="AG1099"/>
      <c r="AH1099"/>
      <c r="AI1099" s="447"/>
      <c r="AJ1099"/>
      <c r="AK1099"/>
      <c r="AL1099" s="447"/>
      <c r="AM1099"/>
      <c r="AN1099"/>
      <c r="AO1099" s="447"/>
      <c r="AP1099"/>
      <c r="AQ1099"/>
      <c r="AS1099"/>
      <c r="AT1099" s="447"/>
      <c r="AU1099"/>
      <c r="AV1099"/>
      <c r="AW1099" s="447"/>
      <c r="AX1099"/>
      <c r="AY1099"/>
      <c r="AZ1099" s="447"/>
      <c r="BA1099"/>
      <c r="BB1099"/>
      <c r="BC1099" s="447"/>
      <c r="BD1099"/>
      <c r="BE1099"/>
    </row>
    <row r="1100" spans="4:57">
      <c r="D1100" s="447"/>
      <c r="G1100" s="447"/>
      <c r="J1100" s="447"/>
      <c r="M1100" s="447"/>
      <c r="R1100" s="447"/>
      <c r="S1100"/>
      <c r="T1100"/>
      <c r="U1100" s="447"/>
      <c r="V1100"/>
      <c r="W1100"/>
      <c r="X1100" s="447"/>
      <c r="Y1100"/>
      <c r="Z1100"/>
      <c r="AA1100" s="447"/>
      <c r="AB1100"/>
      <c r="AC1100"/>
      <c r="AE1100"/>
      <c r="AF1100" s="447"/>
      <c r="AG1100"/>
      <c r="AH1100"/>
      <c r="AI1100" s="447"/>
      <c r="AJ1100"/>
      <c r="AK1100"/>
      <c r="AL1100" s="447"/>
      <c r="AM1100"/>
      <c r="AN1100"/>
      <c r="AO1100" s="447"/>
      <c r="AP1100"/>
      <c r="AQ1100"/>
      <c r="AS1100"/>
      <c r="AT1100" s="447"/>
      <c r="AU1100"/>
      <c r="AV1100"/>
      <c r="AW1100" s="447"/>
      <c r="AX1100"/>
      <c r="AY1100"/>
      <c r="AZ1100" s="447"/>
      <c r="BA1100"/>
      <c r="BB1100"/>
      <c r="BC1100" s="447"/>
      <c r="BD1100"/>
      <c r="BE1100"/>
    </row>
    <row r="1101" spans="4:57">
      <c r="D1101" s="447"/>
      <c r="G1101" s="447"/>
      <c r="J1101" s="447"/>
      <c r="M1101" s="447"/>
      <c r="R1101" s="447"/>
      <c r="S1101"/>
      <c r="T1101"/>
      <c r="U1101" s="447"/>
      <c r="V1101"/>
      <c r="W1101"/>
      <c r="X1101" s="447"/>
      <c r="Y1101"/>
      <c r="Z1101"/>
      <c r="AA1101" s="447"/>
      <c r="AB1101"/>
      <c r="AC1101"/>
      <c r="AE1101"/>
      <c r="AF1101" s="447"/>
      <c r="AG1101"/>
      <c r="AH1101"/>
      <c r="AI1101" s="447"/>
      <c r="AJ1101"/>
      <c r="AK1101"/>
      <c r="AL1101" s="447"/>
      <c r="AM1101"/>
      <c r="AN1101"/>
      <c r="AO1101" s="447"/>
      <c r="AP1101"/>
      <c r="AQ1101"/>
      <c r="AS1101"/>
      <c r="AT1101" s="447"/>
      <c r="AU1101"/>
      <c r="AV1101"/>
      <c r="AW1101" s="447"/>
      <c r="AX1101"/>
      <c r="AY1101"/>
      <c r="AZ1101" s="447"/>
      <c r="BA1101"/>
      <c r="BB1101"/>
      <c r="BC1101" s="447"/>
      <c r="BD1101"/>
      <c r="BE1101"/>
    </row>
    <row r="1102" spans="4:57">
      <c r="D1102" s="447"/>
      <c r="G1102" s="447"/>
      <c r="J1102" s="447"/>
      <c r="M1102" s="447"/>
      <c r="R1102" s="447"/>
      <c r="S1102"/>
      <c r="T1102"/>
      <c r="U1102" s="447"/>
      <c r="V1102"/>
      <c r="W1102"/>
      <c r="X1102" s="447"/>
      <c r="Y1102"/>
      <c r="Z1102"/>
      <c r="AA1102" s="447"/>
      <c r="AB1102"/>
      <c r="AC1102"/>
      <c r="AE1102"/>
      <c r="AF1102" s="447"/>
      <c r="AG1102"/>
      <c r="AH1102"/>
      <c r="AI1102" s="447"/>
      <c r="AJ1102"/>
      <c r="AK1102"/>
      <c r="AL1102" s="447"/>
      <c r="AM1102"/>
      <c r="AN1102"/>
      <c r="AO1102" s="447"/>
      <c r="AP1102"/>
      <c r="AQ1102"/>
      <c r="AS1102"/>
      <c r="AT1102" s="447"/>
      <c r="AU1102"/>
      <c r="AV1102"/>
      <c r="AW1102" s="447"/>
      <c r="AX1102"/>
      <c r="AY1102"/>
      <c r="AZ1102" s="447"/>
      <c r="BA1102"/>
      <c r="BB1102"/>
      <c r="BC1102" s="447"/>
      <c r="BD1102"/>
      <c r="BE1102"/>
    </row>
    <row r="1103" spans="4:57">
      <c r="D1103" s="447"/>
      <c r="G1103" s="447"/>
      <c r="J1103" s="447"/>
      <c r="M1103" s="447"/>
      <c r="R1103" s="447"/>
      <c r="S1103"/>
      <c r="T1103"/>
      <c r="U1103" s="447"/>
      <c r="V1103"/>
      <c r="W1103"/>
      <c r="X1103" s="447"/>
      <c r="Y1103"/>
      <c r="Z1103"/>
      <c r="AA1103" s="447"/>
      <c r="AB1103"/>
      <c r="AC1103"/>
      <c r="AE1103"/>
      <c r="AF1103" s="447"/>
      <c r="AG1103"/>
      <c r="AH1103"/>
      <c r="AI1103" s="447"/>
      <c r="AJ1103"/>
      <c r="AK1103"/>
      <c r="AL1103" s="447"/>
      <c r="AM1103"/>
      <c r="AN1103"/>
      <c r="AO1103" s="447"/>
      <c r="AP1103"/>
      <c r="AQ1103"/>
      <c r="AS1103"/>
      <c r="AT1103" s="447"/>
      <c r="AU1103"/>
      <c r="AV1103"/>
      <c r="AW1103" s="447"/>
      <c r="AX1103"/>
      <c r="AY1103"/>
      <c r="AZ1103" s="447"/>
      <c r="BA1103"/>
      <c r="BB1103"/>
      <c r="BC1103" s="447"/>
      <c r="BD1103"/>
      <c r="BE1103"/>
    </row>
    <row r="1104" spans="4:57">
      <c r="D1104" s="447"/>
      <c r="G1104" s="447"/>
      <c r="J1104" s="447"/>
      <c r="M1104" s="447"/>
      <c r="R1104" s="447"/>
      <c r="S1104"/>
      <c r="T1104"/>
      <c r="U1104" s="447"/>
      <c r="V1104"/>
      <c r="W1104"/>
      <c r="X1104" s="447"/>
      <c r="Y1104"/>
      <c r="Z1104"/>
      <c r="AA1104" s="447"/>
      <c r="AB1104"/>
      <c r="AC1104"/>
      <c r="AE1104"/>
      <c r="AF1104" s="447"/>
      <c r="AG1104"/>
      <c r="AH1104"/>
      <c r="AI1104" s="447"/>
      <c r="AJ1104"/>
      <c r="AK1104"/>
      <c r="AL1104" s="447"/>
      <c r="AM1104"/>
      <c r="AN1104"/>
      <c r="AO1104" s="447"/>
      <c r="AP1104"/>
      <c r="AQ1104"/>
      <c r="AS1104"/>
      <c r="AT1104" s="447"/>
      <c r="AU1104"/>
      <c r="AV1104"/>
      <c r="AW1104" s="447"/>
      <c r="AX1104"/>
      <c r="AY1104"/>
      <c r="AZ1104" s="447"/>
      <c r="BA1104"/>
      <c r="BB1104"/>
      <c r="BC1104" s="447"/>
      <c r="BD1104"/>
      <c r="BE1104"/>
    </row>
    <row r="1105" spans="4:57">
      <c r="D1105" s="447"/>
      <c r="G1105" s="447"/>
      <c r="J1105" s="447"/>
      <c r="M1105" s="447"/>
      <c r="R1105" s="447"/>
      <c r="S1105"/>
      <c r="T1105"/>
      <c r="U1105" s="447"/>
      <c r="V1105"/>
      <c r="W1105"/>
      <c r="X1105" s="447"/>
      <c r="Y1105"/>
      <c r="Z1105"/>
      <c r="AA1105" s="447"/>
      <c r="AB1105"/>
      <c r="AC1105"/>
      <c r="AE1105"/>
      <c r="AF1105" s="447"/>
      <c r="AG1105"/>
      <c r="AH1105"/>
      <c r="AI1105" s="447"/>
      <c r="AJ1105"/>
      <c r="AK1105"/>
      <c r="AL1105" s="447"/>
      <c r="AM1105"/>
      <c r="AN1105"/>
      <c r="AO1105" s="447"/>
      <c r="AP1105"/>
      <c r="AQ1105"/>
      <c r="AS1105"/>
      <c r="AT1105" s="447"/>
      <c r="AU1105"/>
      <c r="AV1105"/>
      <c r="AW1105" s="447"/>
      <c r="AX1105"/>
      <c r="AY1105"/>
      <c r="AZ1105" s="447"/>
      <c r="BA1105"/>
      <c r="BB1105"/>
      <c r="BC1105" s="447"/>
      <c r="BD1105"/>
      <c r="BE1105"/>
    </row>
    <row r="1106" spans="4:57">
      <c r="D1106" s="447"/>
      <c r="G1106" s="447"/>
      <c r="J1106" s="447"/>
      <c r="M1106" s="447"/>
      <c r="R1106" s="447"/>
      <c r="S1106"/>
      <c r="T1106"/>
      <c r="U1106" s="447"/>
      <c r="V1106"/>
      <c r="W1106"/>
      <c r="X1106" s="447"/>
      <c r="Y1106"/>
      <c r="Z1106"/>
      <c r="AA1106" s="447"/>
      <c r="AB1106"/>
      <c r="AC1106"/>
      <c r="AE1106"/>
      <c r="AF1106" s="447"/>
      <c r="AG1106"/>
      <c r="AH1106"/>
      <c r="AI1106" s="447"/>
      <c r="AJ1106"/>
      <c r="AK1106"/>
      <c r="AL1106" s="447"/>
      <c r="AM1106"/>
      <c r="AN1106"/>
      <c r="AO1106" s="447"/>
      <c r="AP1106"/>
      <c r="AQ1106"/>
      <c r="AS1106"/>
      <c r="AT1106" s="447"/>
      <c r="AU1106"/>
      <c r="AV1106"/>
      <c r="AW1106" s="447"/>
      <c r="AX1106"/>
      <c r="AY1106"/>
      <c r="AZ1106" s="447"/>
      <c r="BA1106"/>
      <c r="BB1106"/>
      <c r="BC1106" s="447"/>
      <c r="BD1106"/>
      <c r="BE1106"/>
    </row>
    <row r="1107" spans="4:57">
      <c r="D1107" s="447"/>
      <c r="G1107" s="447"/>
      <c r="J1107" s="447"/>
      <c r="M1107" s="447"/>
      <c r="R1107" s="447"/>
      <c r="S1107"/>
      <c r="T1107"/>
      <c r="U1107" s="447"/>
      <c r="V1107"/>
      <c r="W1107"/>
      <c r="X1107" s="447"/>
      <c r="Y1107"/>
      <c r="Z1107"/>
      <c r="AA1107" s="447"/>
      <c r="AB1107"/>
      <c r="AC1107"/>
      <c r="AE1107"/>
      <c r="AF1107" s="447"/>
      <c r="AG1107"/>
      <c r="AH1107"/>
      <c r="AI1107" s="447"/>
      <c r="AJ1107"/>
      <c r="AK1107"/>
      <c r="AL1107" s="447"/>
      <c r="AM1107"/>
      <c r="AN1107"/>
      <c r="AO1107" s="447"/>
      <c r="AP1107"/>
      <c r="AQ1107"/>
      <c r="AS1107"/>
      <c r="AT1107" s="447"/>
      <c r="AU1107"/>
      <c r="AV1107"/>
      <c r="AW1107" s="447"/>
      <c r="AX1107"/>
      <c r="AY1107"/>
      <c r="AZ1107" s="447"/>
      <c r="BA1107"/>
      <c r="BB1107"/>
      <c r="BC1107" s="447"/>
      <c r="BD1107"/>
      <c r="BE1107"/>
    </row>
    <row r="1108" spans="4:57">
      <c r="D1108" s="447"/>
      <c r="G1108" s="447"/>
      <c r="J1108" s="447"/>
      <c r="M1108" s="447"/>
      <c r="R1108" s="447"/>
      <c r="S1108"/>
      <c r="T1108"/>
      <c r="U1108" s="447"/>
      <c r="V1108"/>
      <c r="W1108"/>
      <c r="X1108" s="447"/>
      <c r="Y1108"/>
      <c r="Z1108"/>
      <c r="AA1108" s="447"/>
      <c r="AB1108"/>
      <c r="AC1108"/>
      <c r="AE1108"/>
      <c r="AF1108" s="447"/>
      <c r="AG1108"/>
      <c r="AH1108"/>
      <c r="AI1108" s="447"/>
      <c r="AJ1108"/>
      <c r="AK1108"/>
      <c r="AL1108" s="447"/>
      <c r="AM1108"/>
      <c r="AN1108"/>
      <c r="AO1108" s="447"/>
      <c r="AP1108"/>
      <c r="AQ1108"/>
      <c r="AS1108"/>
      <c r="AT1108" s="447"/>
      <c r="AU1108"/>
      <c r="AV1108"/>
      <c r="AW1108" s="447"/>
      <c r="AX1108"/>
      <c r="AY1108"/>
      <c r="AZ1108" s="447"/>
      <c r="BA1108"/>
      <c r="BB1108"/>
      <c r="BC1108" s="447"/>
      <c r="BD1108"/>
      <c r="BE1108"/>
    </row>
    <row r="1109" spans="4:57">
      <c r="D1109" s="447"/>
      <c r="G1109" s="447"/>
      <c r="J1109" s="447"/>
      <c r="M1109" s="447"/>
      <c r="R1109" s="447"/>
      <c r="S1109"/>
      <c r="T1109"/>
      <c r="U1109" s="447"/>
      <c r="V1109"/>
      <c r="W1109"/>
      <c r="X1109" s="447"/>
      <c r="Y1109"/>
      <c r="Z1109"/>
      <c r="AA1109" s="447"/>
      <c r="AB1109"/>
      <c r="AC1109"/>
      <c r="AE1109"/>
      <c r="AF1109" s="447"/>
      <c r="AG1109"/>
      <c r="AH1109"/>
      <c r="AI1109" s="447"/>
      <c r="AJ1109"/>
      <c r="AK1109"/>
      <c r="AL1109" s="447"/>
      <c r="AM1109"/>
      <c r="AN1109"/>
      <c r="AO1109" s="447"/>
      <c r="AP1109"/>
      <c r="AQ1109"/>
      <c r="AS1109"/>
      <c r="AT1109" s="447"/>
      <c r="AU1109"/>
      <c r="AV1109"/>
      <c r="AW1109" s="447"/>
      <c r="AX1109"/>
      <c r="AY1109"/>
      <c r="AZ1109" s="447"/>
      <c r="BA1109"/>
      <c r="BB1109"/>
      <c r="BC1109" s="447"/>
      <c r="BD1109"/>
      <c r="BE1109"/>
    </row>
    <row r="1110" spans="4:57">
      <c r="D1110" s="447"/>
      <c r="G1110" s="447"/>
      <c r="J1110" s="447"/>
      <c r="M1110" s="447"/>
      <c r="R1110" s="447"/>
      <c r="S1110"/>
      <c r="T1110"/>
      <c r="U1110" s="447"/>
      <c r="V1110"/>
      <c r="W1110"/>
      <c r="X1110" s="447"/>
      <c r="Y1110"/>
      <c r="Z1110"/>
      <c r="AA1110" s="447"/>
      <c r="AB1110"/>
      <c r="AC1110"/>
      <c r="AE1110"/>
      <c r="AF1110" s="447"/>
      <c r="AG1110"/>
      <c r="AH1110"/>
      <c r="AI1110" s="447"/>
      <c r="AJ1110"/>
      <c r="AK1110"/>
      <c r="AL1110" s="447"/>
      <c r="AM1110"/>
      <c r="AN1110"/>
      <c r="AO1110" s="447"/>
      <c r="AP1110"/>
      <c r="AQ1110"/>
      <c r="AS1110"/>
      <c r="AT1110" s="447"/>
      <c r="AU1110"/>
      <c r="AV1110"/>
      <c r="AW1110" s="447"/>
      <c r="AX1110"/>
      <c r="AY1110"/>
      <c r="AZ1110" s="447"/>
      <c r="BA1110"/>
      <c r="BB1110"/>
      <c r="BC1110" s="447"/>
      <c r="BD1110"/>
      <c r="BE1110"/>
    </row>
    <row r="1111" spans="4:57">
      <c r="D1111" s="447"/>
      <c r="G1111" s="447"/>
      <c r="J1111" s="447"/>
      <c r="M1111" s="447"/>
      <c r="R1111" s="447"/>
      <c r="S1111"/>
      <c r="T1111"/>
      <c r="U1111" s="447"/>
      <c r="V1111"/>
      <c r="W1111"/>
      <c r="X1111" s="447"/>
      <c r="Y1111"/>
      <c r="Z1111"/>
      <c r="AA1111" s="447"/>
      <c r="AB1111"/>
      <c r="AC1111"/>
      <c r="AE1111"/>
      <c r="AF1111" s="447"/>
      <c r="AG1111"/>
      <c r="AH1111"/>
      <c r="AI1111" s="447"/>
      <c r="AJ1111"/>
      <c r="AK1111"/>
      <c r="AL1111" s="447"/>
      <c r="AM1111"/>
      <c r="AN1111"/>
      <c r="AO1111" s="447"/>
      <c r="AP1111"/>
      <c r="AQ1111"/>
      <c r="AS1111"/>
      <c r="AT1111" s="447"/>
      <c r="AU1111"/>
      <c r="AV1111"/>
      <c r="AW1111" s="447"/>
      <c r="AX1111"/>
      <c r="AY1111"/>
      <c r="AZ1111" s="447"/>
      <c r="BA1111"/>
      <c r="BB1111"/>
      <c r="BC1111" s="447"/>
      <c r="BD1111"/>
      <c r="BE1111"/>
    </row>
    <row r="1112" spans="4:57">
      <c r="D1112" s="447"/>
      <c r="G1112" s="447"/>
      <c r="J1112" s="447"/>
      <c r="M1112" s="447"/>
      <c r="R1112" s="447"/>
      <c r="S1112"/>
      <c r="T1112"/>
      <c r="U1112" s="447"/>
      <c r="V1112"/>
      <c r="W1112"/>
      <c r="X1112" s="447"/>
      <c r="Y1112"/>
      <c r="Z1112"/>
      <c r="AA1112" s="447"/>
      <c r="AB1112"/>
      <c r="AC1112"/>
      <c r="AE1112"/>
      <c r="AF1112" s="447"/>
      <c r="AG1112"/>
      <c r="AH1112"/>
      <c r="AI1112" s="447"/>
      <c r="AJ1112"/>
      <c r="AK1112"/>
      <c r="AL1112" s="447"/>
      <c r="AM1112"/>
      <c r="AN1112"/>
      <c r="AO1112" s="447"/>
      <c r="AP1112"/>
      <c r="AQ1112"/>
      <c r="AS1112"/>
      <c r="AT1112" s="447"/>
      <c r="AU1112"/>
      <c r="AV1112"/>
      <c r="AW1112" s="447"/>
      <c r="AX1112"/>
      <c r="AY1112"/>
      <c r="AZ1112" s="447"/>
      <c r="BA1112"/>
      <c r="BB1112"/>
      <c r="BC1112" s="447"/>
      <c r="BD1112"/>
      <c r="BE1112"/>
    </row>
    <row r="1113" spans="4:57">
      <c r="D1113" s="447"/>
      <c r="G1113" s="447"/>
      <c r="J1113" s="447"/>
      <c r="M1113" s="447"/>
      <c r="R1113" s="447"/>
      <c r="S1113"/>
      <c r="T1113"/>
      <c r="U1113" s="447"/>
      <c r="V1113"/>
      <c r="W1113"/>
      <c r="X1113" s="447"/>
      <c r="Y1113"/>
      <c r="Z1113"/>
      <c r="AA1113" s="447"/>
      <c r="AB1113"/>
      <c r="AC1113"/>
      <c r="AE1113"/>
      <c r="AF1113" s="447"/>
      <c r="AG1113"/>
      <c r="AH1113"/>
      <c r="AI1113" s="447"/>
      <c r="AJ1113"/>
      <c r="AK1113"/>
      <c r="AL1113" s="447"/>
      <c r="AM1113"/>
      <c r="AN1113"/>
      <c r="AO1113" s="447"/>
      <c r="AP1113"/>
      <c r="AQ1113"/>
      <c r="AS1113"/>
      <c r="AT1113" s="447"/>
      <c r="AU1113"/>
      <c r="AV1113"/>
      <c r="AW1113" s="447"/>
      <c r="AX1113"/>
      <c r="AY1113"/>
      <c r="AZ1113" s="447"/>
      <c r="BA1113"/>
      <c r="BB1113"/>
      <c r="BC1113" s="447"/>
      <c r="BD1113"/>
      <c r="BE1113"/>
    </row>
    <row r="1114" spans="4:57">
      <c r="D1114" s="447"/>
      <c r="G1114" s="447"/>
      <c r="J1114" s="447"/>
      <c r="M1114" s="447"/>
      <c r="R1114" s="447"/>
      <c r="S1114"/>
      <c r="T1114"/>
      <c r="U1114" s="447"/>
      <c r="V1114"/>
      <c r="W1114"/>
      <c r="X1114" s="447"/>
      <c r="Y1114"/>
      <c r="Z1114"/>
      <c r="AA1114" s="447"/>
      <c r="AB1114"/>
      <c r="AC1114"/>
      <c r="AE1114"/>
      <c r="AF1114" s="447"/>
      <c r="AG1114"/>
      <c r="AH1114"/>
      <c r="AI1114" s="447"/>
      <c r="AJ1114"/>
      <c r="AK1114"/>
      <c r="AL1114" s="447"/>
      <c r="AM1114"/>
      <c r="AN1114"/>
      <c r="AO1114" s="447"/>
      <c r="AP1114"/>
      <c r="AQ1114"/>
      <c r="AS1114"/>
      <c r="AT1114" s="447"/>
      <c r="AU1114"/>
      <c r="AV1114"/>
      <c r="AW1114" s="447"/>
      <c r="AX1114"/>
      <c r="AY1114"/>
      <c r="AZ1114" s="447"/>
      <c r="BA1114"/>
      <c r="BB1114"/>
      <c r="BC1114" s="447"/>
      <c r="BD1114"/>
      <c r="BE1114"/>
    </row>
    <row r="1115" spans="4:57">
      <c r="D1115" s="447"/>
      <c r="G1115" s="447"/>
      <c r="J1115" s="447"/>
      <c r="M1115" s="447"/>
      <c r="R1115" s="447"/>
      <c r="S1115"/>
      <c r="T1115"/>
      <c r="U1115" s="447"/>
      <c r="V1115"/>
      <c r="W1115"/>
      <c r="X1115" s="447"/>
      <c r="Y1115"/>
      <c r="Z1115"/>
      <c r="AA1115" s="447"/>
      <c r="AB1115"/>
      <c r="AC1115"/>
      <c r="AE1115"/>
      <c r="AF1115" s="447"/>
      <c r="AG1115"/>
      <c r="AH1115"/>
      <c r="AI1115" s="447"/>
      <c r="AJ1115"/>
      <c r="AK1115"/>
      <c r="AL1115" s="447"/>
      <c r="AM1115"/>
      <c r="AN1115"/>
      <c r="AO1115" s="447"/>
      <c r="AP1115"/>
      <c r="AQ1115"/>
      <c r="AS1115"/>
      <c r="AT1115" s="447"/>
      <c r="AU1115"/>
      <c r="AV1115"/>
      <c r="AW1115" s="447"/>
      <c r="AX1115"/>
      <c r="AY1115"/>
      <c r="AZ1115" s="447"/>
      <c r="BA1115"/>
      <c r="BB1115"/>
      <c r="BC1115" s="447"/>
      <c r="BD1115"/>
      <c r="BE1115"/>
    </row>
    <row r="1116" spans="4:57">
      <c r="D1116" s="447"/>
      <c r="G1116" s="447"/>
      <c r="J1116" s="447"/>
      <c r="M1116" s="447"/>
      <c r="R1116" s="447"/>
      <c r="S1116"/>
      <c r="T1116"/>
      <c r="U1116" s="447"/>
      <c r="V1116"/>
      <c r="W1116"/>
      <c r="X1116" s="447"/>
      <c r="Y1116"/>
      <c r="Z1116"/>
      <c r="AA1116" s="447"/>
      <c r="AB1116"/>
      <c r="AC1116"/>
      <c r="AE1116"/>
      <c r="AF1116" s="447"/>
      <c r="AG1116"/>
      <c r="AH1116"/>
      <c r="AI1116" s="447"/>
      <c r="AJ1116"/>
      <c r="AK1116"/>
      <c r="AL1116" s="447"/>
      <c r="AM1116"/>
      <c r="AN1116"/>
      <c r="AO1116" s="447"/>
      <c r="AP1116"/>
      <c r="AQ1116"/>
      <c r="AS1116"/>
      <c r="AT1116" s="447"/>
      <c r="AU1116"/>
      <c r="AV1116"/>
      <c r="AW1116" s="447"/>
      <c r="AX1116"/>
      <c r="AY1116"/>
      <c r="AZ1116" s="447"/>
      <c r="BA1116"/>
      <c r="BB1116"/>
      <c r="BC1116" s="447"/>
      <c r="BD1116"/>
      <c r="BE1116"/>
    </row>
    <row r="1117" spans="4:57">
      <c r="D1117" s="447"/>
      <c r="G1117" s="447"/>
      <c r="J1117" s="447"/>
      <c r="M1117" s="447"/>
      <c r="R1117" s="447"/>
      <c r="S1117"/>
      <c r="T1117"/>
      <c r="U1117" s="447"/>
      <c r="V1117"/>
      <c r="W1117"/>
      <c r="X1117" s="447"/>
      <c r="Y1117"/>
      <c r="Z1117"/>
      <c r="AA1117" s="447"/>
      <c r="AB1117"/>
      <c r="AC1117"/>
      <c r="AE1117"/>
      <c r="AF1117" s="447"/>
      <c r="AG1117"/>
      <c r="AH1117"/>
      <c r="AI1117" s="447"/>
      <c r="AJ1117"/>
      <c r="AK1117"/>
      <c r="AL1117" s="447"/>
      <c r="AM1117"/>
      <c r="AN1117"/>
      <c r="AO1117" s="447"/>
      <c r="AP1117"/>
      <c r="AQ1117"/>
      <c r="AS1117"/>
      <c r="AT1117" s="447"/>
      <c r="AU1117"/>
      <c r="AV1117"/>
      <c r="AW1117" s="447"/>
      <c r="AX1117"/>
      <c r="AY1117"/>
      <c r="AZ1117" s="447"/>
      <c r="BA1117"/>
      <c r="BB1117"/>
      <c r="BC1117" s="447"/>
      <c r="BD1117"/>
      <c r="BE1117"/>
    </row>
    <row r="1118" spans="4:57">
      <c r="D1118" s="447"/>
      <c r="G1118" s="447"/>
      <c r="J1118" s="447"/>
      <c r="M1118" s="447"/>
      <c r="R1118" s="447"/>
      <c r="S1118"/>
      <c r="T1118"/>
      <c r="U1118" s="447"/>
      <c r="V1118"/>
      <c r="W1118"/>
      <c r="X1118" s="447"/>
      <c r="Y1118"/>
      <c r="Z1118"/>
      <c r="AA1118" s="447"/>
      <c r="AB1118"/>
      <c r="AC1118"/>
      <c r="AE1118"/>
      <c r="AF1118" s="447"/>
      <c r="AG1118"/>
      <c r="AH1118"/>
      <c r="AI1118" s="447"/>
      <c r="AJ1118"/>
      <c r="AK1118"/>
      <c r="AL1118" s="447"/>
      <c r="AM1118"/>
      <c r="AN1118"/>
      <c r="AO1118" s="447"/>
      <c r="AP1118"/>
      <c r="AQ1118"/>
      <c r="AS1118"/>
      <c r="AT1118" s="447"/>
      <c r="AU1118"/>
      <c r="AV1118"/>
      <c r="AW1118" s="447"/>
      <c r="AX1118"/>
      <c r="AY1118"/>
      <c r="AZ1118" s="447"/>
      <c r="BA1118"/>
      <c r="BB1118"/>
      <c r="BC1118" s="447"/>
      <c r="BD1118"/>
      <c r="BE1118"/>
    </row>
    <row r="1119" spans="4:57">
      <c r="D1119" s="447"/>
      <c r="G1119" s="447"/>
      <c r="J1119" s="447"/>
      <c r="M1119" s="447"/>
      <c r="R1119" s="447"/>
      <c r="S1119"/>
      <c r="T1119"/>
      <c r="U1119" s="447"/>
      <c r="V1119"/>
      <c r="W1119"/>
      <c r="X1119" s="447"/>
      <c r="Y1119"/>
      <c r="Z1119"/>
      <c r="AA1119" s="447"/>
      <c r="AB1119"/>
      <c r="AC1119"/>
      <c r="AE1119"/>
      <c r="AF1119" s="447"/>
      <c r="AG1119"/>
      <c r="AH1119"/>
      <c r="AI1119" s="447"/>
      <c r="AJ1119"/>
      <c r="AK1119"/>
      <c r="AL1119" s="447"/>
      <c r="AM1119"/>
      <c r="AN1119"/>
      <c r="AO1119" s="447"/>
      <c r="AP1119"/>
      <c r="AQ1119"/>
      <c r="AS1119"/>
      <c r="AT1119" s="447"/>
      <c r="AU1119"/>
      <c r="AV1119"/>
      <c r="AW1119" s="447"/>
      <c r="AX1119"/>
      <c r="AY1119"/>
      <c r="AZ1119" s="447"/>
      <c r="BA1119"/>
      <c r="BB1119"/>
      <c r="BC1119" s="447"/>
      <c r="BD1119"/>
      <c r="BE1119"/>
    </row>
    <row r="1120" spans="4:57">
      <c r="D1120" s="447"/>
      <c r="G1120" s="447"/>
      <c r="J1120" s="447"/>
      <c r="M1120" s="447"/>
      <c r="R1120" s="447"/>
      <c r="S1120"/>
      <c r="T1120"/>
      <c r="U1120" s="447"/>
      <c r="V1120"/>
      <c r="W1120"/>
      <c r="X1120" s="447"/>
      <c r="Y1120"/>
      <c r="Z1120"/>
      <c r="AA1120" s="447"/>
      <c r="AB1120"/>
      <c r="AC1120"/>
      <c r="AE1120"/>
      <c r="AF1120" s="447"/>
      <c r="AG1120"/>
      <c r="AH1120"/>
      <c r="AI1120" s="447"/>
      <c r="AJ1120"/>
      <c r="AK1120"/>
      <c r="AL1120" s="447"/>
      <c r="AM1120"/>
      <c r="AN1120"/>
      <c r="AO1120" s="447"/>
      <c r="AP1120"/>
      <c r="AQ1120"/>
      <c r="AS1120"/>
      <c r="AT1120" s="447"/>
      <c r="AU1120"/>
      <c r="AV1120"/>
      <c r="AW1120" s="447"/>
      <c r="AX1120"/>
      <c r="AY1120"/>
      <c r="AZ1120" s="447"/>
      <c r="BA1120"/>
      <c r="BB1120"/>
      <c r="BC1120" s="447"/>
      <c r="BD1120"/>
      <c r="BE1120"/>
    </row>
    <row r="1121" spans="4:57">
      <c r="D1121" s="447"/>
      <c r="G1121" s="447"/>
      <c r="J1121" s="447"/>
      <c r="M1121" s="447"/>
      <c r="R1121" s="447"/>
      <c r="S1121"/>
      <c r="T1121"/>
      <c r="U1121" s="447"/>
      <c r="V1121"/>
      <c r="W1121"/>
      <c r="X1121" s="447"/>
      <c r="Y1121"/>
      <c r="Z1121"/>
      <c r="AA1121" s="447"/>
      <c r="AB1121"/>
      <c r="AC1121"/>
      <c r="AE1121"/>
      <c r="AF1121" s="447"/>
      <c r="AG1121"/>
      <c r="AH1121"/>
      <c r="AI1121" s="447"/>
      <c r="AJ1121"/>
      <c r="AK1121"/>
      <c r="AL1121" s="447"/>
      <c r="AM1121"/>
      <c r="AN1121"/>
      <c r="AO1121" s="447"/>
      <c r="AP1121"/>
      <c r="AQ1121"/>
      <c r="AS1121"/>
      <c r="AT1121" s="447"/>
      <c r="AU1121"/>
      <c r="AV1121"/>
      <c r="AW1121" s="447"/>
      <c r="AX1121"/>
      <c r="AY1121"/>
      <c r="AZ1121" s="447"/>
      <c r="BA1121"/>
      <c r="BB1121"/>
      <c r="BC1121" s="447"/>
      <c r="BD1121"/>
      <c r="BE1121"/>
    </row>
    <row r="1122" spans="4:57">
      <c r="D1122" s="447"/>
      <c r="G1122" s="447"/>
      <c r="J1122" s="447"/>
      <c r="M1122" s="447"/>
      <c r="R1122" s="447"/>
      <c r="S1122"/>
      <c r="T1122"/>
      <c r="U1122" s="447"/>
      <c r="V1122"/>
      <c r="W1122"/>
      <c r="X1122" s="447"/>
      <c r="Y1122"/>
      <c r="Z1122"/>
      <c r="AA1122" s="447"/>
      <c r="AB1122"/>
      <c r="AC1122"/>
      <c r="AE1122"/>
      <c r="AF1122" s="447"/>
      <c r="AG1122"/>
      <c r="AH1122"/>
      <c r="AI1122" s="447"/>
      <c r="AJ1122"/>
      <c r="AK1122"/>
      <c r="AL1122" s="447"/>
      <c r="AM1122"/>
      <c r="AN1122"/>
      <c r="AO1122" s="447"/>
      <c r="AP1122"/>
      <c r="AQ1122"/>
      <c r="AS1122"/>
      <c r="AT1122" s="447"/>
      <c r="AU1122"/>
      <c r="AV1122"/>
      <c r="AW1122" s="447"/>
      <c r="AX1122"/>
      <c r="AY1122"/>
      <c r="AZ1122" s="447"/>
      <c r="BA1122"/>
      <c r="BB1122"/>
      <c r="BC1122" s="447"/>
      <c r="BD1122"/>
      <c r="BE1122"/>
    </row>
    <row r="1123" spans="4:57">
      <c r="D1123" s="447"/>
      <c r="G1123" s="447"/>
      <c r="J1123" s="447"/>
      <c r="M1123" s="447"/>
      <c r="R1123" s="447"/>
      <c r="S1123"/>
      <c r="T1123"/>
      <c r="U1123" s="447"/>
      <c r="V1123"/>
      <c r="W1123"/>
      <c r="X1123" s="447"/>
      <c r="Y1123"/>
      <c r="Z1123"/>
      <c r="AA1123" s="447"/>
      <c r="AB1123"/>
      <c r="AC1123"/>
      <c r="AE1123"/>
      <c r="AF1123" s="447"/>
      <c r="AG1123"/>
      <c r="AH1123"/>
      <c r="AI1123" s="447"/>
      <c r="AJ1123"/>
      <c r="AK1123"/>
      <c r="AL1123" s="447"/>
      <c r="AM1123"/>
      <c r="AN1123"/>
      <c r="AO1123" s="447"/>
      <c r="AP1123"/>
      <c r="AQ1123"/>
      <c r="AS1123"/>
      <c r="AT1123" s="447"/>
      <c r="AU1123"/>
      <c r="AV1123"/>
      <c r="AW1123" s="447"/>
      <c r="AX1123"/>
      <c r="AY1123"/>
      <c r="AZ1123" s="447"/>
      <c r="BA1123"/>
      <c r="BB1123"/>
      <c r="BC1123" s="447"/>
      <c r="BD1123"/>
      <c r="BE1123"/>
    </row>
    <row r="1124" spans="4:57">
      <c r="D1124" s="447"/>
      <c r="G1124" s="447"/>
      <c r="J1124" s="447"/>
      <c r="M1124" s="447"/>
      <c r="R1124" s="447"/>
      <c r="S1124"/>
      <c r="T1124"/>
      <c r="U1124" s="447"/>
      <c r="V1124"/>
      <c r="W1124"/>
      <c r="X1124" s="447"/>
      <c r="Y1124"/>
      <c r="Z1124"/>
      <c r="AA1124" s="447"/>
      <c r="AB1124"/>
      <c r="AC1124"/>
      <c r="AE1124"/>
      <c r="AF1124" s="447"/>
      <c r="AG1124"/>
      <c r="AH1124"/>
      <c r="AI1124" s="447"/>
      <c r="AJ1124"/>
      <c r="AK1124"/>
      <c r="AL1124" s="447"/>
      <c r="AM1124"/>
      <c r="AN1124"/>
      <c r="AO1124" s="447"/>
      <c r="AP1124"/>
      <c r="AQ1124"/>
      <c r="AS1124"/>
      <c r="AT1124" s="447"/>
      <c r="AU1124"/>
      <c r="AV1124"/>
      <c r="AW1124" s="447"/>
      <c r="AX1124"/>
      <c r="AY1124"/>
      <c r="AZ1124" s="447"/>
      <c r="BA1124"/>
      <c r="BB1124"/>
      <c r="BC1124" s="447"/>
      <c r="BD1124"/>
      <c r="BE1124"/>
    </row>
    <row r="1125" spans="4:57">
      <c r="D1125" s="447"/>
      <c r="G1125" s="447"/>
      <c r="J1125" s="447"/>
      <c r="M1125" s="447"/>
      <c r="R1125" s="447"/>
      <c r="S1125"/>
      <c r="T1125"/>
      <c r="U1125" s="447"/>
      <c r="V1125"/>
      <c r="W1125"/>
      <c r="X1125" s="447"/>
      <c r="Y1125"/>
      <c r="Z1125"/>
      <c r="AA1125" s="447"/>
      <c r="AB1125"/>
      <c r="AC1125"/>
      <c r="AE1125"/>
      <c r="AF1125" s="447"/>
      <c r="AG1125"/>
      <c r="AH1125"/>
      <c r="AI1125" s="447"/>
      <c r="AJ1125"/>
      <c r="AK1125"/>
      <c r="AL1125" s="447"/>
      <c r="AM1125"/>
      <c r="AN1125"/>
      <c r="AO1125" s="447"/>
      <c r="AP1125"/>
      <c r="AQ1125"/>
      <c r="AS1125"/>
      <c r="AT1125" s="447"/>
      <c r="AU1125"/>
      <c r="AV1125"/>
      <c r="AW1125" s="447"/>
      <c r="AX1125"/>
      <c r="AY1125"/>
      <c r="AZ1125" s="447"/>
      <c r="BA1125"/>
      <c r="BB1125"/>
      <c r="BC1125" s="447"/>
      <c r="BD1125"/>
      <c r="BE1125"/>
    </row>
    <row r="1126" spans="4:57">
      <c r="D1126" s="447"/>
      <c r="G1126" s="447"/>
      <c r="J1126" s="447"/>
      <c r="M1126" s="447"/>
      <c r="R1126" s="447"/>
      <c r="S1126"/>
      <c r="T1126"/>
      <c r="U1126" s="447"/>
      <c r="V1126"/>
      <c r="W1126"/>
      <c r="X1126" s="447"/>
      <c r="Y1126"/>
      <c r="Z1126"/>
      <c r="AA1126" s="447"/>
      <c r="AB1126"/>
      <c r="AC1126"/>
      <c r="AE1126"/>
      <c r="AF1126" s="447"/>
      <c r="AG1126"/>
      <c r="AH1126"/>
      <c r="AI1126" s="447"/>
      <c r="AJ1126"/>
      <c r="AK1126"/>
      <c r="AL1126" s="447"/>
      <c r="AM1126"/>
      <c r="AN1126"/>
      <c r="AO1126" s="447"/>
      <c r="AP1126"/>
      <c r="AQ1126"/>
      <c r="AS1126"/>
      <c r="AT1126" s="447"/>
      <c r="AU1126"/>
      <c r="AV1126"/>
      <c r="AW1126" s="447"/>
      <c r="AX1126"/>
      <c r="AY1126"/>
      <c r="AZ1126" s="447"/>
      <c r="BA1126"/>
      <c r="BB1126"/>
      <c r="BC1126" s="447"/>
      <c r="BD1126"/>
      <c r="BE1126"/>
    </row>
    <row r="1127" spans="4:57">
      <c r="D1127" s="447"/>
      <c r="G1127" s="447"/>
      <c r="J1127" s="447"/>
      <c r="M1127" s="447"/>
      <c r="R1127" s="447"/>
      <c r="S1127"/>
      <c r="T1127"/>
      <c r="U1127" s="447"/>
      <c r="V1127"/>
      <c r="W1127"/>
      <c r="X1127" s="447"/>
      <c r="Y1127"/>
      <c r="Z1127"/>
      <c r="AA1127" s="447"/>
      <c r="AB1127"/>
      <c r="AC1127"/>
      <c r="AE1127"/>
      <c r="AF1127" s="447"/>
      <c r="AG1127"/>
      <c r="AH1127"/>
      <c r="AI1127" s="447"/>
      <c r="AJ1127"/>
      <c r="AK1127"/>
      <c r="AL1127" s="447"/>
      <c r="AM1127"/>
      <c r="AN1127"/>
      <c r="AO1127" s="447"/>
      <c r="AP1127"/>
      <c r="AQ1127"/>
      <c r="AS1127"/>
      <c r="AT1127" s="447"/>
      <c r="AU1127"/>
      <c r="AV1127"/>
      <c r="AW1127" s="447"/>
      <c r="AX1127"/>
      <c r="AY1127"/>
      <c r="AZ1127" s="447"/>
      <c r="BA1127"/>
      <c r="BB1127"/>
      <c r="BC1127" s="447"/>
      <c r="BD1127"/>
      <c r="BE1127"/>
    </row>
    <row r="1128" spans="4:57">
      <c r="D1128" s="447"/>
      <c r="G1128" s="447"/>
      <c r="J1128" s="447"/>
      <c r="M1128" s="447"/>
      <c r="R1128" s="447"/>
      <c r="S1128"/>
      <c r="T1128"/>
      <c r="U1128" s="447"/>
      <c r="V1128"/>
      <c r="W1128"/>
      <c r="X1128" s="447"/>
      <c r="Y1128"/>
      <c r="Z1128"/>
      <c r="AA1128" s="447"/>
      <c r="AB1128"/>
      <c r="AC1128"/>
      <c r="AE1128"/>
      <c r="AF1128" s="447"/>
      <c r="AG1128"/>
      <c r="AH1128"/>
      <c r="AI1128" s="447"/>
      <c r="AJ1128"/>
      <c r="AK1128"/>
      <c r="AL1128" s="447"/>
      <c r="AM1128"/>
      <c r="AN1128"/>
      <c r="AO1128" s="447"/>
      <c r="AP1128"/>
      <c r="AQ1128"/>
      <c r="AS1128"/>
      <c r="AT1128" s="447"/>
      <c r="AU1128"/>
      <c r="AV1128"/>
      <c r="AW1128" s="447"/>
      <c r="AX1128"/>
      <c r="AY1128"/>
      <c r="AZ1128" s="447"/>
      <c r="BA1128"/>
      <c r="BB1128"/>
      <c r="BC1128" s="447"/>
      <c r="BD1128"/>
      <c r="BE1128"/>
    </row>
    <row r="1129" spans="4:57">
      <c r="D1129" s="447"/>
      <c r="G1129" s="447"/>
      <c r="J1129" s="447"/>
      <c r="M1129" s="447"/>
      <c r="R1129" s="447"/>
      <c r="S1129"/>
      <c r="T1129"/>
      <c r="U1129" s="447"/>
      <c r="V1129"/>
      <c r="W1129"/>
      <c r="X1129" s="447"/>
      <c r="Y1129"/>
      <c r="Z1129"/>
      <c r="AA1129" s="447"/>
      <c r="AB1129"/>
      <c r="AC1129"/>
      <c r="AE1129"/>
      <c r="AF1129" s="447"/>
      <c r="AG1129"/>
      <c r="AH1129"/>
      <c r="AI1129" s="447"/>
      <c r="AJ1129"/>
      <c r="AK1129"/>
      <c r="AL1129" s="447"/>
      <c r="AM1129"/>
      <c r="AN1129"/>
      <c r="AO1129" s="447"/>
      <c r="AP1129"/>
      <c r="AQ1129"/>
      <c r="AS1129"/>
      <c r="AT1129" s="447"/>
      <c r="AU1129"/>
      <c r="AV1129"/>
      <c r="AW1129" s="447"/>
      <c r="AX1129"/>
      <c r="AY1129"/>
      <c r="AZ1129" s="447"/>
      <c r="BA1129"/>
      <c r="BB1129"/>
      <c r="BC1129" s="447"/>
      <c r="BD1129"/>
      <c r="BE1129"/>
    </row>
    <row r="1130" spans="4:57">
      <c r="D1130" s="447"/>
      <c r="G1130" s="447"/>
      <c r="J1130" s="447"/>
      <c r="M1130" s="447"/>
      <c r="R1130" s="447"/>
      <c r="S1130"/>
      <c r="T1130"/>
      <c r="U1130" s="447"/>
      <c r="V1130"/>
      <c r="W1130"/>
      <c r="X1130" s="447"/>
      <c r="Y1130"/>
      <c r="Z1130"/>
      <c r="AA1130" s="447"/>
      <c r="AB1130"/>
      <c r="AC1130"/>
      <c r="AE1130"/>
      <c r="AF1130" s="447"/>
      <c r="AG1130"/>
      <c r="AH1130"/>
      <c r="AI1130" s="447"/>
      <c r="AJ1130"/>
      <c r="AK1130"/>
      <c r="AL1130" s="447"/>
      <c r="AM1130"/>
      <c r="AN1130"/>
      <c r="AO1130" s="447"/>
      <c r="AP1130"/>
      <c r="AQ1130"/>
      <c r="AS1130"/>
      <c r="AT1130" s="447"/>
      <c r="AU1130"/>
      <c r="AV1130"/>
      <c r="AW1130" s="447"/>
      <c r="AX1130"/>
      <c r="AY1130"/>
      <c r="AZ1130" s="447"/>
      <c r="BA1130"/>
      <c r="BB1130"/>
      <c r="BC1130" s="447"/>
      <c r="BD1130"/>
      <c r="BE1130"/>
    </row>
    <row r="1131" spans="4:57">
      <c r="D1131" s="447"/>
      <c r="G1131" s="447"/>
      <c r="J1131" s="447"/>
      <c r="M1131" s="447"/>
      <c r="R1131" s="447"/>
      <c r="S1131"/>
      <c r="T1131"/>
      <c r="U1131" s="447"/>
      <c r="V1131"/>
      <c r="W1131"/>
      <c r="X1131" s="447"/>
      <c r="Y1131"/>
      <c r="Z1131"/>
      <c r="AA1131" s="447"/>
      <c r="AB1131"/>
      <c r="AC1131"/>
      <c r="AE1131"/>
      <c r="AF1131" s="447"/>
      <c r="AG1131"/>
      <c r="AH1131"/>
      <c r="AI1131" s="447"/>
      <c r="AJ1131"/>
      <c r="AK1131"/>
      <c r="AL1131" s="447"/>
      <c r="AM1131"/>
      <c r="AN1131"/>
      <c r="AO1131" s="447"/>
      <c r="AP1131"/>
      <c r="AQ1131"/>
      <c r="AS1131"/>
      <c r="AT1131" s="447"/>
      <c r="AU1131"/>
      <c r="AV1131"/>
      <c r="AW1131" s="447"/>
      <c r="AX1131"/>
      <c r="AY1131"/>
      <c r="AZ1131" s="447"/>
      <c r="BA1131"/>
      <c r="BB1131"/>
      <c r="BC1131" s="447"/>
      <c r="BD1131"/>
      <c r="BE1131"/>
    </row>
    <row r="1132" spans="4:57">
      <c r="D1132" s="447"/>
      <c r="G1132" s="447"/>
      <c r="J1132" s="447"/>
      <c r="M1132" s="447"/>
      <c r="R1132" s="447"/>
      <c r="S1132"/>
      <c r="T1132"/>
      <c r="U1132" s="447"/>
      <c r="V1132"/>
      <c r="W1132"/>
      <c r="X1132" s="447"/>
      <c r="Y1132"/>
      <c r="Z1132"/>
      <c r="AA1132" s="447"/>
      <c r="AB1132"/>
      <c r="AC1132"/>
      <c r="AE1132"/>
      <c r="AF1132" s="447"/>
      <c r="AG1132"/>
      <c r="AH1132"/>
      <c r="AI1132" s="447"/>
      <c r="AJ1132"/>
      <c r="AK1132"/>
      <c r="AL1132" s="447"/>
      <c r="AM1132"/>
      <c r="AN1132"/>
      <c r="AO1132" s="447"/>
      <c r="AP1132"/>
      <c r="AQ1132"/>
      <c r="AS1132"/>
      <c r="AT1132" s="447"/>
      <c r="AU1132"/>
      <c r="AV1132"/>
      <c r="AW1132" s="447"/>
      <c r="AX1132"/>
      <c r="AY1132"/>
      <c r="AZ1132" s="447"/>
      <c r="BA1132"/>
      <c r="BB1132"/>
      <c r="BC1132" s="447"/>
      <c r="BD1132"/>
      <c r="BE1132"/>
    </row>
    <row r="1133" spans="4:57">
      <c r="D1133" s="447"/>
      <c r="G1133" s="447"/>
      <c r="J1133" s="447"/>
      <c r="M1133" s="447"/>
      <c r="R1133" s="447"/>
      <c r="S1133"/>
      <c r="T1133"/>
      <c r="U1133" s="447"/>
      <c r="V1133"/>
      <c r="W1133"/>
      <c r="X1133" s="447"/>
      <c r="Y1133"/>
      <c r="Z1133"/>
      <c r="AA1133" s="447"/>
      <c r="AB1133"/>
      <c r="AC1133"/>
      <c r="AE1133"/>
      <c r="AF1133" s="447"/>
      <c r="AG1133"/>
      <c r="AH1133"/>
      <c r="AI1133" s="447"/>
      <c r="AJ1133"/>
      <c r="AK1133"/>
      <c r="AL1133" s="447"/>
      <c r="AM1133"/>
      <c r="AN1133"/>
      <c r="AO1133" s="447"/>
      <c r="AP1133"/>
      <c r="AQ1133"/>
      <c r="AS1133"/>
      <c r="AT1133" s="447"/>
      <c r="AU1133"/>
      <c r="AV1133"/>
      <c r="AW1133" s="447"/>
      <c r="AX1133"/>
      <c r="AY1133"/>
      <c r="AZ1133" s="447"/>
      <c r="BA1133"/>
      <c r="BB1133"/>
      <c r="BC1133" s="447"/>
      <c r="BD1133"/>
      <c r="BE1133"/>
    </row>
    <row r="1134" spans="4:57">
      <c r="D1134" s="447"/>
      <c r="G1134" s="447"/>
      <c r="J1134" s="447"/>
      <c r="M1134" s="447"/>
      <c r="R1134" s="447"/>
      <c r="S1134"/>
      <c r="T1134"/>
      <c r="U1134" s="447"/>
      <c r="V1134"/>
      <c r="W1134"/>
      <c r="X1134" s="447"/>
      <c r="Y1134"/>
      <c r="Z1134"/>
      <c r="AA1134" s="447"/>
      <c r="AB1134"/>
      <c r="AC1134"/>
      <c r="AE1134"/>
      <c r="AF1134" s="447"/>
      <c r="AG1134"/>
      <c r="AH1134"/>
      <c r="AI1134" s="447"/>
      <c r="AJ1134"/>
      <c r="AK1134"/>
      <c r="AL1134" s="447"/>
      <c r="AM1134"/>
      <c r="AN1134"/>
      <c r="AO1134" s="447"/>
      <c r="AP1134"/>
      <c r="AQ1134"/>
      <c r="AS1134"/>
      <c r="AT1134" s="447"/>
      <c r="AU1134"/>
      <c r="AV1134"/>
      <c r="AW1134" s="447"/>
      <c r="AX1134"/>
      <c r="AY1134"/>
      <c r="AZ1134" s="447"/>
      <c r="BA1134"/>
      <c r="BB1134"/>
      <c r="BC1134" s="447"/>
      <c r="BD1134"/>
      <c r="BE1134"/>
    </row>
    <row r="1135" spans="4:57">
      <c r="D1135" s="447"/>
      <c r="G1135" s="447"/>
      <c r="J1135" s="447"/>
      <c r="M1135" s="447"/>
      <c r="R1135" s="447"/>
      <c r="S1135"/>
      <c r="T1135"/>
      <c r="U1135" s="447"/>
      <c r="V1135"/>
      <c r="W1135"/>
      <c r="X1135" s="447"/>
      <c r="Y1135"/>
      <c r="Z1135"/>
      <c r="AA1135" s="447"/>
      <c r="AB1135"/>
      <c r="AC1135"/>
      <c r="AE1135"/>
      <c r="AF1135" s="447"/>
      <c r="AG1135"/>
      <c r="AH1135"/>
      <c r="AI1135" s="447"/>
      <c r="AJ1135"/>
      <c r="AK1135"/>
      <c r="AL1135" s="447"/>
      <c r="AM1135"/>
      <c r="AN1135"/>
      <c r="AO1135" s="447"/>
      <c r="AP1135"/>
      <c r="AQ1135"/>
      <c r="AS1135"/>
      <c r="AT1135" s="447"/>
      <c r="AU1135"/>
      <c r="AV1135"/>
      <c r="AW1135" s="447"/>
      <c r="AX1135"/>
      <c r="AY1135"/>
      <c r="AZ1135" s="447"/>
      <c r="BA1135"/>
      <c r="BB1135"/>
      <c r="BC1135" s="447"/>
      <c r="BD1135"/>
      <c r="BE1135"/>
    </row>
    <row r="1136" spans="4:57">
      <c r="D1136" s="447"/>
      <c r="G1136" s="447"/>
      <c r="J1136" s="447"/>
      <c r="M1136" s="447"/>
      <c r="R1136" s="447"/>
      <c r="S1136"/>
      <c r="T1136"/>
      <c r="U1136" s="447"/>
      <c r="V1136"/>
      <c r="W1136"/>
      <c r="X1136" s="447"/>
      <c r="Y1136"/>
      <c r="Z1136"/>
      <c r="AA1136" s="447"/>
      <c r="AB1136"/>
      <c r="AC1136"/>
      <c r="AE1136"/>
      <c r="AF1136" s="447"/>
      <c r="AG1136"/>
      <c r="AH1136"/>
      <c r="AI1136" s="447"/>
      <c r="AJ1136"/>
      <c r="AK1136"/>
      <c r="AL1136" s="447"/>
      <c r="AM1136"/>
      <c r="AN1136"/>
      <c r="AO1136" s="447"/>
      <c r="AP1136"/>
      <c r="AQ1136"/>
      <c r="AS1136"/>
      <c r="AT1136" s="447"/>
      <c r="AU1136"/>
      <c r="AV1136"/>
      <c r="AW1136" s="447"/>
      <c r="AX1136"/>
      <c r="AY1136"/>
      <c r="AZ1136" s="447"/>
      <c r="BA1136"/>
      <c r="BB1136"/>
      <c r="BC1136" s="447"/>
      <c r="BD1136"/>
      <c r="BE1136"/>
    </row>
    <row r="1137" spans="4:57">
      <c r="D1137" s="447"/>
      <c r="G1137" s="447"/>
      <c r="J1137" s="447"/>
      <c r="M1137" s="447"/>
      <c r="R1137" s="447"/>
      <c r="S1137"/>
      <c r="T1137"/>
      <c r="U1137" s="447"/>
      <c r="V1137"/>
      <c r="W1137"/>
      <c r="X1137" s="447"/>
      <c r="Y1137"/>
      <c r="Z1137"/>
      <c r="AA1137" s="447"/>
      <c r="AB1137"/>
      <c r="AC1137"/>
      <c r="AE1137"/>
      <c r="AF1137" s="447"/>
      <c r="AG1137"/>
      <c r="AH1137"/>
      <c r="AI1137" s="447"/>
      <c r="AJ1137"/>
      <c r="AK1137"/>
      <c r="AL1137" s="447"/>
      <c r="AM1137"/>
      <c r="AN1137"/>
      <c r="AO1137" s="447"/>
      <c r="AP1137"/>
      <c r="AQ1137"/>
      <c r="AS1137"/>
      <c r="AT1137" s="447"/>
      <c r="AU1137"/>
      <c r="AV1137"/>
      <c r="AW1137" s="447"/>
      <c r="AX1137"/>
      <c r="AY1137"/>
      <c r="AZ1137" s="447"/>
      <c r="BA1137"/>
      <c r="BB1137"/>
      <c r="BC1137" s="447"/>
      <c r="BD1137"/>
      <c r="BE1137"/>
    </row>
    <row r="1138" spans="4:57">
      <c r="D1138" s="447"/>
      <c r="G1138" s="447"/>
      <c r="J1138" s="447"/>
      <c r="M1138" s="447"/>
      <c r="R1138" s="447"/>
      <c r="S1138"/>
      <c r="T1138"/>
      <c r="U1138" s="447"/>
      <c r="V1138"/>
      <c r="W1138"/>
      <c r="X1138" s="447"/>
      <c r="Y1138"/>
      <c r="Z1138"/>
      <c r="AA1138" s="447"/>
      <c r="AB1138"/>
      <c r="AC1138"/>
      <c r="AE1138"/>
      <c r="AF1138" s="447"/>
      <c r="AG1138"/>
      <c r="AH1138"/>
      <c r="AI1138" s="447"/>
      <c r="AJ1138"/>
      <c r="AK1138"/>
      <c r="AL1138" s="447"/>
      <c r="AM1138"/>
      <c r="AN1138"/>
      <c r="AO1138" s="447"/>
      <c r="AP1138"/>
      <c r="AQ1138"/>
      <c r="AS1138"/>
      <c r="AT1138" s="447"/>
      <c r="AU1138"/>
      <c r="AV1138"/>
      <c r="AW1138" s="447"/>
      <c r="AX1138"/>
      <c r="AY1138"/>
      <c r="AZ1138" s="447"/>
      <c r="BA1138"/>
      <c r="BB1138"/>
      <c r="BC1138" s="447"/>
      <c r="BD1138"/>
      <c r="BE1138"/>
    </row>
    <row r="1139" spans="4:57">
      <c r="D1139" s="447"/>
      <c r="G1139" s="447"/>
      <c r="J1139" s="447"/>
      <c r="M1139" s="447"/>
      <c r="R1139" s="447"/>
      <c r="S1139"/>
      <c r="T1139"/>
      <c r="U1139" s="447"/>
      <c r="V1139"/>
      <c r="W1139"/>
      <c r="X1139" s="447"/>
      <c r="Y1139"/>
      <c r="Z1139"/>
      <c r="AA1139" s="447"/>
      <c r="AB1139"/>
      <c r="AC1139"/>
      <c r="AE1139"/>
      <c r="AF1139" s="447"/>
      <c r="AG1139"/>
      <c r="AH1139"/>
      <c r="AI1139" s="447"/>
      <c r="AJ1139"/>
      <c r="AK1139"/>
      <c r="AL1139" s="447"/>
      <c r="AM1139"/>
      <c r="AN1139"/>
      <c r="AO1139" s="447"/>
      <c r="AP1139"/>
      <c r="AQ1139"/>
      <c r="AS1139"/>
      <c r="AT1139" s="447"/>
      <c r="AU1139"/>
      <c r="AV1139"/>
      <c r="AW1139" s="447"/>
      <c r="AX1139"/>
      <c r="AY1139"/>
      <c r="AZ1139" s="447"/>
      <c r="BA1139"/>
      <c r="BB1139"/>
      <c r="BC1139" s="447"/>
      <c r="BD1139"/>
      <c r="BE1139"/>
    </row>
    <row r="1140" spans="4:57">
      <c r="D1140" s="447"/>
      <c r="G1140" s="447"/>
      <c r="J1140" s="447"/>
      <c r="M1140" s="447"/>
      <c r="R1140" s="447"/>
      <c r="S1140"/>
      <c r="T1140"/>
      <c r="U1140" s="447"/>
      <c r="V1140"/>
      <c r="W1140"/>
      <c r="X1140" s="447"/>
      <c r="Y1140"/>
      <c r="Z1140"/>
      <c r="AA1140" s="447"/>
      <c r="AB1140"/>
      <c r="AC1140"/>
      <c r="AE1140"/>
      <c r="AF1140" s="447"/>
      <c r="AG1140"/>
      <c r="AH1140"/>
      <c r="AI1140" s="447"/>
      <c r="AJ1140"/>
      <c r="AK1140"/>
      <c r="AL1140" s="447"/>
      <c r="AM1140"/>
      <c r="AN1140"/>
      <c r="AO1140" s="447"/>
      <c r="AP1140"/>
      <c r="AQ1140"/>
      <c r="AS1140"/>
      <c r="AT1140" s="447"/>
      <c r="AU1140"/>
      <c r="AV1140"/>
      <c r="AW1140" s="447"/>
      <c r="AX1140"/>
      <c r="AY1140"/>
      <c r="AZ1140" s="447"/>
      <c r="BA1140"/>
      <c r="BB1140"/>
      <c r="BC1140" s="447"/>
      <c r="BD1140"/>
      <c r="BE1140"/>
    </row>
    <row r="1141" spans="4:57">
      <c r="D1141" s="447"/>
      <c r="G1141" s="447"/>
      <c r="J1141" s="447"/>
      <c r="M1141" s="447"/>
      <c r="R1141" s="447"/>
      <c r="S1141"/>
      <c r="T1141"/>
      <c r="U1141" s="447"/>
      <c r="V1141"/>
      <c r="W1141"/>
      <c r="X1141" s="447"/>
      <c r="Y1141"/>
      <c r="Z1141"/>
      <c r="AA1141" s="447"/>
      <c r="AB1141"/>
      <c r="AC1141"/>
      <c r="AE1141"/>
      <c r="AF1141" s="447"/>
      <c r="AG1141"/>
      <c r="AH1141"/>
      <c r="AI1141" s="447"/>
      <c r="AJ1141"/>
      <c r="AK1141"/>
      <c r="AL1141" s="447"/>
      <c r="AM1141"/>
      <c r="AN1141"/>
      <c r="AO1141" s="447"/>
      <c r="AP1141"/>
      <c r="AQ1141"/>
      <c r="AS1141"/>
      <c r="AT1141" s="447"/>
      <c r="AU1141"/>
      <c r="AV1141"/>
      <c r="AW1141" s="447"/>
      <c r="AX1141"/>
      <c r="AY1141"/>
      <c r="AZ1141" s="447"/>
      <c r="BA1141"/>
      <c r="BB1141"/>
      <c r="BC1141" s="447"/>
      <c r="BD1141"/>
      <c r="BE1141"/>
    </row>
    <row r="1142" spans="4:57">
      <c r="D1142" s="447"/>
      <c r="G1142" s="447"/>
      <c r="J1142" s="447"/>
      <c r="M1142" s="447"/>
      <c r="R1142" s="447"/>
      <c r="S1142"/>
      <c r="T1142"/>
      <c r="U1142" s="447"/>
      <c r="V1142"/>
      <c r="W1142"/>
      <c r="X1142" s="447"/>
      <c r="Y1142"/>
      <c r="Z1142"/>
      <c r="AA1142" s="447"/>
      <c r="AB1142"/>
      <c r="AC1142"/>
      <c r="AE1142"/>
      <c r="AF1142" s="447"/>
      <c r="AG1142"/>
      <c r="AH1142"/>
      <c r="AI1142" s="447"/>
      <c r="AJ1142"/>
      <c r="AK1142"/>
      <c r="AL1142" s="447"/>
      <c r="AM1142"/>
      <c r="AN1142"/>
      <c r="AO1142" s="447"/>
      <c r="AP1142"/>
      <c r="AQ1142"/>
      <c r="AS1142"/>
      <c r="AT1142" s="447"/>
      <c r="AU1142"/>
      <c r="AV1142"/>
      <c r="AW1142" s="447"/>
      <c r="AX1142"/>
      <c r="AY1142"/>
      <c r="AZ1142" s="447"/>
      <c r="BA1142"/>
      <c r="BB1142"/>
      <c r="BC1142" s="447"/>
      <c r="BD1142"/>
      <c r="BE1142"/>
    </row>
    <row r="1143" spans="4:57">
      <c r="D1143" s="447"/>
      <c r="G1143" s="447"/>
      <c r="J1143" s="447"/>
      <c r="M1143" s="447"/>
      <c r="R1143" s="447"/>
      <c r="S1143"/>
      <c r="T1143"/>
      <c r="U1143" s="447"/>
      <c r="V1143"/>
      <c r="W1143"/>
      <c r="X1143" s="447"/>
      <c r="Y1143"/>
      <c r="Z1143"/>
      <c r="AA1143" s="447"/>
      <c r="AB1143"/>
      <c r="AC1143"/>
      <c r="AE1143"/>
      <c r="AF1143" s="447"/>
      <c r="AG1143"/>
      <c r="AH1143"/>
      <c r="AI1143" s="447"/>
      <c r="AJ1143"/>
      <c r="AK1143"/>
      <c r="AL1143" s="447"/>
      <c r="AM1143"/>
      <c r="AN1143"/>
      <c r="AO1143" s="447"/>
      <c r="AP1143"/>
      <c r="AQ1143"/>
      <c r="AS1143"/>
      <c r="AT1143" s="447"/>
      <c r="AU1143"/>
      <c r="AV1143"/>
      <c r="AW1143" s="447"/>
      <c r="AX1143"/>
      <c r="AY1143"/>
      <c r="AZ1143" s="447"/>
      <c r="BA1143"/>
      <c r="BB1143"/>
      <c r="BC1143" s="447"/>
      <c r="BD1143"/>
      <c r="BE1143"/>
    </row>
    <row r="1144" spans="4:57">
      <c r="D1144" s="447"/>
      <c r="G1144" s="447"/>
      <c r="J1144" s="447"/>
      <c r="M1144" s="447"/>
      <c r="R1144" s="447"/>
      <c r="S1144"/>
      <c r="T1144"/>
      <c r="U1144" s="447"/>
      <c r="V1144"/>
      <c r="W1144"/>
      <c r="X1144" s="447"/>
      <c r="Y1144"/>
      <c r="Z1144"/>
      <c r="AA1144" s="447"/>
      <c r="AB1144"/>
      <c r="AC1144"/>
      <c r="AE1144"/>
      <c r="AF1144" s="447"/>
      <c r="AG1144"/>
      <c r="AH1144"/>
      <c r="AI1144" s="447"/>
      <c r="AJ1144"/>
      <c r="AK1144"/>
      <c r="AL1144" s="447"/>
      <c r="AM1144"/>
      <c r="AN1144"/>
      <c r="AO1144" s="447"/>
      <c r="AP1144"/>
      <c r="AQ1144"/>
      <c r="AS1144"/>
      <c r="AT1144" s="447"/>
      <c r="AU1144"/>
      <c r="AV1144"/>
      <c r="AW1144" s="447"/>
      <c r="AX1144"/>
      <c r="AY1144"/>
      <c r="AZ1144" s="447"/>
      <c r="BA1144"/>
      <c r="BB1144"/>
      <c r="BC1144" s="447"/>
      <c r="BD1144"/>
      <c r="BE1144"/>
    </row>
    <row r="1145" spans="4:57">
      <c r="D1145" s="447"/>
      <c r="G1145" s="447"/>
      <c r="J1145" s="447"/>
      <c r="M1145" s="447"/>
      <c r="R1145" s="447"/>
      <c r="S1145"/>
      <c r="T1145"/>
      <c r="U1145" s="447"/>
      <c r="V1145"/>
      <c r="W1145"/>
      <c r="X1145" s="447"/>
      <c r="Y1145"/>
      <c r="Z1145"/>
      <c r="AA1145" s="447"/>
      <c r="AB1145"/>
      <c r="AC1145"/>
      <c r="AE1145"/>
      <c r="AF1145" s="447"/>
      <c r="AG1145"/>
      <c r="AH1145"/>
      <c r="AI1145" s="447"/>
      <c r="AJ1145"/>
      <c r="AK1145"/>
      <c r="AL1145" s="447"/>
      <c r="AM1145"/>
      <c r="AN1145"/>
      <c r="AO1145" s="447"/>
      <c r="AP1145"/>
      <c r="AQ1145"/>
      <c r="AS1145"/>
      <c r="AT1145" s="447"/>
      <c r="AU1145"/>
      <c r="AV1145"/>
      <c r="AW1145" s="447"/>
      <c r="AX1145"/>
      <c r="AY1145"/>
      <c r="AZ1145" s="447"/>
      <c r="BA1145"/>
      <c r="BB1145"/>
      <c r="BC1145" s="447"/>
      <c r="BD1145"/>
      <c r="BE1145"/>
    </row>
    <row r="1146" spans="4:57">
      <c r="D1146" s="447"/>
      <c r="G1146" s="447"/>
      <c r="J1146" s="447"/>
      <c r="M1146" s="447"/>
      <c r="R1146" s="447"/>
      <c r="S1146"/>
      <c r="T1146"/>
      <c r="U1146" s="447"/>
      <c r="V1146"/>
      <c r="W1146"/>
      <c r="X1146" s="447"/>
      <c r="Y1146"/>
      <c r="Z1146"/>
      <c r="AA1146" s="447"/>
      <c r="AB1146"/>
      <c r="AC1146"/>
      <c r="AE1146"/>
      <c r="AF1146" s="447"/>
      <c r="AG1146"/>
      <c r="AH1146"/>
      <c r="AI1146" s="447"/>
      <c r="AJ1146"/>
      <c r="AK1146"/>
      <c r="AL1146" s="447"/>
      <c r="AM1146"/>
      <c r="AN1146"/>
      <c r="AO1146" s="447"/>
      <c r="AP1146"/>
      <c r="AQ1146"/>
      <c r="AS1146"/>
      <c r="AT1146" s="447"/>
      <c r="AU1146"/>
      <c r="AV1146"/>
      <c r="AW1146" s="447"/>
      <c r="AX1146"/>
      <c r="AY1146"/>
      <c r="AZ1146" s="447"/>
      <c r="BA1146"/>
      <c r="BB1146"/>
      <c r="BC1146" s="447"/>
      <c r="BD1146"/>
      <c r="BE1146"/>
    </row>
    <row r="1147" spans="4:57">
      <c r="D1147" s="447"/>
      <c r="G1147" s="447"/>
      <c r="J1147" s="447"/>
      <c r="M1147" s="447"/>
      <c r="R1147" s="447"/>
      <c r="S1147"/>
      <c r="T1147"/>
      <c r="U1147" s="447"/>
      <c r="V1147"/>
      <c r="W1147"/>
      <c r="X1147" s="447"/>
      <c r="Y1147"/>
      <c r="Z1147"/>
      <c r="AA1147" s="447"/>
      <c r="AB1147"/>
      <c r="AC1147"/>
      <c r="AE1147"/>
      <c r="AF1147" s="447"/>
      <c r="AG1147"/>
      <c r="AH1147"/>
      <c r="AI1147" s="447"/>
      <c r="AJ1147"/>
      <c r="AK1147"/>
      <c r="AL1147" s="447"/>
      <c r="AM1147"/>
      <c r="AN1147"/>
      <c r="AO1147" s="447"/>
      <c r="AP1147"/>
      <c r="AQ1147"/>
      <c r="AS1147"/>
      <c r="AT1147" s="447"/>
      <c r="AU1147"/>
      <c r="AV1147"/>
      <c r="AW1147" s="447"/>
      <c r="AX1147"/>
      <c r="AY1147"/>
      <c r="AZ1147" s="447"/>
      <c r="BA1147"/>
      <c r="BB1147"/>
      <c r="BC1147" s="447"/>
      <c r="BD1147"/>
      <c r="BE1147"/>
    </row>
    <row r="1148" spans="4:57">
      <c r="D1148" s="447"/>
      <c r="G1148" s="447"/>
      <c r="J1148" s="447"/>
      <c r="M1148" s="447"/>
      <c r="R1148" s="447"/>
      <c r="S1148"/>
      <c r="T1148"/>
      <c r="U1148" s="447"/>
      <c r="V1148"/>
      <c r="W1148"/>
      <c r="X1148" s="447"/>
      <c r="Y1148"/>
      <c r="Z1148"/>
      <c r="AA1148" s="447"/>
      <c r="AB1148"/>
      <c r="AC1148"/>
      <c r="AE1148"/>
      <c r="AF1148" s="447"/>
      <c r="AG1148"/>
      <c r="AH1148"/>
      <c r="AI1148" s="447"/>
      <c r="AJ1148"/>
      <c r="AK1148"/>
      <c r="AL1148" s="447"/>
      <c r="AM1148"/>
      <c r="AN1148"/>
      <c r="AO1148" s="447"/>
      <c r="AP1148"/>
      <c r="AQ1148"/>
      <c r="AS1148"/>
      <c r="AT1148" s="447"/>
      <c r="AU1148"/>
      <c r="AV1148"/>
      <c r="AW1148" s="447"/>
      <c r="AX1148"/>
      <c r="AY1148"/>
      <c r="AZ1148" s="447"/>
      <c r="BA1148"/>
      <c r="BB1148"/>
      <c r="BC1148" s="447"/>
      <c r="BD1148"/>
      <c r="BE1148"/>
    </row>
    <row r="1149" spans="4:57">
      <c r="D1149" s="447"/>
      <c r="G1149" s="447"/>
      <c r="J1149" s="447"/>
      <c r="M1149" s="447"/>
      <c r="R1149" s="447"/>
      <c r="S1149"/>
      <c r="T1149"/>
      <c r="U1149" s="447"/>
      <c r="V1149"/>
      <c r="W1149"/>
      <c r="X1149" s="447"/>
      <c r="Y1149"/>
      <c r="Z1149"/>
      <c r="AA1149" s="447"/>
      <c r="AB1149"/>
      <c r="AC1149"/>
      <c r="AE1149"/>
      <c r="AF1149" s="447"/>
      <c r="AG1149"/>
      <c r="AH1149"/>
      <c r="AI1149" s="447"/>
      <c r="AJ1149"/>
      <c r="AK1149"/>
      <c r="AL1149" s="447"/>
      <c r="AM1149"/>
      <c r="AN1149"/>
      <c r="AO1149" s="447"/>
      <c r="AP1149"/>
      <c r="AQ1149"/>
      <c r="AS1149"/>
      <c r="AT1149" s="447"/>
      <c r="AU1149"/>
      <c r="AV1149"/>
      <c r="AW1149" s="447"/>
      <c r="AX1149"/>
      <c r="AY1149"/>
      <c r="AZ1149" s="447"/>
      <c r="BA1149"/>
      <c r="BB1149"/>
      <c r="BC1149" s="447"/>
      <c r="BD1149"/>
      <c r="BE1149"/>
    </row>
    <row r="1150" spans="4:57">
      <c r="D1150" s="447"/>
      <c r="G1150" s="447"/>
      <c r="J1150" s="447"/>
      <c r="M1150" s="447"/>
      <c r="R1150" s="447"/>
      <c r="S1150"/>
      <c r="T1150"/>
      <c r="U1150" s="447"/>
      <c r="V1150"/>
      <c r="W1150"/>
      <c r="X1150" s="447"/>
      <c r="Y1150"/>
      <c r="Z1150"/>
      <c r="AA1150" s="447"/>
      <c r="AB1150"/>
      <c r="AC1150"/>
      <c r="AE1150"/>
      <c r="AF1150" s="447"/>
      <c r="AG1150"/>
      <c r="AH1150"/>
      <c r="AI1150" s="447"/>
      <c r="AJ1150"/>
      <c r="AK1150"/>
      <c r="AL1150" s="447"/>
      <c r="AM1150"/>
      <c r="AN1150"/>
      <c r="AO1150" s="447"/>
      <c r="AP1150"/>
      <c r="AQ1150"/>
      <c r="AS1150"/>
      <c r="AT1150" s="447"/>
      <c r="AU1150"/>
      <c r="AV1150"/>
      <c r="AW1150" s="447"/>
      <c r="AX1150"/>
      <c r="AY1150"/>
      <c r="AZ1150" s="447"/>
      <c r="BA1150"/>
      <c r="BB1150"/>
      <c r="BC1150" s="447"/>
      <c r="BD1150"/>
      <c r="BE1150"/>
    </row>
    <row r="1151" spans="4:57">
      <c r="D1151" s="447"/>
      <c r="G1151" s="447"/>
      <c r="J1151" s="447"/>
      <c r="M1151" s="447"/>
      <c r="R1151" s="447"/>
      <c r="S1151"/>
      <c r="T1151"/>
      <c r="U1151" s="447"/>
      <c r="V1151"/>
      <c r="W1151"/>
      <c r="X1151" s="447"/>
      <c r="Y1151"/>
      <c r="Z1151"/>
      <c r="AA1151" s="447"/>
      <c r="AB1151"/>
      <c r="AC1151"/>
      <c r="AE1151"/>
      <c r="AF1151" s="447"/>
      <c r="AG1151"/>
      <c r="AH1151"/>
      <c r="AI1151" s="447"/>
      <c r="AJ1151"/>
      <c r="AK1151"/>
      <c r="AL1151" s="447"/>
      <c r="AM1151"/>
      <c r="AN1151"/>
      <c r="AO1151" s="447"/>
      <c r="AP1151"/>
      <c r="AQ1151"/>
      <c r="AS1151"/>
      <c r="AT1151" s="447"/>
      <c r="AU1151"/>
      <c r="AV1151"/>
      <c r="AW1151" s="447"/>
      <c r="AX1151"/>
      <c r="AY1151"/>
      <c r="AZ1151" s="447"/>
      <c r="BA1151"/>
      <c r="BB1151"/>
      <c r="BC1151" s="447"/>
      <c r="BD1151"/>
      <c r="BE1151"/>
    </row>
    <row r="1152" spans="4:57">
      <c r="D1152" s="447"/>
      <c r="G1152" s="447"/>
      <c r="J1152" s="447"/>
      <c r="M1152" s="447"/>
      <c r="R1152" s="447"/>
      <c r="S1152"/>
      <c r="T1152"/>
      <c r="U1152" s="447"/>
      <c r="V1152"/>
      <c r="W1152"/>
      <c r="X1152" s="447"/>
      <c r="Y1152"/>
      <c r="Z1152"/>
      <c r="AA1152" s="447"/>
      <c r="AB1152"/>
      <c r="AC1152"/>
      <c r="AE1152"/>
      <c r="AF1152" s="447"/>
      <c r="AG1152"/>
      <c r="AH1152"/>
      <c r="AI1152" s="447"/>
      <c r="AJ1152"/>
      <c r="AK1152"/>
      <c r="AL1152" s="447"/>
      <c r="AM1152"/>
      <c r="AN1152"/>
      <c r="AO1152" s="447"/>
      <c r="AP1152"/>
      <c r="AQ1152"/>
      <c r="AS1152"/>
      <c r="AT1152" s="447"/>
      <c r="AU1152"/>
      <c r="AV1152"/>
      <c r="AW1152" s="447"/>
      <c r="AX1152"/>
      <c r="AY1152"/>
      <c r="AZ1152" s="447"/>
      <c r="BA1152"/>
      <c r="BB1152"/>
      <c r="BC1152" s="447"/>
      <c r="BD1152"/>
      <c r="BE1152"/>
    </row>
    <row r="1153" spans="4:57">
      <c r="D1153" s="447"/>
      <c r="G1153" s="447"/>
      <c r="J1153" s="447"/>
      <c r="M1153" s="447"/>
      <c r="R1153" s="447"/>
      <c r="S1153"/>
      <c r="T1153"/>
      <c r="U1153" s="447"/>
      <c r="V1153"/>
      <c r="W1153"/>
      <c r="X1153" s="447"/>
      <c r="Y1153"/>
      <c r="Z1153"/>
      <c r="AA1153" s="447"/>
      <c r="AB1153"/>
      <c r="AC1153"/>
      <c r="AE1153"/>
      <c r="AF1153" s="447"/>
      <c r="AG1153"/>
      <c r="AH1153"/>
      <c r="AI1153" s="447"/>
      <c r="AJ1153"/>
      <c r="AK1153"/>
      <c r="AL1153" s="447"/>
      <c r="AM1153"/>
      <c r="AN1153"/>
      <c r="AO1153" s="447"/>
      <c r="AP1153"/>
      <c r="AQ1153"/>
      <c r="AS1153"/>
      <c r="AT1153" s="447"/>
      <c r="AU1153"/>
      <c r="AV1153"/>
      <c r="AW1153" s="447"/>
      <c r="AX1153"/>
      <c r="AY1153"/>
      <c r="AZ1153" s="447"/>
      <c r="BA1153"/>
      <c r="BB1153"/>
      <c r="BC1153" s="447"/>
      <c r="BD1153"/>
      <c r="BE1153"/>
    </row>
    <row r="1154" spans="4:57">
      <c r="D1154" s="447"/>
      <c r="G1154" s="447"/>
      <c r="J1154" s="447"/>
      <c r="M1154" s="447"/>
      <c r="R1154" s="447"/>
      <c r="S1154"/>
      <c r="T1154"/>
      <c r="U1154" s="447"/>
      <c r="V1154"/>
      <c r="W1154"/>
      <c r="X1154" s="447"/>
      <c r="Y1154"/>
      <c r="Z1154"/>
      <c r="AA1154" s="447"/>
      <c r="AB1154"/>
      <c r="AC1154"/>
      <c r="AE1154"/>
      <c r="AF1154" s="447"/>
      <c r="AG1154"/>
      <c r="AH1154"/>
      <c r="AI1154" s="447"/>
      <c r="AJ1154"/>
      <c r="AK1154"/>
      <c r="AL1154" s="447"/>
      <c r="AM1154"/>
      <c r="AN1154"/>
      <c r="AO1154" s="447"/>
      <c r="AP1154"/>
      <c r="AQ1154"/>
      <c r="AS1154"/>
      <c r="AT1154" s="447"/>
      <c r="AU1154"/>
      <c r="AV1154"/>
      <c r="AW1154" s="447"/>
      <c r="AX1154"/>
      <c r="AY1154"/>
      <c r="AZ1154" s="447"/>
      <c r="BA1154"/>
      <c r="BB1154"/>
      <c r="BC1154" s="447"/>
      <c r="BD1154"/>
      <c r="BE1154"/>
    </row>
    <row r="1155" spans="4:57">
      <c r="D1155" s="447"/>
      <c r="G1155" s="447"/>
      <c r="J1155" s="447"/>
      <c r="M1155" s="447"/>
      <c r="R1155" s="447"/>
      <c r="S1155"/>
      <c r="T1155"/>
      <c r="U1155" s="447"/>
      <c r="V1155"/>
      <c r="W1155"/>
      <c r="X1155" s="447"/>
      <c r="Y1155"/>
      <c r="Z1155"/>
      <c r="AA1155" s="447"/>
      <c r="AB1155"/>
      <c r="AC1155"/>
      <c r="AE1155"/>
      <c r="AF1155" s="447"/>
      <c r="AG1155"/>
      <c r="AH1155"/>
      <c r="AI1155" s="447"/>
      <c r="AJ1155"/>
      <c r="AK1155"/>
      <c r="AL1155" s="447"/>
      <c r="AM1155"/>
      <c r="AN1155"/>
      <c r="AO1155" s="447"/>
      <c r="AP1155"/>
      <c r="AQ1155"/>
      <c r="AS1155"/>
      <c r="AT1155" s="447"/>
      <c r="AU1155"/>
      <c r="AV1155"/>
      <c r="AW1155" s="447"/>
      <c r="AX1155"/>
      <c r="AY1155"/>
      <c r="AZ1155" s="447"/>
      <c r="BA1155"/>
      <c r="BB1155"/>
      <c r="BC1155" s="447"/>
      <c r="BD1155"/>
      <c r="BE1155"/>
    </row>
    <row r="1156" spans="4:57">
      <c r="D1156" s="447"/>
      <c r="G1156" s="447"/>
      <c r="J1156" s="447"/>
      <c r="M1156" s="447"/>
      <c r="R1156" s="447"/>
      <c r="S1156"/>
      <c r="T1156"/>
      <c r="U1156" s="447"/>
      <c r="V1156"/>
      <c r="W1156"/>
      <c r="X1156" s="447"/>
      <c r="Y1156"/>
      <c r="Z1156"/>
      <c r="AA1156" s="447"/>
      <c r="AB1156"/>
      <c r="AC1156"/>
      <c r="AE1156"/>
      <c r="AF1156" s="447"/>
      <c r="AG1156"/>
      <c r="AH1156"/>
      <c r="AI1156" s="447"/>
      <c r="AJ1156"/>
      <c r="AK1156"/>
      <c r="AL1156" s="447"/>
      <c r="AM1156"/>
      <c r="AN1156"/>
      <c r="AO1156" s="447"/>
      <c r="AP1156"/>
      <c r="AQ1156"/>
      <c r="AS1156"/>
      <c r="AT1156" s="447"/>
      <c r="AU1156"/>
      <c r="AV1156"/>
      <c r="AW1156" s="447"/>
      <c r="AX1156"/>
      <c r="AY1156"/>
      <c r="AZ1156" s="447"/>
      <c r="BA1156"/>
      <c r="BB1156"/>
      <c r="BC1156" s="447"/>
      <c r="BD1156"/>
      <c r="BE1156"/>
    </row>
    <row r="1157" spans="4:57">
      <c r="D1157" s="447"/>
      <c r="G1157" s="447"/>
      <c r="J1157" s="447"/>
      <c r="M1157" s="447"/>
      <c r="R1157" s="447"/>
      <c r="S1157"/>
      <c r="T1157"/>
      <c r="U1157" s="447"/>
      <c r="V1157"/>
      <c r="W1157"/>
      <c r="X1157" s="447"/>
      <c r="Y1157"/>
      <c r="Z1157"/>
      <c r="AA1157" s="447"/>
      <c r="AB1157"/>
      <c r="AC1157"/>
      <c r="AE1157"/>
      <c r="AF1157" s="447"/>
      <c r="AG1157"/>
      <c r="AH1157"/>
      <c r="AI1157" s="447"/>
      <c r="AJ1157"/>
      <c r="AK1157"/>
      <c r="AL1157" s="447"/>
      <c r="AM1157"/>
      <c r="AN1157"/>
      <c r="AO1157" s="447"/>
      <c r="AP1157"/>
      <c r="AQ1157"/>
      <c r="AS1157"/>
      <c r="AT1157" s="447"/>
      <c r="AU1157"/>
      <c r="AV1157"/>
      <c r="AW1157" s="447"/>
      <c r="AX1157"/>
      <c r="AY1157"/>
      <c r="AZ1157" s="447"/>
      <c r="BA1157"/>
      <c r="BB1157"/>
      <c r="BC1157" s="447"/>
      <c r="BD1157"/>
      <c r="BE1157"/>
    </row>
    <row r="1158" spans="4:57">
      <c r="D1158" s="447"/>
      <c r="G1158" s="447"/>
      <c r="J1158" s="447"/>
      <c r="M1158" s="447"/>
      <c r="R1158" s="447"/>
      <c r="S1158"/>
      <c r="T1158"/>
      <c r="U1158" s="447"/>
      <c r="V1158"/>
      <c r="W1158"/>
      <c r="X1158" s="447"/>
      <c r="Y1158"/>
      <c r="Z1158"/>
      <c r="AA1158" s="447"/>
      <c r="AB1158"/>
      <c r="AC1158"/>
      <c r="AE1158"/>
      <c r="AF1158" s="447"/>
      <c r="AG1158"/>
      <c r="AH1158"/>
      <c r="AI1158" s="447"/>
      <c r="AJ1158"/>
      <c r="AK1158"/>
      <c r="AL1158" s="447"/>
      <c r="AM1158"/>
      <c r="AN1158"/>
      <c r="AO1158" s="447"/>
      <c r="AP1158"/>
      <c r="AQ1158"/>
      <c r="AS1158"/>
      <c r="AT1158" s="447"/>
      <c r="AU1158"/>
      <c r="AV1158"/>
      <c r="AW1158" s="447"/>
      <c r="AX1158"/>
      <c r="AY1158"/>
      <c r="AZ1158" s="447"/>
      <c r="BA1158"/>
      <c r="BB1158"/>
      <c r="BC1158" s="447"/>
      <c r="BD1158"/>
      <c r="BE1158"/>
    </row>
    <row r="1159" spans="4:57">
      <c r="D1159" s="447"/>
      <c r="G1159" s="447"/>
      <c r="J1159" s="447"/>
      <c r="M1159" s="447"/>
      <c r="R1159" s="447"/>
      <c r="S1159"/>
      <c r="T1159"/>
      <c r="U1159" s="447"/>
      <c r="V1159"/>
      <c r="W1159"/>
      <c r="X1159" s="447"/>
      <c r="Y1159"/>
      <c r="Z1159"/>
      <c r="AA1159" s="447"/>
      <c r="AB1159"/>
      <c r="AC1159"/>
      <c r="AE1159"/>
      <c r="AF1159" s="447"/>
      <c r="AG1159"/>
      <c r="AH1159"/>
      <c r="AI1159" s="447"/>
      <c r="AJ1159"/>
      <c r="AK1159"/>
      <c r="AL1159" s="447"/>
      <c r="AM1159"/>
      <c r="AN1159"/>
      <c r="AO1159" s="447"/>
      <c r="AP1159"/>
      <c r="AQ1159"/>
      <c r="AS1159"/>
      <c r="AT1159" s="447"/>
      <c r="AU1159"/>
      <c r="AV1159"/>
      <c r="AW1159" s="447"/>
      <c r="AX1159"/>
      <c r="AY1159"/>
      <c r="AZ1159" s="447"/>
      <c r="BA1159"/>
      <c r="BB1159"/>
      <c r="BC1159" s="447"/>
      <c r="BD1159"/>
      <c r="BE1159"/>
    </row>
    <row r="1160" spans="4:57">
      <c r="D1160" s="447"/>
      <c r="G1160" s="447"/>
      <c r="J1160" s="447"/>
      <c r="M1160" s="447"/>
      <c r="R1160" s="447"/>
      <c r="S1160"/>
      <c r="T1160"/>
      <c r="U1160" s="447"/>
      <c r="V1160"/>
      <c r="W1160"/>
      <c r="X1160" s="447"/>
      <c r="Y1160"/>
      <c r="Z1160"/>
      <c r="AA1160" s="447"/>
      <c r="AB1160"/>
      <c r="AC1160"/>
      <c r="AE1160"/>
      <c r="AF1160" s="447"/>
      <c r="AG1160"/>
      <c r="AH1160"/>
      <c r="AI1160" s="447"/>
      <c r="AJ1160"/>
      <c r="AK1160"/>
      <c r="AL1160" s="447"/>
      <c r="AM1160"/>
      <c r="AN1160"/>
      <c r="AO1160" s="447"/>
      <c r="AP1160"/>
      <c r="AQ1160"/>
      <c r="AS1160"/>
      <c r="AT1160" s="447"/>
      <c r="AU1160"/>
      <c r="AV1160"/>
      <c r="AW1160" s="447"/>
      <c r="AX1160"/>
      <c r="AY1160"/>
      <c r="AZ1160" s="447"/>
      <c r="BA1160"/>
      <c r="BB1160"/>
      <c r="BC1160" s="447"/>
      <c r="BD1160"/>
      <c r="BE1160"/>
    </row>
    <row r="1161" spans="4:57">
      <c r="D1161" s="447"/>
      <c r="G1161" s="447"/>
      <c r="J1161" s="447"/>
      <c r="M1161" s="447"/>
      <c r="R1161" s="447"/>
      <c r="S1161"/>
      <c r="T1161"/>
      <c r="U1161" s="447"/>
      <c r="V1161"/>
      <c r="W1161"/>
      <c r="X1161" s="447"/>
      <c r="Y1161"/>
      <c r="Z1161"/>
      <c r="AA1161" s="447"/>
      <c r="AB1161"/>
      <c r="AC1161"/>
      <c r="AE1161"/>
      <c r="AF1161" s="447"/>
      <c r="AG1161"/>
      <c r="AH1161"/>
      <c r="AI1161" s="447"/>
      <c r="AJ1161"/>
      <c r="AK1161"/>
      <c r="AL1161" s="447"/>
      <c r="AM1161"/>
      <c r="AN1161"/>
      <c r="AO1161" s="447"/>
      <c r="AP1161"/>
      <c r="AQ1161"/>
      <c r="AS1161"/>
      <c r="AT1161" s="447"/>
      <c r="AU1161"/>
      <c r="AV1161"/>
      <c r="AW1161" s="447"/>
      <c r="AX1161"/>
      <c r="AY1161"/>
      <c r="AZ1161" s="447"/>
      <c r="BA1161"/>
      <c r="BB1161"/>
      <c r="BC1161" s="447"/>
      <c r="BD1161"/>
      <c r="BE1161"/>
    </row>
    <row r="1162" spans="4:57">
      <c r="D1162" s="447"/>
      <c r="G1162" s="447"/>
      <c r="J1162" s="447"/>
      <c r="M1162" s="447"/>
      <c r="R1162" s="447"/>
      <c r="S1162"/>
      <c r="T1162"/>
      <c r="U1162" s="447"/>
      <c r="V1162"/>
      <c r="W1162"/>
      <c r="X1162" s="447"/>
      <c r="Y1162"/>
      <c r="Z1162"/>
      <c r="AA1162" s="447"/>
      <c r="AB1162"/>
      <c r="AC1162"/>
      <c r="AE1162"/>
      <c r="AF1162" s="447"/>
      <c r="AG1162"/>
      <c r="AH1162"/>
      <c r="AI1162" s="447"/>
      <c r="AJ1162"/>
      <c r="AK1162"/>
      <c r="AL1162" s="447"/>
      <c r="AM1162"/>
      <c r="AN1162"/>
      <c r="AO1162" s="447"/>
      <c r="AP1162"/>
      <c r="AQ1162"/>
      <c r="AS1162"/>
      <c r="AT1162" s="447"/>
      <c r="AU1162"/>
      <c r="AV1162"/>
      <c r="AW1162" s="447"/>
      <c r="AX1162"/>
      <c r="AY1162"/>
      <c r="AZ1162" s="447"/>
      <c r="BA1162"/>
      <c r="BB1162"/>
      <c r="BC1162" s="447"/>
      <c r="BD1162"/>
      <c r="BE1162"/>
    </row>
    <row r="1163" spans="4:57">
      <c r="D1163" s="447"/>
      <c r="G1163" s="447"/>
      <c r="J1163" s="447"/>
      <c r="M1163" s="447"/>
      <c r="R1163" s="447"/>
      <c r="S1163"/>
      <c r="T1163"/>
      <c r="U1163" s="447"/>
      <c r="V1163"/>
      <c r="W1163"/>
      <c r="X1163" s="447"/>
      <c r="Y1163"/>
      <c r="Z1163"/>
      <c r="AA1163" s="447"/>
      <c r="AB1163"/>
      <c r="AC1163"/>
      <c r="AE1163"/>
      <c r="AF1163" s="447"/>
      <c r="AG1163"/>
      <c r="AH1163"/>
      <c r="AI1163" s="447"/>
      <c r="AJ1163"/>
      <c r="AK1163"/>
      <c r="AL1163" s="447"/>
      <c r="AM1163"/>
      <c r="AN1163"/>
      <c r="AO1163" s="447"/>
      <c r="AP1163"/>
      <c r="AQ1163"/>
      <c r="AS1163"/>
      <c r="AT1163" s="447"/>
      <c r="AU1163"/>
      <c r="AV1163"/>
      <c r="AW1163" s="447"/>
      <c r="AX1163"/>
      <c r="AY1163"/>
      <c r="AZ1163" s="447"/>
      <c r="BA1163"/>
      <c r="BB1163"/>
      <c r="BC1163" s="447"/>
      <c r="BD1163"/>
      <c r="BE1163"/>
    </row>
    <row r="1164" spans="4:57">
      <c r="D1164" s="447"/>
      <c r="G1164" s="447"/>
      <c r="J1164" s="447"/>
      <c r="M1164" s="447"/>
      <c r="R1164" s="447"/>
      <c r="S1164"/>
      <c r="T1164"/>
      <c r="U1164" s="447"/>
      <c r="V1164"/>
      <c r="W1164"/>
      <c r="X1164" s="447"/>
      <c r="Y1164"/>
      <c r="Z1164"/>
      <c r="AA1164" s="447"/>
      <c r="AB1164"/>
      <c r="AC1164"/>
      <c r="AE1164"/>
      <c r="AF1164" s="447"/>
      <c r="AG1164"/>
      <c r="AH1164"/>
      <c r="AI1164" s="447"/>
      <c r="AJ1164"/>
      <c r="AK1164"/>
      <c r="AL1164" s="447"/>
      <c r="AM1164"/>
      <c r="AN1164"/>
      <c r="AO1164" s="447"/>
      <c r="AP1164"/>
      <c r="AQ1164"/>
      <c r="AS1164"/>
      <c r="AT1164" s="447"/>
      <c r="AU1164"/>
      <c r="AV1164"/>
      <c r="AW1164" s="447"/>
      <c r="AX1164"/>
      <c r="AY1164"/>
      <c r="AZ1164" s="447"/>
      <c r="BA1164"/>
      <c r="BB1164"/>
      <c r="BC1164" s="447"/>
      <c r="BD1164"/>
      <c r="BE1164"/>
    </row>
    <row r="1165" spans="4:57">
      <c r="D1165" s="447"/>
      <c r="G1165" s="447"/>
      <c r="J1165" s="447"/>
      <c r="M1165" s="447"/>
      <c r="R1165" s="447"/>
      <c r="S1165"/>
      <c r="T1165"/>
      <c r="U1165" s="447"/>
      <c r="V1165"/>
      <c r="W1165"/>
      <c r="X1165" s="447"/>
      <c r="Y1165"/>
      <c r="Z1165"/>
      <c r="AA1165" s="447"/>
      <c r="AB1165"/>
      <c r="AC1165"/>
      <c r="AE1165"/>
      <c r="AF1165" s="447"/>
      <c r="AG1165"/>
      <c r="AH1165"/>
      <c r="AI1165" s="447"/>
      <c r="AJ1165"/>
      <c r="AK1165"/>
      <c r="AL1165" s="447"/>
      <c r="AM1165"/>
      <c r="AN1165"/>
      <c r="AO1165" s="447"/>
      <c r="AP1165"/>
      <c r="AQ1165"/>
      <c r="AS1165"/>
      <c r="AT1165" s="447"/>
      <c r="AU1165"/>
      <c r="AV1165"/>
      <c r="AW1165" s="447"/>
      <c r="AX1165"/>
      <c r="AY1165"/>
      <c r="AZ1165" s="447"/>
      <c r="BA1165"/>
      <c r="BB1165"/>
      <c r="BC1165" s="447"/>
      <c r="BD1165"/>
      <c r="BE1165"/>
    </row>
    <row r="1166" spans="4:57">
      <c r="D1166" s="447"/>
      <c r="G1166" s="447"/>
      <c r="J1166" s="447"/>
      <c r="M1166" s="447"/>
      <c r="R1166" s="447"/>
      <c r="S1166"/>
      <c r="T1166"/>
      <c r="U1166" s="447"/>
      <c r="V1166"/>
      <c r="W1166"/>
      <c r="X1166" s="447"/>
      <c r="Y1166"/>
      <c r="Z1166"/>
      <c r="AA1166" s="447"/>
      <c r="AB1166"/>
      <c r="AC1166"/>
      <c r="AE1166"/>
      <c r="AF1166" s="447"/>
      <c r="AG1166"/>
      <c r="AH1166"/>
      <c r="AI1166" s="447"/>
      <c r="AJ1166"/>
      <c r="AK1166"/>
      <c r="AL1166" s="447"/>
      <c r="AM1166"/>
      <c r="AN1166"/>
      <c r="AO1166" s="447"/>
      <c r="AP1166"/>
      <c r="AQ1166"/>
      <c r="AS1166"/>
      <c r="AT1166" s="447"/>
      <c r="AU1166"/>
      <c r="AV1166"/>
      <c r="AW1166" s="447"/>
      <c r="AX1166"/>
      <c r="AY1166"/>
      <c r="AZ1166" s="447"/>
      <c r="BA1166"/>
      <c r="BB1166"/>
      <c r="BC1166" s="447"/>
      <c r="BD1166"/>
      <c r="BE1166"/>
    </row>
    <row r="1167" spans="4:57">
      <c r="D1167" s="447"/>
      <c r="G1167" s="447"/>
      <c r="J1167" s="447"/>
      <c r="M1167" s="447"/>
      <c r="R1167" s="447"/>
      <c r="S1167"/>
      <c r="T1167"/>
      <c r="U1167" s="447"/>
      <c r="V1167"/>
      <c r="W1167"/>
      <c r="X1167" s="447"/>
      <c r="Y1167"/>
      <c r="Z1167"/>
      <c r="AA1167" s="447"/>
      <c r="AB1167"/>
      <c r="AC1167"/>
      <c r="AE1167"/>
      <c r="AF1167" s="447"/>
      <c r="AG1167"/>
      <c r="AH1167"/>
      <c r="AI1167" s="447"/>
      <c r="AJ1167"/>
      <c r="AK1167"/>
      <c r="AL1167" s="447"/>
      <c r="AM1167"/>
      <c r="AN1167"/>
      <c r="AO1167" s="447"/>
      <c r="AP1167"/>
      <c r="AQ1167"/>
      <c r="AS1167"/>
      <c r="AT1167" s="447"/>
      <c r="AU1167"/>
      <c r="AV1167"/>
      <c r="AW1167" s="447"/>
      <c r="AX1167"/>
      <c r="AY1167"/>
      <c r="AZ1167" s="447"/>
      <c r="BA1167"/>
      <c r="BB1167"/>
      <c r="BC1167" s="447"/>
      <c r="BD1167"/>
      <c r="BE1167"/>
    </row>
    <row r="1168" spans="4:57">
      <c r="D1168" s="447"/>
      <c r="G1168" s="447"/>
      <c r="J1168" s="447"/>
      <c r="M1168" s="447"/>
      <c r="R1168" s="447"/>
      <c r="S1168"/>
      <c r="T1168"/>
      <c r="U1168" s="447"/>
      <c r="V1168"/>
      <c r="W1168"/>
      <c r="X1168" s="447"/>
      <c r="Y1168"/>
      <c r="Z1168"/>
      <c r="AA1168" s="447"/>
      <c r="AB1168"/>
      <c r="AC1168"/>
      <c r="AE1168"/>
      <c r="AF1168" s="447"/>
      <c r="AG1168"/>
      <c r="AH1168"/>
      <c r="AI1168" s="447"/>
      <c r="AJ1168"/>
      <c r="AK1168"/>
      <c r="AL1168" s="447"/>
      <c r="AM1168"/>
      <c r="AN1168"/>
      <c r="AO1168" s="447"/>
      <c r="AP1168"/>
      <c r="AQ1168"/>
      <c r="AS1168"/>
      <c r="AT1168" s="447"/>
      <c r="AU1168"/>
      <c r="AV1168"/>
      <c r="AW1168" s="447"/>
      <c r="AX1168"/>
      <c r="AY1168"/>
      <c r="AZ1168" s="447"/>
      <c r="BA1168"/>
      <c r="BB1168"/>
      <c r="BC1168" s="447"/>
      <c r="BD1168"/>
      <c r="BE1168"/>
    </row>
    <row r="1169" spans="4:57">
      <c r="D1169" s="447"/>
      <c r="G1169" s="447"/>
      <c r="J1169" s="447"/>
      <c r="M1169" s="447"/>
      <c r="R1169" s="447"/>
      <c r="S1169"/>
      <c r="T1169"/>
      <c r="U1169" s="447"/>
      <c r="V1169"/>
      <c r="W1169"/>
      <c r="X1169" s="447"/>
      <c r="Y1169"/>
      <c r="Z1169"/>
      <c r="AA1169" s="447"/>
      <c r="AB1169"/>
      <c r="AC1169"/>
      <c r="AE1169"/>
      <c r="AF1169" s="447"/>
      <c r="AG1169"/>
      <c r="AH1169"/>
      <c r="AI1169" s="447"/>
      <c r="AJ1169"/>
      <c r="AK1169"/>
      <c r="AL1169" s="447"/>
      <c r="AM1169"/>
      <c r="AN1169"/>
      <c r="AO1169" s="447"/>
      <c r="AP1169"/>
      <c r="AQ1169"/>
      <c r="AS1169"/>
      <c r="AT1169" s="447"/>
      <c r="AU1169"/>
      <c r="AV1169"/>
      <c r="AW1169" s="447"/>
      <c r="AX1169"/>
      <c r="AY1169"/>
      <c r="AZ1169" s="447"/>
      <c r="BA1169"/>
      <c r="BB1169"/>
      <c r="BC1169" s="447"/>
      <c r="BD1169"/>
      <c r="BE1169"/>
    </row>
    <row r="1170" spans="4:57">
      <c r="D1170" s="447"/>
      <c r="G1170" s="447"/>
      <c r="J1170" s="447"/>
      <c r="M1170" s="447"/>
      <c r="R1170" s="447"/>
      <c r="S1170"/>
      <c r="T1170"/>
      <c r="U1170" s="447"/>
      <c r="V1170"/>
      <c r="W1170"/>
      <c r="X1170" s="447"/>
      <c r="Y1170"/>
      <c r="Z1170"/>
      <c r="AA1170" s="447"/>
      <c r="AB1170"/>
      <c r="AC1170"/>
      <c r="AE1170"/>
      <c r="AF1170" s="447"/>
      <c r="AG1170"/>
      <c r="AH1170"/>
      <c r="AI1170" s="447"/>
      <c r="AJ1170"/>
      <c r="AK1170"/>
      <c r="AL1170" s="447"/>
      <c r="AM1170"/>
      <c r="AN1170"/>
      <c r="AO1170" s="447"/>
      <c r="AP1170"/>
      <c r="AQ1170"/>
      <c r="AS1170"/>
      <c r="AT1170" s="447"/>
      <c r="AU1170"/>
      <c r="AV1170"/>
      <c r="AW1170" s="447"/>
      <c r="AX1170"/>
      <c r="AY1170"/>
      <c r="AZ1170" s="447"/>
      <c r="BA1170"/>
      <c r="BB1170"/>
      <c r="BC1170" s="447"/>
      <c r="BD1170"/>
      <c r="BE1170"/>
    </row>
    <row r="1171" spans="4:57">
      <c r="D1171" s="447"/>
      <c r="G1171" s="447"/>
      <c r="J1171" s="447"/>
      <c r="M1171" s="447"/>
      <c r="R1171" s="447"/>
      <c r="S1171"/>
      <c r="T1171"/>
      <c r="U1171" s="447"/>
      <c r="V1171"/>
      <c r="W1171"/>
      <c r="X1171" s="447"/>
      <c r="Y1171"/>
      <c r="Z1171"/>
      <c r="AA1171" s="447"/>
      <c r="AB1171"/>
      <c r="AC1171"/>
      <c r="AE1171"/>
      <c r="AF1171" s="447"/>
      <c r="AG1171"/>
      <c r="AH1171"/>
      <c r="AI1171" s="447"/>
      <c r="AJ1171"/>
      <c r="AK1171"/>
      <c r="AL1171" s="447"/>
      <c r="AM1171"/>
      <c r="AN1171"/>
      <c r="AO1171" s="447"/>
      <c r="AP1171"/>
      <c r="AQ1171"/>
      <c r="AS1171"/>
      <c r="AT1171" s="447"/>
      <c r="AU1171"/>
      <c r="AV1171"/>
      <c r="AW1171" s="447"/>
      <c r="AX1171"/>
      <c r="AY1171"/>
      <c r="AZ1171" s="447"/>
      <c r="BA1171"/>
      <c r="BB1171"/>
      <c r="BC1171" s="447"/>
      <c r="BD1171"/>
      <c r="BE1171"/>
    </row>
    <row r="1172" spans="4:57">
      <c r="D1172" s="447"/>
      <c r="G1172" s="447"/>
      <c r="J1172" s="447"/>
      <c r="M1172" s="447"/>
      <c r="R1172" s="447"/>
      <c r="S1172"/>
      <c r="T1172"/>
      <c r="U1172" s="447"/>
      <c r="V1172"/>
      <c r="W1172"/>
      <c r="X1172" s="447"/>
      <c r="Y1172"/>
      <c r="Z1172"/>
      <c r="AA1172" s="447"/>
      <c r="AB1172"/>
      <c r="AC1172"/>
      <c r="AE1172"/>
      <c r="AF1172" s="447"/>
      <c r="AG1172"/>
      <c r="AH1172"/>
      <c r="AI1172" s="447"/>
      <c r="AJ1172"/>
      <c r="AK1172"/>
      <c r="AL1172" s="447"/>
      <c r="AM1172"/>
      <c r="AN1172"/>
      <c r="AO1172" s="447"/>
      <c r="AP1172"/>
      <c r="AQ1172"/>
      <c r="AS1172"/>
      <c r="AT1172" s="447"/>
      <c r="AU1172"/>
      <c r="AV1172"/>
      <c r="AW1172" s="447"/>
      <c r="AX1172"/>
      <c r="AY1172"/>
      <c r="AZ1172" s="447"/>
      <c r="BA1172"/>
      <c r="BB1172"/>
      <c r="BC1172" s="447"/>
      <c r="BD1172"/>
      <c r="BE1172"/>
    </row>
    <row r="1173" spans="4:57">
      <c r="D1173" s="447"/>
      <c r="G1173" s="447"/>
      <c r="J1173" s="447"/>
      <c r="M1173" s="447"/>
      <c r="R1173" s="447"/>
      <c r="S1173"/>
      <c r="T1173"/>
      <c r="U1173" s="447"/>
      <c r="V1173"/>
      <c r="W1173"/>
      <c r="X1173" s="447"/>
      <c r="Y1173"/>
      <c r="Z1173"/>
      <c r="AA1173" s="447"/>
      <c r="AB1173"/>
      <c r="AC1173"/>
      <c r="AE1173"/>
      <c r="AF1173" s="447"/>
      <c r="AG1173"/>
      <c r="AH1173"/>
      <c r="AI1173" s="447"/>
      <c r="AJ1173"/>
      <c r="AK1173"/>
      <c r="AL1173" s="447"/>
      <c r="AM1173"/>
      <c r="AN1173"/>
      <c r="AO1173" s="447"/>
      <c r="AP1173"/>
      <c r="AQ1173"/>
      <c r="AS1173"/>
      <c r="AT1173" s="447"/>
      <c r="AU1173"/>
      <c r="AV1173"/>
      <c r="AW1173" s="447"/>
      <c r="AX1173"/>
      <c r="AY1173"/>
      <c r="AZ1173" s="447"/>
      <c r="BA1173"/>
      <c r="BB1173"/>
      <c r="BC1173" s="447"/>
      <c r="BD1173"/>
      <c r="BE1173"/>
    </row>
    <row r="1174" spans="4:57">
      <c r="D1174" s="447"/>
      <c r="G1174" s="447"/>
      <c r="J1174" s="447"/>
      <c r="M1174" s="447"/>
      <c r="R1174" s="447"/>
      <c r="S1174"/>
      <c r="T1174"/>
      <c r="U1174" s="447"/>
      <c r="V1174"/>
      <c r="W1174"/>
      <c r="X1174" s="447"/>
      <c r="Y1174"/>
      <c r="Z1174"/>
      <c r="AA1174" s="447"/>
      <c r="AB1174"/>
      <c r="AC1174"/>
      <c r="AE1174"/>
      <c r="AF1174" s="447"/>
      <c r="AG1174"/>
      <c r="AH1174"/>
      <c r="AI1174" s="447"/>
      <c r="AJ1174"/>
      <c r="AK1174"/>
      <c r="AL1174" s="447"/>
      <c r="AM1174"/>
      <c r="AN1174"/>
      <c r="AO1174" s="447"/>
      <c r="AP1174"/>
      <c r="AQ1174"/>
      <c r="AS1174"/>
      <c r="AT1174" s="447"/>
      <c r="AU1174"/>
      <c r="AV1174"/>
      <c r="AW1174" s="447"/>
      <c r="AX1174"/>
      <c r="AY1174"/>
      <c r="AZ1174" s="447"/>
      <c r="BA1174"/>
      <c r="BB1174"/>
      <c r="BC1174" s="447"/>
      <c r="BD1174"/>
      <c r="BE1174"/>
    </row>
    <row r="1175" spans="4:57">
      <c r="D1175" s="447"/>
      <c r="G1175" s="447"/>
      <c r="J1175" s="447"/>
      <c r="M1175" s="447"/>
      <c r="R1175" s="447"/>
      <c r="S1175"/>
      <c r="T1175"/>
      <c r="U1175" s="447"/>
      <c r="V1175"/>
      <c r="W1175"/>
      <c r="X1175" s="447"/>
      <c r="Y1175"/>
      <c r="Z1175"/>
      <c r="AA1175" s="447"/>
      <c r="AB1175"/>
      <c r="AC1175"/>
      <c r="AE1175"/>
      <c r="AF1175" s="447"/>
      <c r="AG1175"/>
      <c r="AH1175"/>
      <c r="AI1175" s="447"/>
      <c r="AJ1175"/>
      <c r="AK1175"/>
      <c r="AL1175" s="447"/>
      <c r="AM1175"/>
      <c r="AN1175"/>
      <c r="AO1175" s="447"/>
      <c r="AP1175"/>
      <c r="AQ1175"/>
      <c r="AS1175"/>
      <c r="AT1175" s="447"/>
      <c r="AU1175"/>
      <c r="AV1175"/>
      <c r="AW1175" s="447"/>
      <c r="AX1175"/>
      <c r="AY1175"/>
      <c r="AZ1175" s="447"/>
      <c r="BA1175"/>
      <c r="BB1175"/>
      <c r="BC1175" s="447"/>
      <c r="BD1175"/>
      <c r="BE1175"/>
    </row>
    <row r="1176" spans="4:57">
      <c r="D1176" s="447"/>
      <c r="G1176" s="447"/>
      <c r="J1176" s="447"/>
      <c r="M1176" s="447"/>
      <c r="R1176" s="447"/>
      <c r="S1176"/>
      <c r="T1176"/>
      <c r="U1176" s="447"/>
      <c r="V1176"/>
      <c r="W1176"/>
      <c r="X1176" s="447"/>
      <c r="Y1176"/>
      <c r="Z1176"/>
      <c r="AA1176" s="447"/>
      <c r="AB1176"/>
      <c r="AC1176"/>
      <c r="AE1176"/>
      <c r="AF1176" s="447"/>
      <c r="AG1176"/>
      <c r="AH1176"/>
      <c r="AI1176" s="447"/>
      <c r="AJ1176"/>
      <c r="AK1176"/>
      <c r="AL1176" s="447"/>
      <c r="AM1176"/>
      <c r="AN1176"/>
      <c r="AO1176" s="447"/>
      <c r="AP1176"/>
      <c r="AQ1176"/>
      <c r="AS1176"/>
      <c r="AT1176" s="447"/>
      <c r="AU1176"/>
      <c r="AV1176"/>
      <c r="AW1176" s="447"/>
      <c r="AX1176"/>
      <c r="AY1176"/>
      <c r="AZ1176" s="447"/>
      <c r="BA1176"/>
      <c r="BB1176"/>
      <c r="BC1176" s="447"/>
      <c r="BD1176"/>
      <c r="BE1176"/>
    </row>
    <row r="1177" spans="4:57">
      <c r="D1177" s="447"/>
      <c r="G1177" s="447"/>
      <c r="J1177" s="447"/>
      <c r="M1177" s="447"/>
      <c r="R1177" s="447"/>
      <c r="S1177"/>
      <c r="T1177"/>
      <c r="U1177" s="447"/>
      <c r="V1177"/>
      <c r="W1177"/>
      <c r="X1177" s="447"/>
      <c r="Y1177"/>
      <c r="Z1177"/>
      <c r="AA1177" s="447"/>
      <c r="AB1177"/>
      <c r="AC1177"/>
      <c r="AE1177"/>
      <c r="AF1177" s="447"/>
      <c r="AG1177"/>
      <c r="AH1177"/>
      <c r="AI1177" s="447"/>
      <c r="AJ1177"/>
      <c r="AK1177"/>
      <c r="AL1177" s="447"/>
      <c r="AM1177"/>
      <c r="AN1177"/>
      <c r="AO1177" s="447"/>
      <c r="AP1177"/>
      <c r="AQ1177"/>
      <c r="AS1177"/>
      <c r="AT1177" s="447"/>
      <c r="AU1177"/>
      <c r="AV1177"/>
      <c r="AW1177" s="447"/>
      <c r="AX1177"/>
      <c r="AY1177"/>
      <c r="AZ1177" s="447"/>
      <c r="BA1177"/>
      <c r="BB1177"/>
      <c r="BC1177" s="447"/>
      <c r="BD1177"/>
      <c r="BE1177"/>
    </row>
    <row r="1178" spans="4:57">
      <c r="D1178" s="447"/>
      <c r="G1178" s="447"/>
      <c r="J1178" s="447"/>
      <c r="M1178" s="447"/>
      <c r="R1178" s="447"/>
      <c r="S1178"/>
      <c r="T1178"/>
      <c r="U1178" s="447"/>
      <c r="V1178"/>
      <c r="W1178"/>
      <c r="X1178" s="447"/>
      <c r="Y1178"/>
      <c r="Z1178"/>
      <c r="AA1178" s="447"/>
      <c r="AB1178"/>
      <c r="AC1178"/>
      <c r="AE1178"/>
      <c r="AF1178" s="447"/>
      <c r="AG1178"/>
      <c r="AH1178"/>
      <c r="AI1178" s="447"/>
      <c r="AJ1178"/>
      <c r="AK1178"/>
      <c r="AL1178" s="447"/>
      <c r="AM1178"/>
      <c r="AN1178"/>
      <c r="AO1178" s="447"/>
      <c r="AP1178"/>
      <c r="AQ1178"/>
      <c r="AS1178"/>
      <c r="AT1178" s="447"/>
      <c r="AU1178"/>
      <c r="AV1178"/>
      <c r="AW1178" s="447"/>
      <c r="AX1178"/>
      <c r="AY1178"/>
      <c r="AZ1178" s="447"/>
      <c r="BA1178"/>
      <c r="BB1178"/>
      <c r="BC1178" s="447"/>
      <c r="BD1178"/>
      <c r="BE1178"/>
    </row>
    <row r="1179" spans="4:57">
      <c r="D1179" s="447"/>
      <c r="G1179" s="447"/>
      <c r="J1179" s="447"/>
      <c r="M1179" s="447"/>
      <c r="R1179" s="447"/>
      <c r="S1179"/>
      <c r="T1179"/>
      <c r="U1179" s="447"/>
      <c r="V1179"/>
      <c r="W1179"/>
      <c r="X1179" s="447"/>
      <c r="Y1179"/>
      <c r="Z1179"/>
      <c r="AA1179" s="447"/>
      <c r="AB1179"/>
      <c r="AC1179"/>
      <c r="AE1179"/>
      <c r="AF1179" s="447"/>
      <c r="AG1179"/>
      <c r="AH1179"/>
      <c r="AI1179" s="447"/>
      <c r="AJ1179"/>
      <c r="AK1179"/>
      <c r="AL1179" s="447"/>
      <c r="AM1179"/>
      <c r="AN1179"/>
      <c r="AO1179" s="447"/>
      <c r="AP1179"/>
      <c r="AQ1179"/>
      <c r="AS1179"/>
      <c r="AT1179" s="447"/>
      <c r="AU1179"/>
      <c r="AV1179"/>
      <c r="AW1179" s="447"/>
      <c r="AX1179"/>
      <c r="AY1179"/>
      <c r="AZ1179" s="447"/>
      <c r="BA1179"/>
      <c r="BB1179"/>
      <c r="BC1179" s="447"/>
      <c r="BD1179"/>
      <c r="BE1179"/>
    </row>
    <row r="1180" spans="4:57">
      <c r="D1180" s="447"/>
      <c r="G1180" s="447"/>
      <c r="J1180" s="447"/>
      <c r="M1180" s="447"/>
      <c r="R1180" s="447"/>
      <c r="S1180"/>
      <c r="T1180"/>
      <c r="U1180" s="447"/>
      <c r="V1180"/>
      <c r="W1180"/>
      <c r="X1180" s="447"/>
      <c r="Y1180"/>
      <c r="Z1180"/>
      <c r="AA1180" s="447"/>
      <c r="AB1180"/>
      <c r="AC1180"/>
      <c r="AE1180"/>
      <c r="AF1180" s="447"/>
      <c r="AG1180"/>
      <c r="AH1180"/>
      <c r="AI1180" s="447"/>
      <c r="AJ1180"/>
      <c r="AK1180"/>
      <c r="AL1180" s="447"/>
      <c r="AM1180"/>
      <c r="AN1180"/>
      <c r="AO1180" s="447"/>
      <c r="AP1180"/>
      <c r="AQ1180"/>
      <c r="AS1180"/>
      <c r="AT1180" s="447"/>
      <c r="AU1180"/>
      <c r="AV1180"/>
      <c r="AW1180" s="447"/>
      <c r="AX1180"/>
      <c r="AY1180"/>
      <c r="AZ1180" s="447"/>
      <c r="BA1180"/>
      <c r="BB1180"/>
      <c r="BC1180" s="447"/>
      <c r="BD1180"/>
      <c r="BE1180"/>
    </row>
    <row r="1181" spans="4:57">
      <c r="D1181" s="447"/>
      <c r="G1181" s="447"/>
      <c r="J1181" s="447"/>
      <c r="M1181" s="447"/>
      <c r="R1181" s="447"/>
      <c r="S1181"/>
      <c r="T1181"/>
      <c r="U1181" s="447"/>
      <c r="V1181"/>
      <c r="W1181"/>
      <c r="X1181" s="447"/>
      <c r="Y1181"/>
      <c r="Z1181"/>
      <c r="AA1181" s="447"/>
      <c r="AB1181"/>
      <c r="AC1181"/>
      <c r="AE1181"/>
      <c r="AF1181" s="447"/>
      <c r="AG1181"/>
      <c r="AH1181"/>
      <c r="AI1181" s="447"/>
      <c r="AJ1181"/>
      <c r="AK1181"/>
      <c r="AL1181" s="447"/>
      <c r="AM1181"/>
      <c r="AN1181"/>
      <c r="AO1181" s="447"/>
      <c r="AP1181"/>
      <c r="AQ1181"/>
      <c r="AS1181"/>
      <c r="AT1181" s="447"/>
      <c r="AU1181"/>
      <c r="AV1181"/>
      <c r="AW1181" s="447"/>
      <c r="AX1181"/>
      <c r="AY1181"/>
      <c r="AZ1181" s="447"/>
      <c r="BA1181"/>
      <c r="BB1181"/>
      <c r="BC1181" s="447"/>
      <c r="BD1181"/>
      <c r="BE1181"/>
    </row>
    <row r="1182" spans="4:57">
      <c r="D1182" s="447"/>
      <c r="G1182" s="447"/>
      <c r="J1182" s="447"/>
      <c r="M1182" s="447"/>
      <c r="R1182" s="447"/>
      <c r="S1182"/>
      <c r="T1182"/>
      <c r="U1182" s="447"/>
      <c r="V1182"/>
      <c r="W1182"/>
      <c r="X1182" s="447"/>
      <c r="Y1182"/>
      <c r="Z1182"/>
      <c r="AA1182" s="447"/>
      <c r="AB1182"/>
      <c r="AC1182"/>
      <c r="AE1182"/>
      <c r="AF1182" s="447"/>
      <c r="AG1182"/>
      <c r="AH1182"/>
      <c r="AI1182" s="447"/>
      <c r="AJ1182"/>
      <c r="AK1182"/>
      <c r="AL1182" s="447"/>
      <c r="AM1182"/>
      <c r="AN1182"/>
      <c r="AO1182" s="447"/>
      <c r="AP1182"/>
      <c r="AQ1182"/>
      <c r="AS1182"/>
      <c r="AT1182" s="447"/>
      <c r="AU1182"/>
      <c r="AV1182"/>
      <c r="AW1182" s="447"/>
      <c r="AX1182"/>
      <c r="AY1182"/>
      <c r="AZ1182" s="447"/>
      <c r="BA1182"/>
      <c r="BB1182"/>
      <c r="BC1182" s="447"/>
      <c r="BD1182"/>
      <c r="BE1182"/>
    </row>
    <row r="1183" spans="4:57">
      <c r="D1183" s="447"/>
      <c r="G1183" s="447"/>
      <c r="J1183" s="447"/>
      <c r="M1183" s="447"/>
      <c r="R1183" s="447"/>
      <c r="S1183"/>
      <c r="T1183"/>
      <c r="U1183" s="447"/>
      <c r="V1183"/>
      <c r="W1183"/>
      <c r="X1183" s="447"/>
      <c r="Y1183"/>
      <c r="Z1183"/>
      <c r="AA1183" s="447"/>
      <c r="AB1183"/>
      <c r="AC1183"/>
      <c r="AE1183"/>
      <c r="AF1183" s="447"/>
      <c r="AG1183"/>
      <c r="AH1183"/>
      <c r="AI1183" s="447"/>
      <c r="AJ1183"/>
      <c r="AK1183"/>
      <c r="AL1183" s="447"/>
      <c r="AM1183"/>
      <c r="AN1183"/>
      <c r="AO1183" s="447"/>
      <c r="AP1183"/>
      <c r="AQ1183"/>
      <c r="AS1183"/>
      <c r="AT1183" s="447"/>
      <c r="AU1183"/>
      <c r="AV1183"/>
      <c r="AW1183" s="447"/>
      <c r="AX1183"/>
      <c r="AY1183"/>
      <c r="AZ1183" s="447"/>
      <c r="BA1183"/>
      <c r="BB1183"/>
      <c r="BC1183" s="447"/>
      <c r="BD1183"/>
      <c r="BE1183"/>
    </row>
    <row r="1184" spans="4:57">
      <c r="D1184" s="447"/>
      <c r="G1184" s="447"/>
      <c r="J1184" s="447"/>
      <c r="M1184" s="447"/>
      <c r="R1184" s="447"/>
      <c r="S1184"/>
      <c r="T1184"/>
      <c r="U1184" s="447"/>
      <c r="V1184"/>
      <c r="W1184"/>
      <c r="X1184" s="447"/>
      <c r="Y1184"/>
      <c r="Z1184"/>
      <c r="AA1184" s="447"/>
      <c r="AB1184"/>
      <c r="AC1184"/>
      <c r="AE1184"/>
      <c r="AF1184" s="447"/>
      <c r="AG1184"/>
      <c r="AH1184"/>
      <c r="AI1184" s="447"/>
      <c r="AJ1184"/>
      <c r="AK1184"/>
      <c r="AL1184" s="447"/>
      <c r="AM1184"/>
      <c r="AN1184"/>
      <c r="AO1184" s="447"/>
      <c r="AP1184"/>
      <c r="AQ1184"/>
      <c r="AS1184"/>
      <c r="AT1184" s="447"/>
      <c r="AU1184"/>
      <c r="AV1184"/>
      <c r="AW1184" s="447"/>
      <c r="AX1184"/>
      <c r="AY1184"/>
      <c r="AZ1184" s="447"/>
      <c r="BA1184"/>
      <c r="BB1184"/>
      <c r="BC1184" s="447"/>
      <c r="BD1184"/>
      <c r="BE1184"/>
    </row>
    <row r="1185" spans="4:57">
      <c r="D1185" s="447"/>
      <c r="G1185" s="447"/>
      <c r="J1185" s="447"/>
      <c r="M1185" s="447"/>
      <c r="R1185" s="447"/>
      <c r="S1185"/>
      <c r="T1185"/>
      <c r="U1185" s="447"/>
      <c r="V1185"/>
      <c r="W1185"/>
      <c r="X1185" s="447"/>
      <c r="Y1185"/>
      <c r="Z1185"/>
      <c r="AA1185" s="447"/>
      <c r="AB1185"/>
      <c r="AC1185"/>
      <c r="AE1185"/>
      <c r="AF1185" s="447"/>
      <c r="AG1185"/>
      <c r="AH1185"/>
      <c r="AI1185" s="447"/>
      <c r="AJ1185"/>
      <c r="AK1185"/>
      <c r="AL1185" s="447"/>
      <c r="AM1185"/>
      <c r="AN1185"/>
      <c r="AO1185" s="447"/>
      <c r="AP1185"/>
      <c r="AQ1185"/>
      <c r="AS1185"/>
      <c r="AT1185" s="447"/>
      <c r="AU1185"/>
      <c r="AV1185"/>
      <c r="AW1185" s="447"/>
      <c r="AX1185"/>
      <c r="AY1185"/>
      <c r="AZ1185" s="447"/>
      <c r="BA1185"/>
      <c r="BB1185"/>
      <c r="BC1185" s="447"/>
      <c r="BD1185"/>
      <c r="BE1185"/>
    </row>
    <row r="1186" spans="4:57">
      <c r="D1186" s="447"/>
      <c r="G1186" s="447"/>
      <c r="J1186" s="447"/>
      <c r="M1186" s="447"/>
      <c r="R1186" s="447"/>
      <c r="S1186"/>
      <c r="T1186"/>
      <c r="U1186" s="447"/>
      <c r="V1186"/>
      <c r="W1186"/>
      <c r="X1186" s="447"/>
      <c r="Y1186"/>
      <c r="Z1186"/>
      <c r="AA1186" s="447"/>
      <c r="AB1186"/>
      <c r="AC1186"/>
      <c r="AE1186"/>
      <c r="AF1186" s="447"/>
      <c r="AG1186"/>
      <c r="AH1186"/>
      <c r="AI1186" s="447"/>
      <c r="AJ1186"/>
      <c r="AK1186"/>
      <c r="AL1186" s="447"/>
      <c r="AM1186"/>
      <c r="AN1186"/>
      <c r="AO1186" s="447"/>
      <c r="AP1186"/>
      <c r="AQ1186"/>
      <c r="AS1186"/>
      <c r="AT1186" s="447"/>
      <c r="AU1186"/>
      <c r="AV1186"/>
      <c r="AW1186" s="447"/>
      <c r="AX1186"/>
      <c r="AY1186"/>
      <c r="AZ1186" s="447"/>
      <c r="BA1186"/>
      <c r="BB1186"/>
      <c r="BC1186" s="447"/>
      <c r="BD1186"/>
      <c r="BE1186"/>
    </row>
    <row r="1187" spans="4:57">
      <c r="D1187" s="447"/>
      <c r="G1187" s="447"/>
      <c r="J1187" s="447"/>
      <c r="M1187" s="447"/>
      <c r="R1187" s="447"/>
      <c r="S1187"/>
      <c r="T1187"/>
      <c r="U1187" s="447"/>
      <c r="V1187"/>
      <c r="W1187"/>
      <c r="X1187" s="447"/>
      <c r="Y1187"/>
      <c r="Z1187"/>
      <c r="AA1187" s="447"/>
      <c r="AB1187"/>
      <c r="AC1187"/>
      <c r="AE1187"/>
      <c r="AF1187" s="447"/>
      <c r="AG1187"/>
      <c r="AH1187"/>
      <c r="AI1187" s="447"/>
      <c r="AJ1187"/>
      <c r="AK1187"/>
      <c r="AL1187" s="447"/>
      <c r="AM1187"/>
      <c r="AN1187"/>
      <c r="AO1187" s="447"/>
      <c r="AP1187"/>
      <c r="AQ1187"/>
      <c r="AS1187"/>
      <c r="AT1187" s="447"/>
      <c r="AU1187"/>
      <c r="AV1187"/>
      <c r="AW1187" s="447"/>
      <c r="AX1187"/>
      <c r="AY1187"/>
      <c r="AZ1187" s="447"/>
      <c r="BA1187"/>
      <c r="BB1187"/>
      <c r="BC1187" s="447"/>
      <c r="BD1187"/>
      <c r="BE1187"/>
    </row>
    <row r="1188" spans="4:57">
      <c r="D1188" s="447"/>
      <c r="G1188" s="447"/>
      <c r="J1188" s="447"/>
      <c r="M1188" s="447"/>
      <c r="R1188" s="447"/>
      <c r="S1188"/>
      <c r="T1188"/>
      <c r="U1188" s="447"/>
      <c r="V1188"/>
      <c r="W1188"/>
      <c r="X1188" s="447"/>
      <c r="Y1188"/>
      <c r="Z1188"/>
      <c r="AA1188" s="447"/>
      <c r="AB1188"/>
      <c r="AC1188"/>
      <c r="AE1188"/>
      <c r="AF1188" s="447"/>
      <c r="AG1188"/>
      <c r="AH1188"/>
      <c r="AI1188" s="447"/>
      <c r="AJ1188"/>
      <c r="AK1188"/>
      <c r="AL1188" s="447"/>
      <c r="AM1188"/>
      <c r="AN1188"/>
      <c r="AO1188" s="447"/>
      <c r="AP1188"/>
      <c r="AQ1188"/>
      <c r="AS1188"/>
      <c r="AT1188" s="447"/>
      <c r="AU1188"/>
      <c r="AV1188"/>
      <c r="AW1188" s="447"/>
      <c r="AX1188"/>
      <c r="AY1188"/>
      <c r="AZ1188" s="447"/>
      <c r="BA1188"/>
      <c r="BB1188"/>
      <c r="BC1188" s="447"/>
      <c r="BD1188"/>
      <c r="BE1188"/>
    </row>
    <row r="1189" spans="4:57">
      <c r="D1189" s="447"/>
      <c r="G1189" s="447"/>
      <c r="J1189" s="447"/>
      <c r="M1189" s="447"/>
      <c r="R1189" s="447"/>
      <c r="S1189"/>
      <c r="T1189"/>
      <c r="U1189" s="447"/>
      <c r="V1189"/>
      <c r="W1189"/>
      <c r="X1189" s="447"/>
      <c r="Y1189"/>
      <c r="Z1189"/>
      <c r="AA1189" s="447"/>
      <c r="AB1189"/>
      <c r="AC1189"/>
      <c r="AE1189"/>
      <c r="AF1189" s="447"/>
      <c r="AG1189"/>
      <c r="AH1189"/>
      <c r="AI1189" s="447"/>
      <c r="AJ1189"/>
      <c r="AK1189"/>
      <c r="AL1189" s="447"/>
      <c r="AM1189"/>
      <c r="AN1189"/>
      <c r="AO1189" s="447"/>
      <c r="AP1189"/>
      <c r="AQ1189"/>
      <c r="AS1189"/>
      <c r="AT1189" s="447"/>
      <c r="AU1189"/>
      <c r="AV1189"/>
      <c r="AW1189" s="447"/>
      <c r="AX1189"/>
      <c r="AY1189"/>
      <c r="AZ1189" s="447"/>
      <c r="BA1189"/>
      <c r="BB1189"/>
      <c r="BC1189" s="447"/>
      <c r="BD1189"/>
      <c r="BE1189"/>
    </row>
    <row r="1190" spans="4:57">
      <c r="D1190" s="447"/>
      <c r="G1190" s="447"/>
      <c r="J1190" s="447"/>
      <c r="M1190" s="447"/>
      <c r="R1190" s="447"/>
      <c r="S1190"/>
      <c r="T1190"/>
      <c r="U1190" s="447"/>
      <c r="V1190"/>
      <c r="W1190"/>
      <c r="X1190" s="447"/>
      <c r="Y1190"/>
      <c r="Z1190"/>
      <c r="AA1190" s="447"/>
      <c r="AB1190"/>
      <c r="AC1190"/>
      <c r="AE1190"/>
      <c r="AF1190" s="447"/>
      <c r="AG1190"/>
      <c r="AH1190"/>
      <c r="AI1190" s="447"/>
      <c r="AJ1190"/>
      <c r="AK1190"/>
      <c r="AL1190" s="447"/>
      <c r="AM1190"/>
      <c r="AN1190"/>
      <c r="AO1190" s="447"/>
      <c r="AP1190"/>
      <c r="AQ1190"/>
      <c r="AS1190"/>
      <c r="AT1190" s="447"/>
      <c r="AU1190"/>
      <c r="AV1190"/>
      <c r="AW1190" s="447"/>
      <c r="AX1190"/>
      <c r="AY1190"/>
      <c r="AZ1190" s="447"/>
      <c r="BA1190"/>
      <c r="BB1190"/>
      <c r="BC1190" s="447"/>
      <c r="BD1190"/>
      <c r="BE1190"/>
    </row>
    <row r="1191" spans="4:57">
      <c r="D1191" s="447"/>
      <c r="G1191" s="447"/>
      <c r="J1191" s="447"/>
      <c r="M1191" s="447"/>
      <c r="R1191" s="447"/>
      <c r="S1191"/>
      <c r="T1191"/>
      <c r="U1191" s="447"/>
      <c r="V1191"/>
      <c r="W1191"/>
      <c r="X1191" s="447"/>
      <c r="Y1191"/>
      <c r="Z1191"/>
      <c r="AA1191" s="447"/>
      <c r="AB1191"/>
      <c r="AC1191"/>
      <c r="AE1191"/>
      <c r="AF1191" s="447"/>
      <c r="AG1191"/>
      <c r="AH1191"/>
      <c r="AI1191" s="447"/>
      <c r="AJ1191"/>
      <c r="AK1191"/>
      <c r="AL1191" s="447"/>
      <c r="AM1191"/>
      <c r="AN1191"/>
      <c r="AO1191" s="447"/>
      <c r="AP1191"/>
      <c r="AQ1191"/>
      <c r="AS1191"/>
      <c r="AT1191" s="447"/>
      <c r="AU1191"/>
      <c r="AV1191"/>
      <c r="AW1191" s="447"/>
      <c r="AX1191"/>
      <c r="AY1191"/>
      <c r="AZ1191" s="447"/>
      <c r="BA1191"/>
      <c r="BB1191"/>
      <c r="BC1191" s="447"/>
      <c r="BD1191"/>
      <c r="BE1191"/>
    </row>
    <row r="1192" spans="4:57">
      <c r="D1192" s="447"/>
      <c r="G1192" s="447"/>
      <c r="J1192" s="447"/>
      <c r="M1192" s="447"/>
      <c r="R1192" s="447"/>
      <c r="S1192"/>
      <c r="T1192"/>
      <c r="U1192" s="447"/>
      <c r="V1192"/>
      <c r="W1192"/>
      <c r="X1192" s="447"/>
      <c r="Y1192"/>
      <c r="Z1192"/>
      <c r="AA1192" s="447"/>
      <c r="AB1192"/>
      <c r="AC1192"/>
      <c r="AE1192"/>
      <c r="AF1192" s="447"/>
      <c r="AG1192"/>
      <c r="AH1192"/>
      <c r="AI1192" s="447"/>
      <c r="AJ1192"/>
      <c r="AK1192"/>
      <c r="AL1192" s="447"/>
      <c r="AM1192"/>
      <c r="AN1192"/>
      <c r="AO1192" s="447"/>
      <c r="AP1192"/>
      <c r="AQ1192"/>
      <c r="AS1192"/>
      <c r="AT1192" s="447"/>
      <c r="AU1192"/>
      <c r="AV1192"/>
      <c r="AW1192" s="447"/>
      <c r="AX1192"/>
      <c r="AY1192"/>
      <c r="AZ1192" s="447"/>
      <c r="BA1192"/>
      <c r="BB1192"/>
      <c r="BC1192" s="447"/>
      <c r="BD1192"/>
      <c r="BE1192"/>
    </row>
    <row r="1193" spans="4:57">
      <c r="D1193" s="447"/>
      <c r="G1193" s="447"/>
      <c r="J1193" s="447"/>
      <c r="M1193" s="447"/>
      <c r="R1193" s="447"/>
      <c r="S1193"/>
      <c r="T1193"/>
      <c r="U1193" s="447"/>
      <c r="V1193"/>
      <c r="W1193"/>
      <c r="X1193" s="447"/>
      <c r="Y1193"/>
      <c r="Z1193"/>
      <c r="AA1193" s="447"/>
      <c r="AB1193"/>
      <c r="AC1193"/>
      <c r="AE1193"/>
      <c r="AF1193" s="447"/>
      <c r="AG1193"/>
      <c r="AH1193"/>
      <c r="AI1193" s="447"/>
      <c r="AJ1193"/>
      <c r="AK1193"/>
      <c r="AL1193" s="447"/>
      <c r="AM1193"/>
      <c r="AN1193"/>
      <c r="AO1193" s="447"/>
      <c r="AP1193"/>
      <c r="AQ1193"/>
      <c r="AS1193"/>
      <c r="AT1193" s="447"/>
      <c r="AU1193"/>
      <c r="AV1193"/>
      <c r="AW1193" s="447"/>
      <c r="AX1193"/>
      <c r="AY1193"/>
      <c r="AZ1193" s="447"/>
      <c r="BA1193"/>
      <c r="BB1193"/>
      <c r="BC1193" s="447"/>
      <c r="BD1193"/>
      <c r="BE1193"/>
    </row>
    <row r="1194" spans="4:57">
      <c r="D1194" s="447"/>
      <c r="G1194" s="447"/>
      <c r="J1194" s="447"/>
      <c r="M1194" s="447"/>
      <c r="R1194" s="447"/>
      <c r="S1194"/>
      <c r="T1194"/>
      <c r="U1194" s="447"/>
      <c r="V1194"/>
      <c r="W1194"/>
      <c r="X1194" s="447"/>
      <c r="Y1194"/>
      <c r="Z1194"/>
      <c r="AA1194" s="447"/>
      <c r="AB1194"/>
      <c r="AC1194"/>
      <c r="AE1194"/>
      <c r="AF1194" s="447"/>
      <c r="AG1194"/>
      <c r="AH1194"/>
      <c r="AI1194" s="447"/>
      <c r="AJ1194"/>
      <c r="AK1194"/>
      <c r="AL1194" s="447"/>
      <c r="AM1194"/>
      <c r="AN1194"/>
      <c r="AO1194" s="447"/>
      <c r="AP1194"/>
      <c r="AQ1194"/>
      <c r="AS1194"/>
      <c r="AT1194" s="447"/>
      <c r="AU1194"/>
      <c r="AV1194"/>
      <c r="AW1194" s="447"/>
      <c r="AX1194"/>
      <c r="AY1194"/>
      <c r="AZ1194" s="447"/>
      <c r="BA1194"/>
      <c r="BB1194"/>
      <c r="BC1194" s="447"/>
      <c r="BD1194"/>
      <c r="BE1194"/>
    </row>
    <row r="1195" spans="4:57">
      <c r="D1195" s="447"/>
      <c r="G1195" s="447"/>
      <c r="J1195" s="447"/>
      <c r="M1195" s="447"/>
      <c r="R1195" s="447"/>
      <c r="S1195"/>
      <c r="T1195"/>
      <c r="U1195" s="447"/>
      <c r="V1195"/>
      <c r="W1195"/>
      <c r="X1195" s="447"/>
      <c r="Y1195"/>
      <c r="Z1195"/>
      <c r="AA1195" s="447"/>
      <c r="AB1195"/>
      <c r="AC1195"/>
      <c r="AE1195"/>
      <c r="AF1195" s="447"/>
      <c r="AG1195"/>
      <c r="AH1195"/>
      <c r="AI1195" s="447"/>
      <c r="AJ1195"/>
      <c r="AK1195"/>
      <c r="AL1195" s="447"/>
      <c r="AM1195"/>
      <c r="AN1195"/>
      <c r="AO1195" s="447"/>
      <c r="AP1195"/>
      <c r="AQ1195"/>
      <c r="AS1195"/>
      <c r="AT1195" s="447"/>
      <c r="AU1195"/>
      <c r="AV1195"/>
      <c r="AW1195" s="447"/>
      <c r="AX1195"/>
      <c r="AY1195"/>
      <c r="AZ1195" s="447"/>
      <c r="BA1195"/>
      <c r="BB1195"/>
      <c r="BC1195" s="447"/>
      <c r="BD1195"/>
      <c r="BE1195"/>
    </row>
    <row r="1196" spans="4:57">
      <c r="D1196" s="447"/>
      <c r="G1196" s="447"/>
      <c r="J1196" s="447"/>
      <c r="M1196" s="447"/>
      <c r="R1196" s="447"/>
      <c r="S1196"/>
      <c r="T1196"/>
      <c r="U1196" s="447"/>
      <c r="V1196"/>
      <c r="W1196"/>
      <c r="X1196" s="447"/>
      <c r="Y1196"/>
      <c r="Z1196"/>
      <c r="AA1196" s="447"/>
      <c r="AB1196"/>
      <c r="AC1196"/>
      <c r="AE1196"/>
      <c r="AF1196" s="447"/>
      <c r="AG1196"/>
      <c r="AH1196"/>
      <c r="AI1196" s="447"/>
      <c r="AJ1196"/>
      <c r="AK1196"/>
      <c r="AL1196" s="447"/>
      <c r="AM1196"/>
      <c r="AN1196"/>
      <c r="AO1196" s="447"/>
      <c r="AP1196"/>
      <c r="AQ1196"/>
      <c r="AS1196"/>
      <c r="AT1196" s="447"/>
      <c r="AU1196"/>
      <c r="AV1196"/>
      <c r="AW1196" s="447"/>
      <c r="AX1196"/>
      <c r="AY1196"/>
      <c r="AZ1196" s="447"/>
      <c r="BA1196"/>
      <c r="BB1196"/>
      <c r="BC1196" s="447"/>
      <c r="BD1196"/>
      <c r="BE1196"/>
    </row>
    <row r="1197" spans="4:57">
      <c r="D1197" s="447"/>
      <c r="G1197" s="447"/>
      <c r="J1197" s="447"/>
      <c r="M1197" s="447"/>
      <c r="R1197" s="447"/>
      <c r="S1197"/>
      <c r="T1197"/>
      <c r="U1197" s="447"/>
      <c r="V1197"/>
      <c r="W1197"/>
      <c r="X1197" s="447"/>
      <c r="Y1197"/>
      <c r="Z1197"/>
      <c r="AA1197" s="447"/>
      <c r="AB1197"/>
      <c r="AC1197"/>
      <c r="AE1197"/>
      <c r="AF1197" s="447"/>
      <c r="AG1197"/>
      <c r="AH1197"/>
      <c r="AI1197" s="447"/>
      <c r="AJ1197"/>
      <c r="AK1197"/>
      <c r="AL1197" s="447"/>
      <c r="AM1197"/>
      <c r="AN1197"/>
      <c r="AO1197" s="447"/>
      <c r="AP1197"/>
      <c r="AQ1197"/>
      <c r="AS1197"/>
      <c r="AT1197" s="447"/>
      <c r="AU1197"/>
      <c r="AV1197"/>
      <c r="AW1197" s="447"/>
      <c r="AX1197"/>
      <c r="AY1197"/>
      <c r="AZ1197" s="447"/>
      <c r="BA1197"/>
      <c r="BB1197"/>
      <c r="BC1197" s="447"/>
      <c r="BD1197"/>
      <c r="BE1197"/>
    </row>
    <row r="1198" spans="4:57">
      <c r="D1198" s="447"/>
      <c r="G1198" s="447"/>
      <c r="J1198" s="447"/>
      <c r="M1198" s="447"/>
      <c r="R1198" s="447"/>
      <c r="S1198"/>
      <c r="T1198"/>
      <c r="U1198" s="447"/>
      <c r="V1198"/>
      <c r="W1198"/>
      <c r="X1198" s="447"/>
      <c r="Y1198"/>
      <c r="Z1198"/>
      <c r="AA1198" s="447"/>
      <c r="AB1198"/>
      <c r="AC1198"/>
      <c r="AE1198"/>
      <c r="AF1198" s="447"/>
      <c r="AG1198"/>
      <c r="AH1198"/>
      <c r="AI1198" s="447"/>
      <c r="AJ1198"/>
      <c r="AK1198"/>
      <c r="AL1198" s="447"/>
      <c r="AM1198"/>
      <c r="AN1198"/>
      <c r="AO1198" s="447"/>
      <c r="AP1198"/>
      <c r="AQ1198"/>
      <c r="AS1198"/>
      <c r="AT1198" s="447"/>
      <c r="AU1198"/>
      <c r="AV1198"/>
      <c r="AW1198" s="447"/>
      <c r="AX1198"/>
      <c r="AY1198"/>
      <c r="AZ1198" s="447"/>
      <c r="BA1198"/>
      <c r="BB1198"/>
      <c r="BC1198" s="447"/>
      <c r="BD1198"/>
      <c r="BE1198"/>
    </row>
    <row r="1199" spans="4:57">
      <c r="D1199" s="447"/>
      <c r="G1199" s="447"/>
      <c r="J1199" s="447"/>
      <c r="M1199" s="447"/>
      <c r="R1199" s="447"/>
      <c r="S1199"/>
      <c r="T1199"/>
      <c r="U1199" s="447"/>
      <c r="V1199"/>
      <c r="W1199"/>
      <c r="X1199" s="447"/>
      <c r="Y1199"/>
      <c r="Z1199"/>
      <c r="AA1199" s="447"/>
      <c r="AB1199"/>
      <c r="AC1199"/>
      <c r="AE1199"/>
      <c r="AF1199" s="447"/>
      <c r="AG1199"/>
      <c r="AH1199"/>
      <c r="AI1199" s="447"/>
      <c r="AJ1199"/>
      <c r="AK1199"/>
      <c r="AL1199" s="447"/>
      <c r="AM1199"/>
      <c r="AN1199"/>
      <c r="AO1199" s="447"/>
      <c r="AP1199"/>
      <c r="AQ1199"/>
      <c r="AS1199"/>
      <c r="AT1199" s="447"/>
      <c r="AU1199"/>
      <c r="AV1199"/>
      <c r="AW1199" s="447"/>
      <c r="AX1199"/>
      <c r="AY1199"/>
      <c r="AZ1199" s="447"/>
      <c r="BA1199"/>
      <c r="BB1199"/>
      <c r="BC1199" s="447"/>
      <c r="BD1199"/>
      <c r="BE1199"/>
    </row>
    <row r="1200" spans="4:57">
      <c r="D1200" s="447"/>
      <c r="G1200" s="447"/>
      <c r="J1200" s="447"/>
      <c r="M1200" s="447"/>
      <c r="R1200" s="447"/>
      <c r="S1200"/>
      <c r="T1200"/>
      <c r="U1200" s="447"/>
      <c r="V1200"/>
      <c r="W1200"/>
      <c r="X1200" s="447"/>
      <c r="Y1200"/>
      <c r="Z1200"/>
      <c r="AA1200" s="447"/>
      <c r="AB1200"/>
      <c r="AC1200"/>
      <c r="AE1200"/>
      <c r="AF1200" s="447"/>
      <c r="AG1200"/>
      <c r="AH1200"/>
      <c r="AI1200" s="447"/>
      <c r="AJ1200"/>
      <c r="AK1200"/>
      <c r="AL1200" s="447"/>
      <c r="AM1200"/>
      <c r="AN1200"/>
      <c r="AO1200" s="447"/>
      <c r="AP1200"/>
      <c r="AQ1200"/>
      <c r="AS1200"/>
      <c r="AT1200" s="447"/>
      <c r="AU1200"/>
      <c r="AV1200"/>
      <c r="AW1200" s="447"/>
      <c r="AX1200"/>
      <c r="AY1200"/>
      <c r="AZ1200" s="447"/>
      <c r="BA1200"/>
      <c r="BB1200"/>
      <c r="BC1200" s="447"/>
      <c r="BD1200"/>
      <c r="BE1200"/>
    </row>
    <row r="1201" spans="4:57">
      <c r="D1201" s="447"/>
      <c r="G1201" s="447"/>
      <c r="J1201" s="447"/>
      <c r="M1201" s="447"/>
      <c r="R1201" s="447"/>
      <c r="S1201"/>
      <c r="T1201"/>
      <c r="U1201" s="447"/>
      <c r="V1201"/>
      <c r="W1201"/>
      <c r="X1201" s="447"/>
      <c r="Y1201"/>
      <c r="Z1201"/>
      <c r="AA1201" s="447"/>
      <c r="AB1201"/>
      <c r="AC1201"/>
      <c r="AE1201"/>
      <c r="AF1201" s="447"/>
      <c r="AG1201"/>
      <c r="AH1201"/>
      <c r="AI1201" s="447"/>
      <c r="AJ1201"/>
      <c r="AK1201"/>
      <c r="AL1201" s="447"/>
      <c r="AM1201"/>
      <c r="AN1201"/>
      <c r="AO1201" s="447"/>
      <c r="AP1201"/>
      <c r="AQ1201"/>
      <c r="AS1201"/>
      <c r="AT1201" s="447"/>
      <c r="AU1201"/>
      <c r="AV1201"/>
      <c r="AW1201" s="447"/>
      <c r="AX1201"/>
      <c r="AY1201"/>
      <c r="AZ1201" s="447"/>
      <c r="BA1201"/>
      <c r="BB1201"/>
      <c r="BC1201" s="447"/>
      <c r="BD1201"/>
      <c r="BE1201"/>
    </row>
    <row r="1202" spans="4:57">
      <c r="D1202" s="447"/>
      <c r="G1202" s="447"/>
      <c r="J1202" s="447"/>
      <c r="M1202" s="447"/>
      <c r="R1202" s="447"/>
      <c r="S1202"/>
      <c r="T1202"/>
      <c r="U1202" s="447"/>
      <c r="V1202"/>
      <c r="W1202"/>
      <c r="X1202" s="447"/>
      <c r="Y1202"/>
      <c r="Z1202"/>
      <c r="AA1202" s="447"/>
      <c r="AB1202"/>
      <c r="AC1202"/>
      <c r="AE1202"/>
      <c r="AF1202" s="447"/>
      <c r="AG1202"/>
      <c r="AH1202"/>
      <c r="AI1202" s="447"/>
      <c r="AJ1202"/>
      <c r="AK1202"/>
      <c r="AL1202" s="447"/>
      <c r="AM1202"/>
      <c r="AN1202"/>
      <c r="AO1202" s="447"/>
      <c r="AP1202"/>
      <c r="AQ1202"/>
      <c r="AS1202"/>
      <c r="AT1202" s="447"/>
      <c r="AU1202"/>
      <c r="AV1202"/>
      <c r="AW1202" s="447"/>
      <c r="AX1202"/>
      <c r="AY1202"/>
      <c r="AZ1202" s="447"/>
      <c r="BA1202"/>
      <c r="BB1202"/>
      <c r="BC1202" s="447"/>
      <c r="BD1202"/>
      <c r="BE1202"/>
    </row>
    <row r="1203" spans="4:57">
      <c r="D1203" s="447"/>
      <c r="G1203" s="447"/>
      <c r="J1203" s="447"/>
      <c r="M1203" s="447"/>
      <c r="R1203" s="447"/>
      <c r="S1203"/>
      <c r="T1203"/>
      <c r="U1203" s="447"/>
      <c r="V1203"/>
      <c r="W1203"/>
      <c r="X1203" s="447"/>
      <c r="Y1203"/>
      <c r="Z1203"/>
      <c r="AA1203" s="447"/>
      <c r="AB1203"/>
      <c r="AC1203"/>
      <c r="AE1203"/>
      <c r="AF1203" s="447"/>
      <c r="AG1203"/>
      <c r="AH1203"/>
      <c r="AI1203" s="447"/>
      <c r="AJ1203"/>
      <c r="AK1203"/>
      <c r="AL1203" s="447"/>
      <c r="AM1203"/>
      <c r="AN1203"/>
      <c r="AO1203" s="447"/>
      <c r="AP1203"/>
      <c r="AQ1203"/>
      <c r="AS1203"/>
      <c r="AT1203" s="447"/>
      <c r="AU1203"/>
      <c r="AV1203"/>
      <c r="AW1203" s="447"/>
      <c r="AX1203"/>
      <c r="AY1203"/>
      <c r="AZ1203" s="447"/>
      <c r="BA1203"/>
      <c r="BB1203"/>
      <c r="BC1203" s="447"/>
      <c r="BD1203"/>
      <c r="BE1203"/>
    </row>
    <row r="1204" spans="4:57">
      <c r="D1204" s="447"/>
      <c r="G1204" s="447"/>
      <c r="J1204" s="447"/>
      <c r="M1204" s="447"/>
      <c r="R1204" s="447"/>
      <c r="S1204"/>
      <c r="T1204"/>
      <c r="U1204" s="447"/>
      <c r="V1204"/>
      <c r="W1204"/>
      <c r="X1204" s="447"/>
      <c r="Y1204"/>
      <c r="Z1204"/>
      <c r="AA1204" s="447"/>
      <c r="AB1204"/>
      <c r="AC1204"/>
      <c r="AE1204"/>
      <c r="AF1204" s="447"/>
      <c r="AG1204"/>
      <c r="AH1204"/>
      <c r="AI1204" s="447"/>
      <c r="AJ1204"/>
      <c r="AK1204"/>
      <c r="AL1204" s="447"/>
      <c r="AM1204"/>
      <c r="AN1204"/>
      <c r="AO1204" s="447"/>
      <c r="AP1204"/>
      <c r="AQ1204"/>
      <c r="AS1204"/>
      <c r="AT1204" s="447"/>
      <c r="AU1204"/>
      <c r="AV1204"/>
      <c r="AW1204" s="447"/>
      <c r="AX1204"/>
      <c r="AY1204"/>
      <c r="AZ1204" s="447"/>
      <c r="BA1204"/>
      <c r="BB1204"/>
      <c r="BC1204" s="447"/>
      <c r="BD1204"/>
      <c r="BE1204"/>
    </row>
    <row r="1205" spans="4:57">
      <c r="D1205" s="447"/>
      <c r="G1205" s="447"/>
      <c r="J1205" s="447"/>
      <c r="M1205" s="447"/>
      <c r="R1205" s="447"/>
      <c r="S1205"/>
      <c r="T1205"/>
      <c r="U1205" s="447"/>
      <c r="V1205"/>
      <c r="W1205"/>
      <c r="X1205" s="447"/>
      <c r="Y1205"/>
      <c r="Z1205"/>
      <c r="AA1205" s="447"/>
      <c r="AB1205"/>
      <c r="AC1205"/>
      <c r="AE1205"/>
      <c r="AF1205" s="447"/>
      <c r="AG1205"/>
      <c r="AH1205"/>
      <c r="AI1205" s="447"/>
      <c r="AJ1205"/>
      <c r="AK1205"/>
      <c r="AL1205" s="447"/>
      <c r="AM1205"/>
      <c r="AN1205"/>
      <c r="AO1205" s="447"/>
      <c r="AP1205"/>
      <c r="AQ1205"/>
      <c r="AS1205"/>
      <c r="AT1205" s="447"/>
      <c r="AU1205"/>
      <c r="AV1205"/>
      <c r="AW1205" s="447"/>
      <c r="AX1205"/>
      <c r="AY1205"/>
      <c r="AZ1205" s="447"/>
      <c r="BA1205"/>
      <c r="BB1205"/>
      <c r="BC1205" s="447"/>
      <c r="BD1205"/>
      <c r="BE1205"/>
    </row>
    <row r="1206" spans="4:57">
      <c r="D1206" s="447"/>
      <c r="G1206" s="447"/>
      <c r="J1206" s="447"/>
      <c r="M1206" s="447"/>
      <c r="R1206" s="447"/>
      <c r="S1206"/>
      <c r="T1206"/>
      <c r="U1206" s="447"/>
      <c r="V1206"/>
      <c r="W1206"/>
      <c r="X1206" s="447"/>
      <c r="Y1206"/>
      <c r="Z1206"/>
      <c r="AA1206" s="447"/>
      <c r="AB1206"/>
      <c r="AC1206"/>
      <c r="AE1206"/>
      <c r="AF1206" s="447"/>
      <c r="AG1206"/>
      <c r="AH1206"/>
      <c r="AI1206" s="447"/>
      <c r="AJ1206"/>
      <c r="AK1206"/>
      <c r="AL1206" s="447"/>
      <c r="AM1206"/>
      <c r="AN1206"/>
      <c r="AO1206" s="447"/>
      <c r="AP1206"/>
      <c r="AQ1206"/>
      <c r="AS1206"/>
      <c r="AT1206" s="447"/>
      <c r="AU1206"/>
      <c r="AV1206"/>
      <c r="AW1206" s="447"/>
      <c r="AX1206"/>
      <c r="AY1206"/>
      <c r="AZ1206" s="447"/>
      <c r="BA1206"/>
      <c r="BB1206"/>
      <c r="BC1206" s="447"/>
      <c r="BD1206"/>
      <c r="BE1206"/>
    </row>
    <row r="1207" spans="4:57">
      <c r="D1207" s="447"/>
      <c r="G1207" s="447"/>
      <c r="J1207" s="447"/>
      <c r="M1207" s="447"/>
      <c r="R1207" s="447"/>
      <c r="S1207"/>
      <c r="T1207"/>
      <c r="U1207" s="447"/>
      <c r="V1207"/>
      <c r="W1207"/>
      <c r="X1207" s="447"/>
      <c r="Y1207"/>
      <c r="Z1207"/>
      <c r="AA1207" s="447"/>
      <c r="AB1207"/>
      <c r="AC1207"/>
      <c r="AE1207"/>
      <c r="AF1207" s="447"/>
      <c r="AG1207"/>
      <c r="AH1207"/>
      <c r="AI1207" s="447"/>
      <c r="AJ1207"/>
      <c r="AK1207"/>
      <c r="AL1207" s="447"/>
      <c r="AM1207"/>
      <c r="AN1207"/>
      <c r="AO1207" s="447"/>
      <c r="AP1207"/>
      <c r="AQ1207"/>
      <c r="AS1207"/>
      <c r="AT1207" s="447"/>
      <c r="AU1207"/>
      <c r="AV1207"/>
      <c r="AW1207" s="447"/>
      <c r="AX1207"/>
      <c r="AY1207"/>
      <c r="AZ1207" s="447"/>
      <c r="BA1207"/>
      <c r="BB1207"/>
      <c r="BC1207" s="447"/>
      <c r="BD1207"/>
      <c r="BE1207"/>
    </row>
    <row r="1208" spans="4:57">
      <c r="D1208" s="447"/>
      <c r="G1208" s="447"/>
      <c r="J1208" s="447"/>
      <c r="M1208" s="447"/>
      <c r="R1208" s="447"/>
      <c r="S1208"/>
      <c r="T1208"/>
      <c r="U1208" s="447"/>
      <c r="V1208"/>
      <c r="W1208"/>
      <c r="X1208" s="447"/>
      <c r="Y1208"/>
      <c r="Z1208"/>
      <c r="AA1208" s="447"/>
      <c r="AB1208"/>
      <c r="AC1208"/>
      <c r="AE1208"/>
      <c r="AF1208" s="447"/>
      <c r="AG1208"/>
      <c r="AH1208"/>
      <c r="AI1208" s="447"/>
      <c r="AJ1208"/>
      <c r="AK1208"/>
      <c r="AL1208" s="447"/>
      <c r="AM1208"/>
      <c r="AN1208"/>
      <c r="AO1208" s="447"/>
      <c r="AP1208"/>
      <c r="AQ1208"/>
      <c r="AS1208"/>
      <c r="AT1208" s="447"/>
      <c r="AU1208"/>
      <c r="AV1208"/>
      <c r="AW1208" s="447"/>
      <c r="AX1208"/>
      <c r="AY1208"/>
      <c r="AZ1208" s="447"/>
      <c r="BA1208"/>
      <c r="BB1208"/>
      <c r="BC1208" s="447"/>
      <c r="BD1208"/>
      <c r="BE1208"/>
    </row>
    <row r="1209" spans="4:57">
      <c r="D1209" s="447"/>
      <c r="G1209" s="447"/>
      <c r="J1209" s="447"/>
      <c r="M1209" s="447"/>
      <c r="R1209" s="447"/>
      <c r="S1209"/>
      <c r="T1209"/>
      <c r="U1209" s="447"/>
      <c r="V1209"/>
      <c r="W1209"/>
      <c r="X1209" s="447"/>
      <c r="Y1209"/>
      <c r="Z1209"/>
      <c r="AA1209" s="447"/>
      <c r="AB1209"/>
      <c r="AC1209"/>
      <c r="AE1209"/>
      <c r="AF1209" s="447"/>
      <c r="AG1209"/>
      <c r="AH1209"/>
      <c r="AI1209" s="447"/>
      <c r="AJ1209"/>
      <c r="AK1209"/>
      <c r="AL1209" s="447"/>
      <c r="AM1209"/>
      <c r="AN1209"/>
      <c r="AO1209" s="447"/>
      <c r="AP1209"/>
      <c r="AQ1209"/>
      <c r="AS1209"/>
      <c r="AT1209" s="447"/>
      <c r="AU1209"/>
      <c r="AV1209"/>
      <c r="AW1209" s="447"/>
      <c r="AX1209"/>
      <c r="AY1209"/>
      <c r="AZ1209" s="447"/>
      <c r="BA1209"/>
      <c r="BB1209"/>
      <c r="BC1209" s="447"/>
      <c r="BD1209"/>
      <c r="BE1209"/>
    </row>
    <row r="1210" spans="4:57">
      <c r="D1210" s="447"/>
      <c r="G1210" s="447"/>
      <c r="J1210" s="447"/>
      <c r="M1210" s="447"/>
      <c r="R1210" s="447"/>
      <c r="S1210"/>
      <c r="T1210"/>
      <c r="U1210" s="447"/>
      <c r="V1210"/>
      <c r="W1210"/>
      <c r="X1210" s="447"/>
      <c r="Y1210"/>
      <c r="Z1210"/>
      <c r="AA1210" s="447"/>
      <c r="AB1210"/>
      <c r="AC1210"/>
      <c r="AE1210"/>
      <c r="AF1210" s="447"/>
      <c r="AG1210"/>
      <c r="AH1210"/>
      <c r="AI1210" s="447"/>
      <c r="AJ1210"/>
      <c r="AK1210"/>
      <c r="AL1210" s="447"/>
      <c r="AM1210"/>
      <c r="AN1210"/>
      <c r="AO1210" s="447"/>
      <c r="AP1210"/>
      <c r="AQ1210"/>
      <c r="AS1210"/>
      <c r="AT1210" s="447"/>
      <c r="AU1210"/>
      <c r="AV1210"/>
      <c r="AW1210" s="447"/>
      <c r="AX1210"/>
      <c r="AY1210"/>
      <c r="AZ1210" s="447"/>
      <c r="BA1210"/>
      <c r="BB1210"/>
      <c r="BC1210" s="447"/>
      <c r="BD1210"/>
      <c r="BE1210"/>
    </row>
    <row r="1211" spans="4:57">
      <c r="D1211" s="447"/>
      <c r="G1211" s="447"/>
      <c r="J1211" s="447"/>
      <c r="M1211" s="447"/>
      <c r="R1211" s="447"/>
      <c r="S1211"/>
      <c r="T1211"/>
      <c r="U1211" s="447"/>
      <c r="V1211"/>
      <c r="W1211"/>
      <c r="X1211" s="447"/>
      <c r="Y1211"/>
      <c r="Z1211"/>
      <c r="AA1211" s="447"/>
      <c r="AB1211"/>
      <c r="AC1211"/>
      <c r="AE1211"/>
      <c r="AF1211" s="447"/>
      <c r="AG1211"/>
      <c r="AH1211"/>
      <c r="AI1211" s="447"/>
      <c r="AJ1211"/>
      <c r="AK1211"/>
      <c r="AL1211" s="447"/>
      <c r="AM1211"/>
      <c r="AN1211"/>
      <c r="AO1211" s="447"/>
      <c r="AP1211"/>
      <c r="AQ1211"/>
      <c r="AS1211"/>
      <c r="AT1211" s="447"/>
      <c r="AU1211"/>
      <c r="AV1211"/>
      <c r="AW1211" s="447"/>
      <c r="AX1211"/>
      <c r="AY1211"/>
      <c r="AZ1211" s="447"/>
      <c r="BA1211"/>
      <c r="BB1211"/>
      <c r="BC1211" s="447"/>
      <c r="BD1211"/>
      <c r="BE1211"/>
    </row>
    <row r="1212" spans="4:57">
      <c r="D1212" s="447"/>
      <c r="G1212" s="447"/>
      <c r="J1212" s="447"/>
      <c r="M1212" s="447"/>
      <c r="R1212" s="447"/>
      <c r="S1212"/>
      <c r="T1212"/>
      <c r="U1212" s="447"/>
      <c r="V1212"/>
      <c r="W1212"/>
      <c r="X1212" s="447"/>
      <c r="Y1212"/>
      <c r="Z1212"/>
      <c r="AA1212" s="447"/>
      <c r="AB1212"/>
      <c r="AC1212"/>
      <c r="AE1212"/>
      <c r="AF1212" s="447"/>
      <c r="AG1212"/>
      <c r="AH1212"/>
      <c r="AI1212" s="447"/>
      <c r="AJ1212"/>
      <c r="AK1212"/>
      <c r="AL1212" s="447"/>
      <c r="AM1212"/>
      <c r="AN1212"/>
      <c r="AO1212" s="447"/>
      <c r="AP1212"/>
      <c r="AQ1212"/>
      <c r="AS1212"/>
      <c r="AT1212" s="447"/>
      <c r="AU1212"/>
      <c r="AV1212"/>
      <c r="AW1212" s="447"/>
      <c r="AX1212"/>
      <c r="AY1212"/>
      <c r="AZ1212" s="447"/>
      <c r="BA1212"/>
      <c r="BB1212"/>
      <c r="BC1212" s="447"/>
      <c r="BD1212"/>
      <c r="BE1212"/>
    </row>
    <row r="1213" spans="4:57">
      <c r="D1213" s="447"/>
      <c r="G1213" s="447"/>
      <c r="J1213" s="447"/>
      <c r="M1213" s="447"/>
      <c r="R1213" s="447"/>
      <c r="S1213"/>
      <c r="T1213"/>
      <c r="U1213" s="447"/>
      <c r="V1213"/>
      <c r="W1213"/>
      <c r="X1213" s="447"/>
      <c r="Y1213"/>
      <c r="Z1213"/>
      <c r="AA1213" s="447"/>
      <c r="AB1213"/>
      <c r="AC1213"/>
      <c r="AE1213"/>
      <c r="AF1213" s="447"/>
      <c r="AG1213"/>
      <c r="AH1213"/>
      <c r="AI1213" s="447"/>
      <c r="AJ1213"/>
      <c r="AK1213"/>
      <c r="AL1213" s="447"/>
      <c r="AM1213"/>
      <c r="AN1213"/>
      <c r="AO1213" s="447"/>
      <c r="AP1213"/>
      <c r="AQ1213"/>
      <c r="AS1213"/>
      <c r="AT1213" s="447"/>
      <c r="AU1213"/>
      <c r="AV1213"/>
      <c r="AW1213" s="447"/>
      <c r="AX1213"/>
      <c r="AY1213"/>
      <c r="AZ1213" s="447"/>
      <c r="BA1213"/>
      <c r="BB1213"/>
      <c r="BC1213" s="447"/>
      <c r="BD1213"/>
      <c r="BE1213"/>
    </row>
    <row r="1214" spans="4:57">
      <c r="D1214" s="447"/>
      <c r="G1214" s="447"/>
      <c r="J1214" s="447"/>
      <c r="M1214" s="447"/>
      <c r="R1214" s="447"/>
      <c r="S1214"/>
      <c r="T1214"/>
      <c r="U1214" s="447"/>
      <c r="V1214"/>
      <c r="W1214"/>
      <c r="X1214" s="447"/>
      <c r="Y1214"/>
      <c r="Z1214"/>
      <c r="AA1214" s="447"/>
      <c r="AB1214"/>
      <c r="AC1214"/>
      <c r="AE1214"/>
      <c r="AF1214" s="447"/>
      <c r="AG1214"/>
      <c r="AH1214"/>
      <c r="AI1214" s="447"/>
      <c r="AJ1214"/>
      <c r="AK1214"/>
      <c r="AL1214" s="447"/>
      <c r="AM1214"/>
      <c r="AN1214"/>
      <c r="AO1214" s="447"/>
      <c r="AP1214"/>
      <c r="AQ1214"/>
      <c r="AS1214"/>
      <c r="AT1214" s="447"/>
      <c r="AU1214"/>
      <c r="AV1214"/>
      <c r="AW1214" s="447"/>
      <c r="AX1214"/>
      <c r="AY1214"/>
      <c r="AZ1214" s="447"/>
      <c r="BA1214"/>
      <c r="BB1214"/>
      <c r="BC1214" s="447"/>
      <c r="BD1214"/>
      <c r="BE1214"/>
    </row>
    <row r="1215" spans="4:57">
      <c r="D1215" s="447"/>
      <c r="G1215" s="447"/>
      <c r="J1215" s="447"/>
      <c r="M1215" s="447"/>
      <c r="R1215" s="447"/>
      <c r="S1215"/>
      <c r="T1215"/>
      <c r="U1215" s="447"/>
      <c r="V1215"/>
      <c r="W1215"/>
      <c r="X1215" s="447"/>
      <c r="Y1215"/>
      <c r="Z1215"/>
      <c r="AA1215" s="447"/>
      <c r="AB1215"/>
      <c r="AC1215"/>
      <c r="AE1215"/>
      <c r="AF1215" s="447"/>
      <c r="AG1215"/>
      <c r="AH1215"/>
      <c r="AI1215" s="447"/>
      <c r="AJ1215"/>
      <c r="AK1215"/>
      <c r="AL1215" s="447"/>
      <c r="AM1215"/>
      <c r="AN1215"/>
      <c r="AO1215" s="447"/>
      <c r="AP1215"/>
      <c r="AQ1215"/>
      <c r="AS1215"/>
      <c r="AT1215" s="447"/>
      <c r="AU1215"/>
      <c r="AV1215"/>
      <c r="AW1215" s="447"/>
      <c r="AX1215"/>
      <c r="AY1215"/>
      <c r="AZ1215" s="447"/>
      <c r="BA1215"/>
      <c r="BB1215"/>
      <c r="BC1215" s="447"/>
      <c r="BD1215"/>
      <c r="BE1215"/>
    </row>
    <row r="1216" spans="4:57">
      <c r="D1216" s="447"/>
      <c r="G1216" s="447"/>
      <c r="J1216" s="447"/>
      <c r="M1216" s="447"/>
      <c r="R1216" s="447"/>
      <c r="S1216"/>
      <c r="T1216"/>
      <c r="U1216" s="447"/>
      <c r="V1216"/>
      <c r="W1216"/>
      <c r="X1216" s="447"/>
      <c r="Y1216"/>
      <c r="Z1216"/>
      <c r="AA1216" s="447"/>
      <c r="AB1216"/>
      <c r="AC1216"/>
      <c r="AE1216"/>
      <c r="AF1216" s="447"/>
      <c r="AG1216"/>
      <c r="AH1216"/>
      <c r="AI1216" s="447"/>
      <c r="AJ1216"/>
      <c r="AK1216"/>
      <c r="AL1216" s="447"/>
      <c r="AM1216"/>
      <c r="AN1216"/>
      <c r="AO1216" s="447"/>
      <c r="AP1216"/>
      <c r="AQ1216"/>
      <c r="AS1216"/>
      <c r="AT1216" s="447"/>
      <c r="AU1216"/>
      <c r="AV1216"/>
      <c r="AW1216" s="447"/>
      <c r="AX1216"/>
      <c r="AY1216"/>
      <c r="AZ1216" s="447"/>
      <c r="BA1216"/>
      <c r="BB1216"/>
      <c r="BC1216" s="447"/>
      <c r="BD1216"/>
      <c r="BE1216"/>
    </row>
    <row r="1217" spans="4:57">
      <c r="D1217" s="447"/>
      <c r="G1217" s="447"/>
      <c r="J1217" s="447"/>
      <c r="M1217" s="447"/>
      <c r="R1217" s="447"/>
      <c r="S1217"/>
      <c r="T1217"/>
      <c r="U1217" s="447"/>
      <c r="V1217"/>
      <c r="W1217"/>
      <c r="X1217" s="447"/>
      <c r="Y1217"/>
      <c r="Z1217"/>
      <c r="AA1217" s="447"/>
      <c r="AB1217"/>
      <c r="AC1217"/>
      <c r="AE1217"/>
      <c r="AF1217" s="447"/>
      <c r="AG1217"/>
      <c r="AH1217"/>
      <c r="AI1217" s="447"/>
      <c r="AJ1217"/>
      <c r="AK1217"/>
      <c r="AL1217" s="447"/>
      <c r="AM1217"/>
      <c r="AN1217"/>
      <c r="AO1217" s="447"/>
      <c r="AP1217"/>
      <c r="AQ1217"/>
      <c r="AS1217"/>
      <c r="AT1217" s="447"/>
      <c r="AU1217"/>
      <c r="AV1217"/>
      <c r="AW1217" s="447"/>
      <c r="AX1217"/>
      <c r="AY1217"/>
      <c r="AZ1217" s="447"/>
      <c r="BA1217"/>
      <c r="BB1217"/>
      <c r="BC1217" s="447"/>
      <c r="BD1217"/>
      <c r="BE1217"/>
    </row>
    <row r="1218" spans="4:57">
      <c r="D1218" s="447"/>
      <c r="G1218" s="447"/>
      <c r="J1218" s="447"/>
      <c r="M1218" s="447"/>
      <c r="R1218" s="447"/>
      <c r="S1218"/>
      <c r="T1218"/>
      <c r="U1218" s="447"/>
      <c r="V1218"/>
      <c r="W1218"/>
      <c r="X1218" s="447"/>
      <c r="Y1218"/>
      <c r="Z1218"/>
      <c r="AA1218" s="447"/>
      <c r="AB1218"/>
      <c r="AC1218"/>
      <c r="AE1218"/>
      <c r="AF1218" s="447"/>
      <c r="AG1218"/>
      <c r="AH1218"/>
      <c r="AI1218" s="447"/>
      <c r="AJ1218"/>
      <c r="AK1218"/>
      <c r="AL1218" s="447"/>
      <c r="AM1218"/>
      <c r="AN1218"/>
      <c r="AO1218" s="447"/>
      <c r="AP1218"/>
      <c r="AQ1218"/>
      <c r="AS1218"/>
      <c r="AT1218" s="447"/>
      <c r="AU1218"/>
      <c r="AV1218"/>
      <c r="AW1218" s="447"/>
      <c r="AX1218"/>
      <c r="AY1218"/>
      <c r="AZ1218" s="447"/>
      <c r="BA1218"/>
      <c r="BB1218"/>
      <c r="BC1218" s="447"/>
      <c r="BD1218"/>
      <c r="BE1218"/>
    </row>
    <row r="1219" spans="4:57">
      <c r="D1219" s="447"/>
      <c r="G1219" s="447"/>
      <c r="J1219" s="447"/>
      <c r="M1219" s="447"/>
      <c r="R1219" s="447"/>
      <c r="S1219"/>
      <c r="T1219"/>
      <c r="U1219" s="447"/>
      <c r="V1219"/>
      <c r="W1219"/>
      <c r="X1219" s="447"/>
      <c r="Y1219"/>
      <c r="Z1219"/>
      <c r="AA1219" s="447"/>
      <c r="AB1219"/>
      <c r="AC1219"/>
      <c r="AE1219"/>
      <c r="AF1219" s="447"/>
      <c r="AG1219"/>
      <c r="AH1219"/>
      <c r="AI1219" s="447"/>
      <c r="AJ1219"/>
      <c r="AK1219"/>
      <c r="AL1219" s="447"/>
      <c r="AM1219"/>
      <c r="AN1219"/>
      <c r="AO1219" s="447"/>
      <c r="AP1219"/>
      <c r="AQ1219"/>
      <c r="AS1219"/>
      <c r="AT1219" s="447"/>
      <c r="AU1219"/>
      <c r="AV1219"/>
      <c r="AW1219" s="447"/>
      <c r="AX1219"/>
      <c r="AY1219"/>
      <c r="AZ1219" s="447"/>
      <c r="BA1219"/>
      <c r="BB1219"/>
      <c r="BC1219" s="447"/>
      <c r="BD1219"/>
      <c r="BE1219"/>
    </row>
    <row r="1220" spans="4:57">
      <c r="D1220" s="447"/>
      <c r="G1220" s="447"/>
      <c r="J1220" s="447"/>
      <c r="M1220" s="447"/>
      <c r="R1220" s="447"/>
      <c r="S1220"/>
      <c r="T1220"/>
      <c r="U1220" s="447"/>
      <c r="V1220"/>
      <c r="W1220"/>
      <c r="X1220" s="447"/>
      <c r="Y1220"/>
      <c r="Z1220"/>
      <c r="AA1220" s="447"/>
      <c r="AB1220"/>
      <c r="AC1220"/>
      <c r="AE1220"/>
      <c r="AF1220" s="447"/>
      <c r="AG1220"/>
      <c r="AH1220"/>
      <c r="AI1220" s="447"/>
      <c r="AJ1220"/>
      <c r="AK1220"/>
      <c r="AL1220" s="447"/>
      <c r="AM1220"/>
      <c r="AN1220"/>
      <c r="AO1220" s="447"/>
      <c r="AP1220"/>
      <c r="AQ1220"/>
      <c r="AS1220"/>
      <c r="AT1220" s="447"/>
      <c r="AU1220"/>
      <c r="AV1220"/>
      <c r="AW1220" s="447"/>
      <c r="AX1220"/>
      <c r="AY1220"/>
      <c r="AZ1220" s="447"/>
      <c r="BA1220"/>
      <c r="BB1220"/>
      <c r="BC1220" s="447"/>
      <c r="BD1220"/>
      <c r="BE1220"/>
    </row>
    <row r="1221" spans="4:57">
      <c r="D1221" s="447"/>
      <c r="G1221" s="447"/>
      <c r="J1221" s="447"/>
      <c r="M1221" s="447"/>
      <c r="R1221" s="447"/>
      <c r="S1221"/>
      <c r="T1221"/>
      <c r="U1221" s="447"/>
      <c r="V1221"/>
      <c r="W1221"/>
      <c r="X1221" s="447"/>
      <c r="Y1221"/>
      <c r="Z1221"/>
      <c r="AA1221" s="447"/>
      <c r="AB1221"/>
      <c r="AC1221"/>
      <c r="AE1221"/>
      <c r="AF1221" s="447"/>
      <c r="AG1221"/>
      <c r="AH1221"/>
      <c r="AI1221" s="447"/>
      <c r="AJ1221"/>
      <c r="AK1221"/>
      <c r="AL1221" s="447"/>
      <c r="AM1221"/>
      <c r="AN1221"/>
      <c r="AO1221" s="447"/>
      <c r="AP1221"/>
      <c r="AQ1221"/>
      <c r="AS1221"/>
      <c r="AT1221" s="447"/>
      <c r="AU1221"/>
      <c r="AV1221"/>
      <c r="AW1221" s="447"/>
      <c r="AX1221"/>
      <c r="AY1221"/>
      <c r="AZ1221" s="447"/>
      <c r="BA1221"/>
      <c r="BB1221"/>
      <c r="BC1221" s="447"/>
      <c r="BD1221"/>
      <c r="BE1221"/>
    </row>
    <row r="1222" spans="4:57">
      <c r="D1222" s="447"/>
      <c r="G1222" s="447"/>
      <c r="J1222" s="447"/>
      <c r="M1222" s="447"/>
      <c r="R1222" s="447"/>
      <c r="S1222"/>
      <c r="T1222"/>
      <c r="U1222" s="447"/>
      <c r="V1222"/>
      <c r="W1222"/>
      <c r="X1222" s="447"/>
      <c r="Y1222"/>
      <c r="Z1222"/>
      <c r="AA1222" s="447"/>
      <c r="AB1222"/>
      <c r="AC1222"/>
      <c r="AE1222"/>
      <c r="AF1222" s="447"/>
      <c r="AG1222"/>
      <c r="AH1222"/>
      <c r="AI1222" s="447"/>
      <c r="AJ1222"/>
      <c r="AK1222"/>
      <c r="AL1222" s="447"/>
      <c r="AM1222"/>
      <c r="AN1222"/>
      <c r="AO1222" s="447"/>
      <c r="AP1222"/>
      <c r="AQ1222"/>
      <c r="AS1222"/>
      <c r="AT1222" s="447"/>
      <c r="AU1222"/>
      <c r="AV1222"/>
      <c r="AW1222" s="447"/>
      <c r="AX1222"/>
      <c r="AY1222"/>
      <c r="AZ1222" s="447"/>
      <c r="BA1222"/>
      <c r="BB1222"/>
      <c r="BC1222" s="447"/>
      <c r="BD1222"/>
      <c r="BE1222"/>
    </row>
    <row r="1223" spans="4:57">
      <c r="D1223" s="447"/>
      <c r="G1223" s="447"/>
      <c r="J1223" s="447"/>
      <c r="M1223" s="447"/>
      <c r="R1223" s="447"/>
      <c r="S1223"/>
      <c r="T1223"/>
      <c r="U1223" s="447"/>
      <c r="V1223"/>
      <c r="W1223"/>
      <c r="X1223" s="447"/>
      <c r="Y1223"/>
      <c r="Z1223"/>
      <c r="AA1223" s="447"/>
      <c r="AB1223"/>
      <c r="AC1223"/>
      <c r="AE1223"/>
      <c r="AF1223" s="447"/>
      <c r="AG1223"/>
      <c r="AH1223"/>
      <c r="AI1223" s="447"/>
      <c r="AJ1223"/>
      <c r="AK1223"/>
      <c r="AL1223" s="447"/>
      <c r="AM1223"/>
      <c r="AN1223"/>
      <c r="AO1223" s="447"/>
      <c r="AP1223"/>
      <c r="AQ1223"/>
      <c r="AS1223"/>
      <c r="AT1223" s="447"/>
      <c r="AU1223"/>
      <c r="AV1223"/>
      <c r="AW1223" s="447"/>
      <c r="AX1223"/>
      <c r="AY1223"/>
      <c r="AZ1223" s="447"/>
      <c r="BA1223"/>
      <c r="BB1223"/>
      <c r="BC1223" s="447"/>
      <c r="BD1223"/>
      <c r="BE1223"/>
    </row>
    <row r="1224" spans="4:57">
      <c r="D1224" s="447"/>
      <c r="G1224" s="447"/>
      <c r="J1224" s="447"/>
      <c r="M1224" s="447"/>
      <c r="R1224" s="447"/>
      <c r="S1224"/>
      <c r="T1224"/>
      <c r="U1224" s="447"/>
      <c r="V1224"/>
      <c r="W1224"/>
      <c r="X1224" s="447"/>
      <c r="Y1224"/>
      <c r="Z1224"/>
      <c r="AA1224" s="447"/>
      <c r="AB1224"/>
      <c r="AC1224"/>
      <c r="AE1224"/>
      <c r="AF1224" s="447"/>
      <c r="AG1224"/>
      <c r="AH1224"/>
      <c r="AI1224" s="447"/>
      <c r="AJ1224"/>
      <c r="AK1224"/>
      <c r="AL1224" s="447"/>
      <c r="AM1224"/>
      <c r="AN1224"/>
      <c r="AO1224" s="447"/>
      <c r="AP1224"/>
      <c r="AQ1224"/>
      <c r="AS1224"/>
      <c r="AT1224" s="447"/>
      <c r="AU1224"/>
      <c r="AV1224"/>
      <c r="AW1224" s="447"/>
      <c r="AX1224"/>
      <c r="AY1224"/>
      <c r="AZ1224" s="447"/>
      <c r="BA1224"/>
      <c r="BB1224"/>
      <c r="BC1224" s="447"/>
      <c r="BD1224"/>
      <c r="BE1224"/>
    </row>
    <row r="1225" spans="4:57">
      <c r="D1225" s="447"/>
      <c r="G1225" s="447"/>
      <c r="J1225" s="447"/>
      <c r="M1225" s="447"/>
      <c r="R1225" s="447"/>
      <c r="S1225"/>
      <c r="T1225"/>
      <c r="U1225" s="447"/>
      <c r="V1225"/>
      <c r="W1225"/>
      <c r="X1225" s="447"/>
      <c r="Y1225"/>
      <c r="Z1225"/>
      <c r="AA1225" s="447"/>
      <c r="AB1225"/>
      <c r="AC1225"/>
      <c r="AE1225"/>
      <c r="AF1225" s="447"/>
      <c r="AG1225"/>
      <c r="AH1225"/>
      <c r="AI1225" s="447"/>
      <c r="AJ1225"/>
      <c r="AK1225"/>
      <c r="AL1225" s="447"/>
      <c r="AM1225"/>
      <c r="AN1225"/>
      <c r="AO1225" s="447"/>
      <c r="AP1225"/>
      <c r="AQ1225"/>
      <c r="AS1225"/>
      <c r="AT1225" s="447"/>
      <c r="AU1225"/>
      <c r="AV1225"/>
      <c r="AW1225" s="447"/>
      <c r="AX1225"/>
      <c r="AY1225"/>
      <c r="AZ1225" s="447"/>
      <c r="BA1225"/>
      <c r="BB1225"/>
      <c r="BC1225" s="447"/>
      <c r="BD1225"/>
      <c r="BE1225"/>
    </row>
    <row r="1226" spans="4:57">
      <c r="D1226" s="447"/>
      <c r="G1226" s="447"/>
      <c r="J1226" s="447"/>
      <c r="M1226" s="447"/>
      <c r="R1226" s="447"/>
      <c r="S1226"/>
      <c r="T1226"/>
      <c r="U1226" s="447"/>
      <c r="V1226"/>
      <c r="W1226"/>
      <c r="X1226" s="447"/>
      <c r="Y1226"/>
      <c r="Z1226"/>
      <c r="AA1226" s="447"/>
      <c r="AB1226"/>
      <c r="AC1226"/>
      <c r="AE1226"/>
      <c r="AF1226" s="447"/>
      <c r="AG1226"/>
      <c r="AH1226"/>
      <c r="AI1226" s="447"/>
      <c r="AJ1226"/>
      <c r="AK1226"/>
      <c r="AL1226" s="447"/>
      <c r="AM1226"/>
      <c r="AN1226"/>
      <c r="AO1226" s="447"/>
      <c r="AP1226"/>
      <c r="AQ1226"/>
      <c r="AS1226"/>
      <c r="AT1226" s="447"/>
      <c r="AU1226"/>
      <c r="AV1226"/>
      <c r="AW1226" s="447"/>
      <c r="AX1226"/>
      <c r="AY1226"/>
      <c r="AZ1226" s="447"/>
      <c r="BA1226"/>
      <c r="BB1226"/>
      <c r="BC1226" s="447"/>
      <c r="BD1226"/>
      <c r="BE1226"/>
    </row>
    <row r="1227" spans="4:57">
      <c r="D1227" s="447"/>
      <c r="G1227" s="447"/>
      <c r="J1227" s="447"/>
      <c r="M1227" s="447"/>
      <c r="R1227" s="447"/>
      <c r="S1227"/>
      <c r="T1227"/>
      <c r="U1227" s="447"/>
      <c r="V1227"/>
      <c r="W1227"/>
      <c r="X1227" s="447"/>
      <c r="Y1227"/>
      <c r="Z1227"/>
      <c r="AA1227" s="447"/>
      <c r="AB1227"/>
      <c r="AC1227"/>
      <c r="AE1227"/>
      <c r="AF1227" s="447"/>
      <c r="AG1227"/>
      <c r="AH1227"/>
      <c r="AI1227" s="447"/>
      <c r="AJ1227"/>
      <c r="AK1227"/>
      <c r="AL1227" s="447"/>
      <c r="AM1227"/>
      <c r="AN1227"/>
      <c r="AO1227" s="447"/>
      <c r="AP1227"/>
      <c r="AQ1227"/>
      <c r="AS1227"/>
      <c r="AT1227" s="447"/>
      <c r="AU1227"/>
      <c r="AV1227"/>
      <c r="AW1227" s="447"/>
      <c r="AX1227"/>
      <c r="AY1227"/>
      <c r="AZ1227" s="447"/>
      <c r="BA1227"/>
      <c r="BB1227"/>
      <c r="BC1227" s="447"/>
      <c r="BD1227"/>
      <c r="BE1227"/>
    </row>
    <row r="1228" spans="4:57">
      <c r="D1228" s="447"/>
      <c r="G1228" s="447"/>
      <c r="J1228" s="447"/>
      <c r="M1228" s="447"/>
      <c r="R1228" s="447"/>
      <c r="S1228"/>
      <c r="T1228"/>
      <c r="U1228" s="447"/>
      <c r="V1228"/>
      <c r="W1228"/>
      <c r="X1228" s="447"/>
      <c r="Y1228"/>
      <c r="Z1228"/>
      <c r="AA1228" s="447"/>
      <c r="AB1228"/>
      <c r="AC1228"/>
      <c r="AE1228"/>
      <c r="AF1228" s="447"/>
      <c r="AG1228"/>
      <c r="AH1228"/>
      <c r="AI1228" s="447"/>
      <c r="AJ1228"/>
      <c r="AK1228"/>
      <c r="AL1228" s="447"/>
      <c r="AM1228"/>
      <c r="AN1228"/>
      <c r="AO1228" s="447"/>
      <c r="AP1228"/>
      <c r="AQ1228"/>
      <c r="AS1228"/>
      <c r="AT1228" s="447"/>
      <c r="AU1228"/>
      <c r="AV1228"/>
      <c r="AW1228" s="447"/>
      <c r="AX1228"/>
      <c r="AY1228"/>
      <c r="AZ1228" s="447"/>
      <c r="BA1228"/>
      <c r="BB1228"/>
      <c r="BC1228" s="447"/>
      <c r="BD1228"/>
      <c r="BE1228"/>
    </row>
    <row r="1229" spans="4:57">
      <c r="D1229" s="447"/>
      <c r="G1229" s="447"/>
      <c r="J1229" s="447"/>
      <c r="M1229" s="447"/>
      <c r="R1229" s="447"/>
      <c r="S1229"/>
      <c r="T1229"/>
      <c r="U1229" s="447"/>
      <c r="V1229"/>
      <c r="W1229"/>
      <c r="X1229" s="447"/>
      <c r="Y1229"/>
      <c r="Z1229"/>
      <c r="AA1229" s="447"/>
      <c r="AB1229"/>
      <c r="AC1229"/>
      <c r="AE1229"/>
      <c r="AF1229" s="447"/>
      <c r="AG1229"/>
      <c r="AH1229"/>
      <c r="AI1229" s="447"/>
      <c r="AJ1229"/>
      <c r="AK1229"/>
      <c r="AL1229" s="447"/>
      <c r="AM1229"/>
      <c r="AN1229"/>
      <c r="AO1229" s="447"/>
      <c r="AP1229"/>
      <c r="AQ1229"/>
      <c r="AS1229"/>
      <c r="AT1229" s="447"/>
      <c r="AU1229"/>
      <c r="AV1229"/>
      <c r="AW1229" s="447"/>
      <c r="AX1229"/>
      <c r="AY1229"/>
      <c r="AZ1229" s="447"/>
      <c r="BA1229"/>
      <c r="BB1229"/>
      <c r="BC1229" s="447"/>
      <c r="BD1229"/>
      <c r="BE1229"/>
    </row>
    <row r="1230" spans="4:57">
      <c r="D1230" s="447"/>
      <c r="G1230" s="447"/>
      <c r="J1230" s="447"/>
      <c r="M1230" s="447"/>
      <c r="R1230" s="447"/>
      <c r="S1230"/>
      <c r="T1230"/>
      <c r="U1230" s="447"/>
      <c r="V1230"/>
      <c r="W1230"/>
      <c r="X1230" s="447"/>
      <c r="Y1230"/>
      <c r="Z1230"/>
      <c r="AA1230" s="447"/>
      <c r="AB1230"/>
      <c r="AC1230"/>
      <c r="AE1230"/>
      <c r="AF1230" s="447"/>
      <c r="AG1230"/>
      <c r="AH1230"/>
      <c r="AI1230" s="447"/>
      <c r="AJ1230"/>
      <c r="AK1230"/>
      <c r="AL1230" s="447"/>
      <c r="AM1230"/>
      <c r="AN1230"/>
      <c r="AO1230" s="447"/>
      <c r="AP1230"/>
      <c r="AQ1230"/>
      <c r="AS1230"/>
      <c r="AT1230" s="447"/>
      <c r="AU1230"/>
      <c r="AV1230"/>
      <c r="AW1230" s="447"/>
      <c r="AX1230"/>
      <c r="AY1230"/>
      <c r="AZ1230" s="447"/>
      <c r="BA1230"/>
      <c r="BB1230"/>
      <c r="BC1230" s="447"/>
      <c r="BD1230"/>
      <c r="BE1230"/>
    </row>
    <row r="1231" spans="4:57">
      <c r="D1231" s="447"/>
      <c r="G1231" s="447"/>
      <c r="J1231" s="447"/>
      <c r="M1231" s="447"/>
      <c r="R1231" s="447"/>
      <c r="S1231"/>
      <c r="T1231"/>
      <c r="U1231" s="447"/>
      <c r="V1231"/>
      <c r="W1231"/>
      <c r="X1231" s="447"/>
      <c r="Y1231"/>
      <c r="Z1231"/>
      <c r="AA1231" s="447"/>
      <c r="AB1231"/>
      <c r="AC1231"/>
      <c r="AE1231"/>
      <c r="AF1231" s="447"/>
      <c r="AG1231"/>
      <c r="AH1231"/>
      <c r="AI1231" s="447"/>
      <c r="AJ1231"/>
      <c r="AK1231"/>
      <c r="AL1231" s="447"/>
      <c r="AM1231"/>
      <c r="AN1231"/>
      <c r="AO1231" s="447"/>
      <c r="AP1231"/>
      <c r="AQ1231"/>
      <c r="AS1231"/>
      <c r="AT1231" s="447"/>
      <c r="AU1231"/>
      <c r="AV1231"/>
      <c r="AW1231" s="447"/>
      <c r="AX1231"/>
      <c r="AY1231"/>
      <c r="AZ1231" s="447"/>
      <c r="BA1231"/>
      <c r="BB1231"/>
      <c r="BC1231" s="447"/>
      <c r="BD1231"/>
      <c r="BE1231"/>
    </row>
    <row r="1232" spans="4:57">
      <c r="D1232" s="447"/>
      <c r="G1232" s="447"/>
      <c r="J1232" s="447"/>
      <c r="M1232" s="447"/>
      <c r="R1232" s="447"/>
      <c r="S1232"/>
      <c r="T1232"/>
      <c r="U1232" s="447"/>
      <c r="V1232"/>
      <c r="W1232"/>
      <c r="X1232" s="447"/>
      <c r="Y1232"/>
      <c r="Z1232"/>
      <c r="AA1232" s="447"/>
      <c r="AB1232"/>
      <c r="AC1232"/>
      <c r="AE1232"/>
      <c r="AF1232" s="447"/>
      <c r="AG1232"/>
      <c r="AH1232"/>
      <c r="AI1232" s="447"/>
      <c r="AJ1232"/>
      <c r="AK1232"/>
      <c r="AL1232" s="447"/>
      <c r="AM1232"/>
      <c r="AN1232"/>
      <c r="AO1232" s="447"/>
      <c r="AP1232"/>
      <c r="AQ1232"/>
      <c r="AS1232"/>
      <c r="AT1232" s="447"/>
      <c r="AU1232"/>
      <c r="AV1232"/>
      <c r="AW1232" s="447"/>
      <c r="AX1232"/>
      <c r="AY1232"/>
      <c r="AZ1232" s="447"/>
      <c r="BA1232"/>
      <c r="BB1232"/>
      <c r="BC1232" s="447"/>
      <c r="BD1232"/>
      <c r="BE1232"/>
    </row>
    <row r="1233" spans="4:57">
      <c r="D1233" s="447"/>
      <c r="G1233" s="447"/>
      <c r="J1233" s="447"/>
      <c r="M1233" s="447"/>
      <c r="R1233" s="447"/>
      <c r="S1233"/>
      <c r="T1233"/>
      <c r="U1233" s="447"/>
      <c r="V1233"/>
      <c r="W1233"/>
      <c r="X1233" s="447"/>
      <c r="Y1233"/>
      <c r="Z1233"/>
      <c r="AA1233" s="447"/>
      <c r="AB1233"/>
      <c r="AC1233"/>
      <c r="AE1233"/>
      <c r="AF1233" s="447"/>
      <c r="AG1233"/>
      <c r="AH1233"/>
      <c r="AI1233" s="447"/>
      <c r="AJ1233"/>
      <c r="AK1233"/>
      <c r="AL1233" s="447"/>
      <c r="AM1233"/>
      <c r="AN1233"/>
      <c r="AO1233" s="447"/>
      <c r="AP1233"/>
      <c r="AQ1233"/>
      <c r="AS1233"/>
      <c r="AT1233" s="447"/>
      <c r="AU1233"/>
      <c r="AV1233"/>
      <c r="AW1233" s="447"/>
      <c r="AX1233"/>
      <c r="AY1233"/>
      <c r="AZ1233" s="447"/>
      <c r="BA1233"/>
      <c r="BB1233"/>
      <c r="BC1233" s="447"/>
      <c r="BD1233"/>
      <c r="BE1233"/>
    </row>
    <row r="1234" spans="4:57">
      <c r="D1234" s="447"/>
      <c r="G1234" s="447"/>
      <c r="J1234" s="447"/>
      <c r="M1234" s="447"/>
      <c r="R1234" s="447"/>
      <c r="S1234"/>
      <c r="T1234"/>
      <c r="U1234" s="447"/>
      <c r="V1234"/>
      <c r="W1234"/>
      <c r="X1234" s="447"/>
      <c r="Y1234"/>
      <c r="Z1234"/>
      <c r="AA1234" s="447"/>
      <c r="AB1234"/>
      <c r="AC1234"/>
      <c r="AE1234"/>
      <c r="AF1234" s="447"/>
      <c r="AG1234"/>
      <c r="AH1234"/>
      <c r="AI1234" s="447"/>
      <c r="AJ1234"/>
      <c r="AK1234"/>
      <c r="AL1234" s="447"/>
      <c r="AM1234"/>
      <c r="AN1234"/>
      <c r="AO1234" s="447"/>
      <c r="AP1234"/>
      <c r="AQ1234"/>
      <c r="AS1234"/>
      <c r="AT1234" s="447"/>
      <c r="AU1234"/>
      <c r="AV1234"/>
      <c r="AW1234" s="447"/>
      <c r="AX1234"/>
      <c r="AY1234"/>
      <c r="AZ1234" s="447"/>
      <c r="BA1234"/>
      <c r="BB1234"/>
      <c r="BC1234" s="447"/>
      <c r="BD1234"/>
      <c r="BE1234"/>
    </row>
    <row r="1235" spans="4:57">
      <c r="D1235" s="447"/>
      <c r="G1235" s="447"/>
      <c r="J1235" s="447"/>
      <c r="M1235" s="447"/>
      <c r="R1235" s="447"/>
      <c r="S1235"/>
      <c r="T1235"/>
      <c r="U1235" s="447"/>
      <c r="V1235"/>
      <c r="W1235"/>
      <c r="X1235" s="447"/>
      <c r="Y1235"/>
      <c r="Z1235"/>
      <c r="AA1235" s="447"/>
      <c r="AB1235"/>
      <c r="AC1235"/>
      <c r="AE1235"/>
      <c r="AF1235" s="447"/>
      <c r="AG1235"/>
      <c r="AH1235"/>
      <c r="AI1235" s="447"/>
      <c r="AJ1235"/>
      <c r="AK1235"/>
      <c r="AL1235" s="447"/>
      <c r="AM1235"/>
      <c r="AN1235"/>
      <c r="AO1235" s="447"/>
      <c r="AP1235"/>
      <c r="AQ1235"/>
      <c r="AS1235"/>
      <c r="AT1235" s="447"/>
      <c r="AU1235"/>
      <c r="AV1235"/>
      <c r="AW1235" s="447"/>
      <c r="AX1235"/>
      <c r="AY1235"/>
      <c r="AZ1235" s="447"/>
      <c r="BA1235"/>
      <c r="BB1235"/>
      <c r="BC1235" s="447"/>
      <c r="BD1235"/>
      <c r="BE1235"/>
    </row>
    <row r="1236" spans="4:57">
      <c r="D1236" s="447"/>
      <c r="G1236" s="447"/>
      <c r="J1236" s="447"/>
      <c r="M1236" s="447"/>
      <c r="R1236" s="447"/>
      <c r="S1236"/>
      <c r="T1236"/>
      <c r="U1236" s="447"/>
      <c r="V1236"/>
      <c r="W1236"/>
      <c r="X1236" s="447"/>
      <c r="Y1236"/>
      <c r="Z1236"/>
      <c r="AA1236" s="447"/>
      <c r="AB1236"/>
      <c r="AC1236"/>
      <c r="AE1236"/>
      <c r="AF1236" s="447"/>
      <c r="AG1236"/>
      <c r="AH1236"/>
      <c r="AI1236" s="447"/>
      <c r="AJ1236"/>
      <c r="AK1236"/>
      <c r="AL1236" s="447"/>
      <c r="AM1236"/>
      <c r="AN1236"/>
      <c r="AO1236" s="447"/>
      <c r="AP1236"/>
      <c r="AQ1236"/>
      <c r="AS1236"/>
      <c r="AT1236" s="447"/>
      <c r="AU1236"/>
      <c r="AV1236"/>
      <c r="AW1236" s="447"/>
      <c r="AX1236"/>
      <c r="AY1236"/>
      <c r="AZ1236" s="447"/>
      <c r="BA1236"/>
      <c r="BB1236"/>
      <c r="BC1236" s="447"/>
      <c r="BD1236"/>
      <c r="BE1236"/>
    </row>
    <row r="1237" spans="4:57">
      <c r="D1237" s="447"/>
      <c r="G1237" s="447"/>
      <c r="J1237" s="447"/>
      <c r="M1237" s="447"/>
      <c r="R1237" s="447"/>
      <c r="S1237"/>
      <c r="T1237"/>
      <c r="U1237" s="447"/>
      <c r="V1237"/>
      <c r="W1237"/>
      <c r="X1237" s="447"/>
      <c r="Y1237"/>
      <c r="Z1237"/>
      <c r="AA1237" s="447"/>
      <c r="AB1237"/>
      <c r="AC1237"/>
      <c r="AE1237"/>
      <c r="AF1237" s="447"/>
      <c r="AG1237"/>
      <c r="AH1237"/>
      <c r="AI1237" s="447"/>
      <c r="AJ1237"/>
      <c r="AK1237"/>
      <c r="AL1237" s="447"/>
      <c r="AM1237"/>
      <c r="AN1237"/>
      <c r="AO1237" s="447"/>
      <c r="AP1237"/>
      <c r="AQ1237"/>
      <c r="AS1237"/>
      <c r="AT1237" s="447"/>
      <c r="AU1237"/>
      <c r="AV1237"/>
      <c r="AW1237" s="447"/>
      <c r="AX1237"/>
      <c r="AY1237"/>
      <c r="AZ1237" s="447"/>
      <c r="BA1237"/>
      <c r="BB1237"/>
      <c r="BC1237" s="447"/>
      <c r="BD1237"/>
      <c r="BE1237"/>
    </row>
    <row r="1238" spans="4:57">
      <c r="D1238" s="447"/>
      <c r="G1238" s="447"/>
      <c r="J1238" s="447"/>
      <c r="M1238" s="447"/>
      <c r="R1238" s="447"/>
      <c r="S1238"/>
      <c r="T1238"/>
      <c r="U1238" s="447"/>
      <c r="V1238"/>
      <c r="W1238"/>
      <c r="X1238" s="447"/>
      <c r="Y1238"/>
      <c r="Z1238"/>
      <c r="AA1238" s="447"/>
      <c r="AB1238"/>
      <c r="AC1238"/>
      <c r="AE1238"/>
      <c r="AF1238" s="447"/>
      <c r="AG1238"/>
      <c r="AH1238"/>
      <c r="AI1238" s="447"/>
      <c r="AJ1238"/>
      <c r="AK1238"/>
      <c r="AL1238" s="447"/>
      <c r="AM1238"/>
      <c r="AN1238"/>
      <c r="AO1238" s="447"/>
      <c r="AP1238"/>
      <c r="AQ1238"/>
      <c r="AS1238"/>
      <c r="AT1238" s="447"/>
      <c r="AU1238"/>
      <c r="AV1238"/>
      <c r="AW1238" s="447"/>
      <c r="AX1238"/>
      <c r="AY1238"/>
      <c r="AZ1238" s="447"/>
      <c r="BA1238"/>
      <c r="BB1238"/>
      <c r="BC1238" s="447"/>
      <c r="BD1238"/>
      <c r="BE1238"/>
    </row>
    <row r="1239" spans="4:57">
      <c r="D1239" s="447"/>
      <c r="G1239" s="447"/>
      <c r="J1239" s="447"/>
      <c r="M1239" s="447"/>
      <c r="R1239" s="447"/>
      <c r="S1239"/>
      <c r="T1239"/>
      <c r="U1239" s="447"/>
      <c r="V1239"/>
      <c r="W1239"/>
      <c r="X1239" s="447"/>
      <c r="Y1239"/>
      <c r="Z1239"/>
      <c r="AA1239" s="447"/>
      <c r="AB1239"/>
      <c r="AC1239"/>
      <c r="AE1239"/>
      <c r="AF1239" s="447"/>
      <c r="AG1239"/>
      <c r="AH1239"/>
      <c r="AI1239" s="447"/>
      <c r="AJ1239"/>
      <c r="AK1239"/>
      <c r="AL1239" s="447"/>
      <c r="AM1239"/>
      <c r="AN1239"/>
      <c r="AO1239" s="447"/>
      <c r="AP1239"/>
      <c r="AQ1239"/>
      <c r="AS1239"/>
      <c r="AT1239" s="447"/>
      <c r="AU1239"/>
      <c r="AV1239"/>
      <c r="AW1239" s="447"/>
      <c r="AX1239"/>
      <c r="AY1239"/>
      <c r="AZ1239" s="447"/>
      <c r="BA1239"/>
      <c r="BB1239"/>
      <c r="BC1239" s="447"/>
      <c r="BD1239"/>
      <c r="BE1239"/>
    </row>
    <row r="1240" spans="4:57">
      <c r="D1240" s="447"/>
      <c r="G1240" s="447"/>
      <c r="J1240" s="447"/>
      <c r="M1240" s="447"/>
      <c r="R1240" s="447"/>
      <c r="S1240"/>
      <c r="T1240"/>
      <c r="U1240" s="447"/>
      <c r="V1240"/>
      <c r="W1240"/>
      <c r="X1240" s="447"/>
      <c r="Y1240"/>
      <c r="Z1240"/>
      <c r="AA1240" s="447"/>
      <c r="AB1240"/>
      <c r="AC1240"/>
      <c r="AE1240"/>
      <c r="AF1240" s="447"/>
      <c r="AG1240"/>
      <c r="AH1240"/>
      <c r="AI1240" s="447"/>
      <c r="AJ1240"/>
      <c r="AK1240"/>
      <c r="AL1240" s="447"/>
      <c r="AM1240"/>
      <c r="AN1240"/>
      <c r="AO1240" s="447"/>
      <c r="AP1240"/>
      <c r="AQ1240"/>
      <c r="AS1240"/>
      <c r="AT1240" s="447"/>
      <c r="AU1240"/>
      <c r="AV1240"/>
      <c r="AW1240" s="447"/>
      <c r="AX1240"/>
      <c r="AY1240"/>
      <c r="AZ1240" s="447"/>
      <c r="BA1240"/>
      <c r="BB1240"/>
      <c r="BC1240" s="447"/>
      <c r="BD1240"/>
      <c r="BE1240"/>
    </row>
    <row r="1241" spans="4:57">
      <c r="D1241" s="447"/>
      <c r="G1241" s="447"/>
      <c r="J1241" s="447"/>
      <c r="M1241" s="447"/>
      <c r="R1241" s="447"/>
      <c r="S1241"/>
      <c r="T1241"/>
      <c r="U1241" s="447"/>
      <c r="V1241"/>
      <c r="W1241"/>
      <c r="X1241" s="447"/>
      <c r="Y1241"/>
      <c r="Z1241"/>
      <c r="AA1241" s="447"/>
      <c r="AB1241"/>
      <c r="AC1241"/>
      <c r="AE1241"/>
      <c r="AF1241" s="447"/>
      <c r="AG1241"/>
      <c r="AH1241"/>
      <c r="AI1241" s="447"/>
      <c r="AJ1241"/>
      <c r="AK1241"/>
      <c r="AL1241" s="447"/>
      <c r="AM1241"/>
      <c r="AN1241"/>
      <c r="AO1241" s="447"/>
      <c r="AP1241"/>
      <c r="AQ1241"/>
      <c r="AS1241"/>
      <c r="AT1241" s="447"/>
      <c r="AU1241"/>
      <c r="AV1241"/>
      <c r="AW1241" s="447"/>
      <c r="AX1241"/>
      <c r="AY1241"/>
      <c r="AZ1241" s="447"/>
      <c r="BA1241"/>
      <c r="BB1241"/>
      <c r="BC1241" s="447"/>
      <c r="BD1241"/>
      <c r="BE1241"/>
    </row>
    <row r="1242" spans="4:57">
      <c r="D1242" s="447"/>
      <c r="G1242" s="447"/>
      <c r="J1242" s="447"/>
      <c r="M1242" s="447"/>
      <c r="R1242" s="447"/>
      <c r="S1242"/>
      <c r="T1242"/>
      <c r="U1242" s="447"/>
      <c r="V1242"/>
      <c r="W1242"/>
      <c r="X1242" s="447"/>
      <c r="Y1242"/>
      <c r="Z1242"/>
      <c r="AA1242" s="447"/>
      <c r="AB1242"/>
      <c r="AC1242"/>
      <c r="AE1242"/>
      <c r="AF1242" s="447"/>
      <c r="AG1242"/>
      <c r="AH1242"/>
      <c r="AI1242" s="447"/>
      <c r="AJ1242"/>
      <c r="AK1242"/>
      <c r="AL1242" s="447"/>
      <c r="AM1242"/>
      <c r="AN1242"/>
      <c r="AO1242" s="447"/>
      <c r="AP1242"/>
      <c r="AQ1242"/>
      <c r="AS1242"/>
      <c r="AT1242" s="447"/>
      <c r="AU1242"/>
      <c r="AV1242"/>
      <c r="AW1242" s="447"/>
      <c r="AX1242"/>
      <c r="AY1242"/>
      <c r="AZ1242" s="447"/>
      <c r="BA1242"/>
      <c r="BB1242"/>
      <c r="BC1242" s="447"/>
      <c r="BD1242"/>
      <c r="BE1242"/>
    </row>
    <row r="1243" spans="4:57">
      <c r="D1243" s="447"/>
      <c r="G1243" s="447"/>
      <c r="J1243" s="447"/>
      <c r="M1243" s="447"/>
      <c r="R1243" s="447"/>
      <c r="S1243"/>
      <c r="T1243"/>
      <c r="U1243" s="447"/>
      <c r="V1243"/>
      <c r="W1243"/>
      <c r="X1243" s="447"/>
      <c r="Y1243"/>
      <c r="Z1243"/>
      <c r="AA1243" s="447"/>
      <c r="AB1243"/>
      <c r="AC1243"/>
      <c r="AE1243"/>
      <c r="AF1243" s="447"/>
      <c r="AG1243"/>
      <c r="AH1243"/>
      <c r="AI1243" s="447"/>
      <c r="AJ1243"/>
      <c r="AK1243"/>
      <c r="AL1243" s="447"/>
      <c r="AM1243"/>
      <c r="AN1243"/>
      <c r="AO1243" s="447"/>
      <c r="AP1243"/>
      <c r="AQ1243"/>
      <c r="AS1243"/>
      <c r="AT1243" s="447"/>
      <c r="AU1243"/>
      <c r="AV1243"/>
      <c r="AW1243" s="447"/>
      <c r="AX1243"/>
      <c r="AY1243"/>
      <c r="AZ1243" s="447"/>
      <c r="BA1243"/>
      <c r="BB1243"/>
      <c r="BC1243" s="447"/>
      <c r="BD1243"/>
      <c r="BE1243"/>
    </row>
    <row r="1244" spans="4:57">
      <c r="D1244" s="447"/>
      <c r="G1244" s="447"/>
      <c r="J1244" s="447"/>
      <c r="M1244" s="447"/>
      <c r="R1244" s="447"/>
      <c r="S1244"/>
      <c r="T1244"/>
      <c r="U1244" s="447"/>
      <c r="V1244"/>
      <c r="W1244"/>
      <c r="X1244" s="447"/>
      <c r="Y1244"/>
      <c r="Z1244"/>
      <c r="AA1244" s="447"/>
      <c r="AB1244"/>
      <c r="AC1244"/>
      <c r="AE1244"/>
      <c r="AF1244" s="447"/>
      <c r="AG1244"/>
      <c r="AH1244"/>
      <c r="AI1244" s="447"/>
      <c r="AJ1244"/>
      <c r="AK1244"/>
      <c r="AL1244" s="447"/>
      <c r="AM1244"/>
      <c r="AN1244"/>
      <c r="AO1244" s="447"/>
      <c r="AP1244"/>
      <c r="AQ1244"/>
      <c r="AS1244"/>
      <c r="AT1244" s="447"/>
      <c r="AU1244"/>
      <c r="AV1244"/>
      <c r="AW1244" s="447"/>
      <c r="AX1244"/>
      <c r="AY1244"/>
      <c r="AZ1244" s="447"/>
      <c r="BA1244"/>
      <c r="BB1244"/>
      <c r="BC1244" s="447"/>
      <c r="BD1244"/>
      <c r="BE1244"/>
    </row>
    <row r="1245" spans="4:57">
      <c r="D1245" s="447"/>
      <c r="G1245" s="447"/>
      <c r="J1245" s="447"/>
      <c r="M1245" s="447"/>
      <c r="R1245" s="447"/>
      <c r="S1245"/>
      <c r="T1245"/>
      <c r="U1245" s="447"/>
      <c r="V1245"/>
      <c r="W1245"/>
      <c r="X1245" s="447"/>
      <c r="Y1245"/>
      <c r="Z1245"/>
      <c r="AA1245" s="447"/>
      <c r="AB1245"/>
      <c r="AC1245"/>
      <c r="AE1245"/>
      <c r="AF1245" s="447"/>
      <c r="AG1245"/>
      <c r="AH1245"/>
      <c r="AI1245" s="447"/>
      <c r="AJ1245"/>
      <c r="AK1245"/>
      <c r="AL1245" s="447"/>
      <c r="AM1245"/>
      <c r="AN1245"/>
      <c r="AO1245" s="447"/>
      <c r="AP1245"/>
      <c r="AQ1245"/>
      <c r="AS1245"/>
      <c r="AT1245" s="447"/>
      <c r="AU1245"/>
      <c r="AV1245"/>
      <c r="AW1245" s="447"/>
      <c r="AX1245"/>
      <c r="AY1245"/>
      <c r="AZ1245" s="447"/>
      <c r="BA1245"/>
      <c r="BB1245"/>
      <c r="BC1245" s="447"/>
      <c r="BD1245"/>
      <c r="BE1245"/>
    </row>
    <row r="1246" spans="4:57">
      <c r="D1246" s="447"/>
      <c r="G1246" s="447"/>
      <c r="J1246" s="447"/>
      <c r="M1246" s="447"/>
      <c r="R1246" s="447"/>
      <c r="S1246"/>
      <c r="T1246"/>
      <c r="U1246" s="447"/>
      <c r="V1246"/>
      <c r="W1246"/>
      <c r="X1246" s="447"/>
      <c r="Y1246"/>
      <c r="Z1246"/>
      <c r="AA1246" s="447"/>
      <c r="AB1246"/>
      <c r="AC1246"/>
      <c r="AE1246"/>
      <c r="AF1246" s="447"/>
      <c r="AG1246"/>
      <c r="AH1246"/>
      <c r="AI1246" s="447"/>
      <c r="AJ1246"/>
      <c r="AK1246"/>
      <c r="AL1246" s="447"/>
      <c r="AM1246"/>
      <c r="AN1246"/>
      <c r="AO1246" s="447"/>
      <c r="AP1246"/>
      <c r="AQ1246"/>
      <c r="AS1246"/>
      <c r="AT1246" s="447"/>
      <c r="AU1246"/>
      <c r="AV1246"/>
      <c r="AW1246" s="447"/>
      <c r="AX1246"/>
      <c r="AY1246"/>
      <c r="AZ1246" s="447"/>
      <c r="BA1246"/>
      <c r="BB1246"/>
      <c r="BC1246" s="447"/>
      <c r="BD1246"/>
      <c r="BE1246"/>
    </row>
    <row r="1247" spans="4:57">
      <c r="D1247" s="447"/>
      <c r="G1247" s="447"/>
      <c r="J1247" s="447"/>
      <c r="M1247" s="447"/>
      <c r="R1247" s="447"/>
      <c r="S1247"/>
      <c r="T1247"/>
      <c r="U1247" s="447"/>
      <c r="V1247"/>
      <c r="W1247"/>
      <c r="X1247" s="447"/>
      <c r="Y1247"/>
      <c r="Z1247"/>
      <c r="AA1247" s="447"/>
      <c r="AB1247"/>
      <c r="AC1247"/>
      <c r="AE1247"/>
      <c r="AF1247" s="447"/>
      <c r="AG1247"/>
      <c r="AH1247"/>
      <c r="AI1247" s="447"/>
      <c r="AJ1247"/>
      <c r="AK1247"/>
      <c r="AL1247" s="447"/>
      <c r="AM1247"/>
      <c r="AN1247"/>
      <c r="AO1247" s="447"/>
      <c r="AP1247"/>
      <c r="AQ1247"/>
      <c r="AS1247"/>
      <c r="AT1247" s="447"/>
      <c r="AU1247"/>
      <c r="AV1247"/>
      <c r="AW1247" s="447"/>
      <c r="AX1247"/>
      <c r="AY1247"/>
      <c r="AZ1247" s="447"/>
      <c r="BA1247"/>
      <c r="BB1247"/>
      <c r="BC1247" s="447"/>
      <c r="BD1247"/>
      <c r="BE1247"/>
    </row>
    <row r="1248" spans="4:57">
      <c r="D1248" s="447"/>
      <c r="G1248" s="447"/>
      <c r="J1248" s="447"/>
      <c r="M1248" s="447"/>
      <c r="R1248" s="447"/>
      <c r="S1248"/>
      <c r="T1248"/>
      <c r="U1248" s="447"/>
      <c r="V1248"/>
      <c r="W1248"/>
      <c r="X1248" s="447"/>
      <c r="Y1248"/>
      <c r="Z1248"/>
      <c r="AA1248" s="447"/>
      <c r="AB1248"/>
      <c r="AC1248"/>
      <c r="AE1248"/>
      <c r="AF1248" s="447"/>
      <c r="AG1248"/>
      <c r="AH1248"/>
      <c r="AI1248" s="447"/>
      <c r="AJ1248"/>
      <c r="AK1248"/>
      <c r="AL1248" s="447"/>
      <c r="AM1248"/>
      <c r="AN1248"/>
      <c r="AO1248" s="447"/>
      <c r="AP1248"/>
      <c r="AQ1248"/>
      <c r="AS1248"/>
      <c r="AT1248" s="447"/>
      <c r="AU1248"/>
      <c r="AV1248"/>
      <c r="AW1248" s="447"/>
      <c r="AX1248"/>
      <c r="AY1248"/>
      <c r="AZ1248" s="447"/>
      <c r="BA1248"/>
      <c r="BB1248"/>
      <c r="BC1248" s="447"/>
      <c r="BD1248"/>
      <c r="BE1248"/>
    </row>
    <row r="1249" spans="4:57">
      <c r="D1249" s="447"/>
      <c r="G1249" s="447"/>
      <c r="J1249" s="447"/>
      <c r="M1249" s="447"/>
      <c r="R1249" s="447"/>
      <c r="S1249"/>
      <c r="T1249"/>
      <c r="U1249" s="447"/>
      <c r="V1249"/>
      <c r="W1249"/>
      <c r="X1249" s="447"/>
      <c r="Y1249"/>
      <c r="Z1249"/>
      <c r="AA1249" s="447"/>
      <c r="AB1249"/>
      <c r="AC1249"/>
      <c r="AE1249"/>
      <c r="AF1249" s="447"/>
      <c r="AG1249"/>
      <c r="AH1249"/>
      <c r="AI1249" s="447"/>
      <c r="AJ1249"/>
      <c r="AK1249"/>
      <c r="AL1249" s="447"/>
      <c r="AM1249"/>
      <c r="AN1249"/>
      <c r="AO1249" s="447"/>
      <c r="AP1249"/>
      <c r="AQ1249"/>
      <c r="AS1249"/>
      <c r="AT1249" s="447"/>
      <c r="AU1249"/>
      <c r="AV1249"/>
      <c r="AW1249" s="447"/>
      <c r="AX1249"/>
      <c r="AY1249"/>
      <c r="AZ1249" s="447"/>
      <c r="BA1249"/>
      <c r="BB1249"/>
      <c r="BC1249" s="447"/>
      <c r="BD1249"/>
      <c r="BE1249"/>
    </row>
    <row r="1250" spans="4:57">
      <c r="D1250" s="447"/>
      <c r="G1250" s="447"/>
      <c r="J1250" s="447"/>
      <c r="M1250" s="447"/>
      <c r="R1250" s="447"/>
      <c r="S1250"/>
      <c r="T1250"/>
      <c r="U1250" s="447"/>
      <c r="V1250"/>
      <c r="W1250"/>
      <c r="X1250" s="447"/>
      <c r="Y1250"/>
      <c r="Z1250"/>
      <c r="AA1250" s="447"/>
      <c r="AB1250"/>
      <c r="AC1250"/>
      <c r="AE1250"/>
      <c r="AF1250" s="447"/>
      <c r="AG1250"/>
      <c r="AH1250"/>
      <c r="AI1250" s="447"/>
      <c r="AJ1250"/>
      <c r="AK1250"/>
      <c r="AL1250" s="447"/>
      <c r="AM1250"/>
      <c r="AN1250"/>
      <c r="AO1250" s="447"/>
      <c r="AP1250"/>
      <c r="AQ1250"/>
      <c r="AS1250"/>
      <c r="AT1250" s="447"/>
      <c r="AU1250"/>
      <c r="AV1250"/>
      <c r="AW1250" s="447"/>
      <c r="AX1250"/>
      <c r="AY1250"/>
      <c r="AZ1250" s="447"/>
      <c r="BA1250"/>
      <c r="BB1250"/>
      <c r="BC1250" s="447"/>
      <c r="BD1250"/>
      <c r="BE1250"/>
    </row>
    <row r="1251" spans="4:57">
      <c r="D1251" s="447"/>
      <c r="G1251" s="447"/>
      <c r="J1251" s="447"/>
      <c r="M1251" s="447"/>
      <c r="R1251" s="447"/>
      <c r="S1251"/>
      <c r="T1251"/>
      <c r="U1251" s="447"/>
      <c r="V1251"/>
      <c r="W1251"/>
      <c r="X1251" s="447"/>
      <c r="Y1251"/>
      <c r="Z1251"/>
      <c r="AA1251" s="447"/>
      <c r="AB1251"/>
      <c r="AC1251"/>
      <c r="AE1251"/>
      <c r="AF1251" s="447"/>
      <c r="AG1251"/>
      <c r="AH1251"/>
      <c r="AI1251" s="447"/>
      <c r="AJ1251"/>
      <c r="AK1251"/>
      <c r="AL1251" s="447"/>
      <c r="AM1251"/>
      <c r="AN1251"/>
      <c r="AO1251" s="447"/>
      <c r="AP1251"/>
      <c r="AQ1251"/>
      <c r="AS1251"/>
      <c r="AT1251" s="447"/>
      <c r="AU1251"/>
      <c r="AV1251"/>
      <c r="AW1251" s="447"/>
      <c r="AX1251"/>
      <c r="AY1251"/>
      <c r="AZ1251" s="447"/>
      <c r="BA1251"/>
      <c r="BB1251"/>
      <c r="BC1251" s="447"/>
      <c r="BD1251"/>
      <c r="BE1251"/>
    </row>
    <row r="1252" spans="4:57">
      <c r="D1252" s="447"/>
      <c r="G1252" s="447"/>
      <c r="J1252" s="447"/>
      <c r="M1252" s="447"/>
      <c r="R1252" s="447"/>
      <c r="S1252"/>
      <c r="T1252"/>
      <c r="U1252" s="447"/>
      <c r="V1252"/>
      <c r="W1252"/>
      <c r="X1252" s="447"/>
      <c r="Y1252"/>
      <c r="Z1252"/>
      <c r="AA1252" s="447"/>
      <c r="AB1252"/>
      <c r="AC1252"/>
      <c r="AE1252"/>
      <c r="AF1252" s="447"/>
      <c r="AG1252"/>
      <c r="AH1252"/>
      <c r="AI1252" s="447"/>
      <c r="AJ1252"/>
      <c r="AK1252"/>
      <c r="AL1252" s="447"/>
      <c r="AM1252"/>
      <c r="AN1252"/>
      <c r="AO1252" s="447"/>
      <c r="AP1252"/>
      <c r="AQ1252"/>
      <c r="AS1252"/>
      <c r="AT1252" s="447"/>
      <c r="AU1252"/>
      <c r="AV1252"/>
      <c r="AW1252" s="447"/>
      <c r="AX1252"/>
      <c r="AY1252"/>
      <c r="AZ1252" s="447"/>
      <c r="BA1252"/>
      <c r="BB1252"/>
      <c r="BC1252" s="447"/>
      <c r="BD1252"/>
      <c r="BE1252"/>
    </row>
    <row r="1253" spans="4:57">
      <c r="D1253" s="447"/>
      <c r="G1253" s="447"/>
      <c r="J1253" s="447"/>
      <c r="M1253" s="447"/>
      <c r="R1253" s="447"/>
      <c r="S1253"/>
      <c r="T1253"/>
      <c r="U1253" s="447"/>
      <c r="V1253"/>
      <c r="W1253"/>
      <c r="X1253" s="447"/>
      <c r="Y1253"/>
      <c r="Z1253"/>
      <c r="AA1253" s="447"/>
      <c r="AB1253"/>
      <c r="AC1253"/>
      <c r="AE1253"/>
      <c r="AF1253" s="447"/>
      <c r="AG1253"/>
      <c r="AH1253"/>
      <c r="AI1253" s="447"/>
      <c r="AJ1253"/>
      <c r="AK1253"/>
      <c r="AL1253" s="447"/>
      <c r="AM1253"/>
      <c r="AN1253"/>
      <c r="AO1253" s="447"/>
      <c r="AP1253"/>
      <c r="AQ1253"/>
      <c r="AS1253"/>
      <c r="AT1253" s="447"/>
      <c r="AU1253"/>
      <c r="AV1253"/>
      <c r="AW1253" s="447"/>
      <c r="AX1253"/>
      <c r="AY1253"/>
      <c r="AZ1253" s="447"/>
      <c r="BA1253"/>
      <c r="BB1253"/>
      <c r="BC1253" s="447"/>
      <c r="BD1253"/>
      <c r="BE1253"/>
    </row>
    <row r="1254" spans="4:57">
      <c r="D1254" s="447"/>
      <c r="G1254" s="447"/>
      <c r="J1254" s="447"/>
      <c r="M1254" s="447"/>
      <c r="R1254" s="447"/>
      <c r="S1254"/>
      <c r="T1254"/>
      <c r="U1254" s="447"/>
      <c r="V1254"/>
      <c r="W1254"/>
      <c r="X1254" s="447"/>
      <c r="Y1254"/>
      <c r="Z1254"/>
      <c r="AA1254" s="447"/>
      <c r="AB1254"/>
      <c r="AC1254"/>
      <c r="AE1254"/>
      <c r="AF1254" s="447"/>
      <c r="AG1254"/>
      <c r="AH1254"/>
      <c r="AI1254" s="447"/>
      <c r="AJ1254"/>
      <c r="AK1254"/>
      <c r="AL1254" s="447"/>
      <c r="AM1254"/>
      <c r="AN1254"/>
      <c r="AO1254" s="447"/>
      <c r="AP1254"/>
      <c r="AQ1254"/>
      <c r="AS1254"/>
      <c r="AT1254" s="447"/>
      <c r="AU1254"/>
      <c r="AV1254"/>
      <c r="AW1254" s="447"/>
      <c r="AX1254"/>
      <c r="AY1254"/>
      <c r="AZ1254" s="447"/>
      <c r="BA1254"/>
      <c r="BB1254"/>
      <c r="BC1254" s="447"/>
      <c r="BD1254"/>
      <c r="BE1254"/>
    </row>
    <row r="1255" spans="4:57">
      <c r="D1255" s="447"/>
      <c r="G1255" s="447"/>
      <c r="J1255" s="447"/>
      <c r="M1255" s="447"/>
      <c r="R1255" s="447"/>
      <c r="S1255"/>
      <c r="T1255"/>
      <c r="U1255" s="447"/>
      <c r="V1255"/>
      <c r="W1255"/>
      <c r="X1255" s="447"/>
      <c r="Y1255"/>
      <c r="Z1255"/>
      <c r="AA1255" s="447"/>
      <c r="AB1255"/>
      <c r="AC1255"/>
      <c r="AE1255"/>
      <c r="AF1255" s="447"/>
      <c r="AG1255"/>
      <c r="AH1255"/>
      <c r="AI1255" s="447"/>
      <c r="AJ1255"/>
      <c r="AK1255"/>
      <c r="AL1255" s="447"/>
      <c r="AM1255"/>
      <c r="AN1255"/>
      <c r="AO1255" s="447"/>
      <c r="AP1255"/>
      <c r="AQ1255"/>
      <c r="AS1255"/>
      <c r="AT1255" s="447"/>
      <c r="AU1255"/>
      <c r="AV1255"/>
      <c r="AW1255" s="447"/>
      <c r="AX1255"/>
      <c r="AY1255"/>
      <c r="AZ1255" s="447"/>
      <c r="BA1255"/>
      <c r="BB1255"/>
      <c r="BC1255" s="447"/>
      <c r="BD1255"/>
      <c r="BE1255"/>
    </row>
    <row r="1256" spans="4:57">
      <c r="D1256" s="447"/>
      <c r="G1256" s="447"/>
      <c r="J1256" s="447"/>
      <c r="M1256" s="447"/>
      <c r="R1256" s="447"/>
      <c r="S1256"/>
      <c r="T1256"/>
      <c r="U1256" s="447"/>
      <c r="V1256"/>
      <c r="W1256"/>
      <c r="X1256" s="447"/>
      <c r="Y1256"/>
      <c r="Z1256"/>
      <c r="AA1256" s="447"/>
      <c r="AB1256"/>
      <c r="AC1256"/>
      <c r="AE1256"/>
      <c r="AF1256" s="447"/>
      <c r="AG1256"/>
      <c r="AH1256"/>
      <c r="AI1256" s="447"/>
      <c r="AJ1256"/>
      <c r="AK1256"/>
      <c r="AL1256" s="447"/>
      <c r="AM1256"/>
      <c r="AN1256"/>
      <c r="AO1256" s="447"/>
      <c r="AP1256"/>
      <c r="AQ1256"/>
      <c r="AS1256"/>
      <c r="AT1256" s="447"/>
      <c r="AU1256"/>
      <c r="AV1256"/>
      <c r="AW1256" s="447"/>
      <c r="AX1256"/>
      <c r="AY1256"/>
      <c r="AZ1256" s="447"/>
      <c r="BA1256"/>
      <c r="BB1256"/>
      <c r="BC1256" s="447"/>
      <c r="BD1256"/>
      <c r="BE1256"/>
    </row>
    <row r="1257" spans="4:57">
      <c r="D1257" s="447"/>
      <c r="G1257" s="447"/>
      <c r="J1257" s="447"/>
      <c r="M1257" s="447"/>
      <c r="R1257" s="447"/>
      <c r="S1257"/>
      <c r="T1257"/>
      <c r="U1257" s="447"/>
      <c r="V1257"/>
      <c r="W1257"/>
      <c r="X1257" s="447"/>
      <c r="Y1257"/>
      <c r="Z1257"/>
      <c r="AA1257" s="447"/>
      <c r="AB1257"/>
      <c r="AC1257"/>
      <c r="AE1257"/>
      <c r="AF1257" s="447"/>
      <c r="AG1257"/>
      <c r="AH1257"/>
      <c r="AI1257" s="447"/>
      <c r="AJ1257"/>
      <c r="AK1257"/>
      <c r="AL1257" s="447"/>
      <c r="AM1257"/>
      <c r="AN1257"/>
      <c r="AO1257" s="447"/>
      <c r="AP1257"/>
      <c r="AQ1257"/>
      <c r="AS1257"/>
      <c r="AT1257" s="447"/>
      <c r="AU1257"/>
      <c r="AV1257"/>
      <c r="AW1257" s="447"/>
      <c r="AX1257"/>
      <c r="AY1257"/>
      <c r="AZ1257" s="447"/>
      <c r="BA1257"/>
      <c r="BB1257"/>
      <c r="BC1257" s="447"/>
      <c r="BD1257"/>
      <c r="BE1257"/>
    </row>
    <row r="1258" spans="4:57">
      <c r="D1258" s="447"/>
      <c r="G1258" s="447"/>
      <c r="J1258" s="447"/>
      <c r="M1258" s="447"/>
      <c r="R1258" s="447"/>
      <c r="S1258"/>
      <c r="T1258"/>
      <c r="U1258" s="447"/>
      <c r="V1258"/>
      <c r="W1258"/>
      <c r="X1258" s="447"/>
      <c r="Y1258"/>
      <c r="Z1258"/>
      <c r="AA1258" s="447"/>
      <c r="AB1258"/>
      <c r="AC1258"/>
      <c r="AE1258"/>
      <c r="AF1258" s="447"/>
      <c r="AG1258"/>
      <c r="AH1258"/>
      <c r="AI1258" s="447"/>
      <c r="AJ1258"/>
      <c r="AK1258"/>
      <c r="AL1258" s="447"/>
      <c r="AM1258"/>
      <c r="AN1258"/>
      <c r="AO1258" s="447"/>
      <c r="AP1258"/>
      <c r="AQ1258"/>
      <c r="AS1258"/>
      <c r="AT1258" s="447"/>
      <c r="AU1258"/>
      <c r="AV1258"/>
      <c r="AW1258" s="447"/>
      <c r="AX1258"/>
      <c r="AY1258"/>
      <c r="AZ1258" s="447"/>
      <c r="BA1258"/>
      <c r="BB1258"/>
      <c r="BC1258" s="447"/>
      <c r="BD1258"/>
      <c r="BE1258"/>
    </row>
    <row r="1259" spans="4:57">
      <c r="D1259" s="447"/>
      <c r="G1259" s="447"/>
      <c r="J1259" s="447"/>
      <c r="M1259" s="447"/>
      <c r="R1259" s="447"/>
      <c r="S1259"/>
      <c r="T1259"/>
      <c r="U1259" s="447"/>
      <c r="V1259"/>
      <c r="W1259"/>
      <c r="X1259" s="447"/>
      <c r="Y1259"/>
      <c r="Z1259"/>
      <c r="AA1259" s="447"/>
      <c r="AB1259"/>
      <c r="AC1259"/>
      <c r="AE1259"/>
      <c r="AF1259" s="447"/>
      <c r="AG1259"/>
      <c r="AH1259"/>
      <c r="AI1259" s="447"/>
      <c r="AJ1259"/>
      <c r="AK1259"/>
      <c r="AL1259" s="447"/>
      <c r="AM1259"/>
      <c r="AN1259"/>
      <c r="AO1259" s="447"/>
      <c r="AP1259"/>
      <c r="AQ1259"/>
      <c r="AS1259"/>
      <c r="AT1259" s="447"/>
      <c r="AU1259"/>
      <c r="AV1259"/>
      <c r="AW1259" s="447"/>
      <c r="AX1259"/>
      <c r="AY1259"/>
      <c r="AZ1259" s="447"/>
      <c r="BA1259"/>
      <c r="BB1259"/>
      <c r="BC1259" s="447"/>
      <c r="BD1259"/>
      <c r="BE1259"/>
    </row>
    <row r="1260" spans="4:57">
      <c r="D1260" s="447"/>
      <c r="G1260" s="447"/>
      <c r="J1260" s="447"/>
      <c r="M1260" s="447"/>
      <c r="R1260" s="447"/>
      <c r="S1260"/>
      <c r="T1260"/>
      <c r="U1260" s="447"/>
      <c r="V1260"/>
      <c r="W1260"/>
      <c r="X1260" s="447"/>
      <c r="Y1260"/>
      <c r="Z1260"/>
      <c r="AA1260" s="447"/>
      <c r="AB1260"/>
      <c r="AC1260"/>
      <c r="AE1260"/>
      <c r="AF1260" s="447"/>
      <c r="AG1260"/>
      <c r="AH1260"/>
      <c r="AI1260" s="447"/>
      <c r="AJ1260"/>
      <c r="AK1260"/>
      <c r="AL1260" s="447"/>
      <c r="AM1260"/>
      <c r="AN1260"/>
      <c r="AO1260" s="447"/>
      <c r="AP1260"/>
      <c r="AQ1260"/>
      <c r="AS1260"/>
      <c r="AT1260" s="447"/>
      <c r="AU1260"/>
      <c r="AV1260"/>
      <c r="AW1260" s="447"/>
      <c r="AX1260"/>
      <c r="AY1260"/>
      <c r="AZ1260" s="447"/>
      <c r="BA1260"/>
      <c r="BB1260"/>
      <c r="BC1260" s="447"/>
      <c r="BD1260"/>
      <c r="BE1260"/>
    </row>
    <row r="1261" spans="4:57">
      <c r="D1261" s="447"/>
      <c r="G1261" s="447"/>
      <c r="J1261" s="447"/>
      <c r="M1261" s="447"/>
      <c r="R1261" s="447"/>
      <c r="S1261"/>
      <c r="T1261"/>
      <c r="U1261" s="447"/>
      <c r="V1261"/>
      <c r="W1261"/>
      <c r="X1261" s="447"/>
      <c r="Y1261"/>
      <c r="Z1261"/>
      <c r="AA1261" s="447"/>
      <c r="AB1261"/>
      <c r="AC1261"/>
      <c r="AE1261"/>
      <c r="AF1261" s="447"/>
      <c r="AG1261"/>
      <c r="AH1261"/>
      <c r="AI1261" s="447"/>
      <c r="AJ1261"/>
      <c r="AK1261"/>
      <c r="AL1261" s="447"/>
      <c r="AM1261"/>
      <c r="AN1261"/>
      <c r="AO1261" s="447"/>
      <c r="AP1261"/>
      <c r="AQ1261"/>
      <c r="AS1261"/>
      <c r="AT1261" s="447"/>
      <c r="AU1261"/>
      <c r="AV1261"/>
      <c r="AW1261" s="447"/>
      <c r="AX1261"/>
      <c r="AY1261"/>
      <c r="AZ1261" s="447"/>
      <c r="BA1261"/>
      <c r="BB1261"/>
      <c r="BC1261" s="447"/>
      <c r="BD1261"/>
      <c r="BE1261"/>
    </row>
    <row r="1262" spans="4:57">
      <c r="D1262" s="447"/>
      <c r="G1262" s="447"/>
      <c r="J1262" s="447"/>
      <c r="M1262" s="447"/>
      <c r="R1262" s="447"/>
      <c r="S1262"/>
      <c r="T1262"/>
      <c r="U1262" s="447"/>
      <c r="V1262"/>
      <c r="W1262"/>
      <c r="X1262" s="447"/>
      <c r="Y1262"/>
      <c r="Z1262"/>
      <c r="AA1262" s="447"/>
      <c r="AB1262"/>
      <c r="AC1262"/>
      <c r="AE1262"/>
      <c r="AF1262" s="447"/>
      <c r="AG1262"/>
      <c r="AH1262"/>
      <c r="AI1262" s="447"/>
      <c r="AJ1262"/>
      <c r="AK1262"/>
      <c r="AL1262" s="447"/>
      <c r="AM1262"/>
      <c r="AN1262"/>
      <c r="AO1262" s="447"/>
      <c r="AP1262"/>
      <c r="AQ1262"/>
      <c r="AS1262"/>
      <c r="AT1262" s="447"/>
      <c r="AU1262"/>
      <c r="AV1262"/>
      <c r="AW1262" s="447"/>
      <c r="AX1262"/>
      <c r="AY1262"/>
      <c r="AZ1262" s="447"/>
      <c r="BA1262"/>
      <c r="BB1262"/>
      <c r="BC1262" s="447"/>
      <c r="BD1262"/>
      <c r="BE1262"/>
    </row>
    <row r="1263" spans="4:57">
      <c r="D1263" s="447"/>
      <c r="G1263" s="447"/>
      <c r="J1263" s="447"/>
      <c r="M1263" s="447"/>
      <c r="R1263" s="447"/>
      <c r="S1263"/>
      <c r="T1263"/>
      <c r="U1263" s="447"/>
      <c r="V1263"/>
      <c r="W1263"/>
      <c r="X1263" s="447"/>
      <c r="Y1263"/>
      <c r="Z1263"/>
      <c r="AA1263" s="447"/>
      <c r="AB1263"/>
      <c r="AC1263"/>
      <c r="AE1263"/>
      <c r="AF1263" s="447"/>
      <c r="AG1263"/>
      <c r="AH1263"/>
      <c r="AI1263" s="447"/>
      <c r="AJ1263"/>
      <c r="AK1263"/>
      <c r="AL1263" s="447"/>
      <c r="AM1263"/>
      <c r="AN1263"/>
      <c r="AO1263" s="447"/>
      <c r="AP1263"/>
      <c r="AQ1263"/>
      <c r="AS1263"/>
      <c r="AT1263" s="447"/>
      <c r="AU1263"/>
      <c r="AV1263"/>
      <c r="AW1263" s="447"/>
      <c r="AX1263"/>
      <c r="AY1263"/>
      <c r="AZ1263" s="447"/>
      <c r="BA1263"/>
      <c r="BB1263"/>
      <c r="BC1263" s="447"/>
      <c r="BD1263"/>
      <c r="BE1263"/>
    </row>
    <row r="1264" spans="4:57">
      <c r="D1264" s="447"/>
      <c r="G1264" s="447"/>
      <c r="J1264" s="447"/>
      <c r="M1264" s="447"/>
      <c r="R1264" s="447"/>
      <c r="S1264"/>
      <c r="T1264"/>
      <c r="U1264" s="447"/>
      <c r="V1264"/>
      <c r="W1264"/>
      <c r="X1264" s="447"/>
      <c r="Y1264"/>
      <c r="Z1264"/>
      <c r="AA1264" s="447"/>
      <c r="AB1264"/>
      <c r="AC1264"/>
      <c r="AE1264"/>
      <c r="AF1264" s="447"/>
      <c r="AG1264"/>
      <c r="AH1264"/>
      <c r="AI1264" s="447"/>
      <c r="AJ1264"/>
      <c r="AK1264"/>
      <c r="AL1264" s="447"/>
      <c r="AM1264"/>
      <c r="AN1264"/>
      <c r="AO1264" s="447"/>
      <c r="AP1264"/>
      <c r="AQ1264"/>
      <c r="AS1264"/>
      <c r="AT1264" s="447"/>
      <c r="AU1264"/>
      <c r="AV1264"/>
      <c r="AW1264" s="447"/>
      <c r="AX1264"/>
      <c r="AY1264"/>
      <c r="AZ1264" s="447"/>
      <c r="BA1264"/>
      <c r="BB1264"/>
      <c r="BC1264" s="447"/>
      <c r="BD1264"/>
      <c r="BE1264"/>
    </row>
    <row r="1265" spans="4:57">
      <c r="D1265" s="447"/>
      <c r="G1265" s="447"/>
      <c r="J1265" s="447"/>
      <c r="M1265" s="447"/>
      <c r="R1265" s="447"/>
      <c r="S1265"/>
      <c r="T1265"/>
      <c r="U1265" s="447"/>
      <c r="V1265"/>
      <c r="W1265"/>
      <c r="X1265" s="447"/>
      <c r="Y1265"/>
      <c r="Z1265"/>
      <c r="AA1265" s="447"/>
      <c r="AB1265"/>
      <c r="AC1265"/>
      <c r="AE1265"/>
      <c r="AF1265" s="447"/>
      <c r="AG1265"/>
      <c r="AH1265"/>
      <c r="AI1265" s="447"/>
      <c r="AJ1265"/>
      <c r="AK1265"/>
      <c r="AL1265" s="447"/>
      <c r="AM1265"/>
      <c r="AN1265"/>
      <c r="AO1265" s="447"/>
      <c r="AP1265"/>
      <c r="AQ1265"/>
      <c r="AS1265"/>
      <c r="AT1265" s="447"/>
      <c r="AU1265"/>
      <c r="AV1265"/>
      <c r="AW1265" s="447"/>
      <c r="AX1265"/>
      <c r="AY1265"/>
      <c r="AZ1265" s="447"/>
      <c r="BA1265"/>
      <c r="BB1265"/>
      <c r="BC1265" s="447"/>
      <c r="BD1265"/>
      <c r="BE1265"/>
    </row>
    <row r="1266" spans="4:57">
      <c r="D1266" s="447"/>
      <c r="G1266" s="447"/>
      <c r="J1266" s="447"/>
      <c r="M1266" s="447"/>
      <c r="R1266" s="447"/>
      <c r="S1266"/>
      <c r="T1266"/>
      <c r="U1266" s="447"/>
      <c r="V1266"/>
      <c r="W1266"/>
      <c r="X1266" s="447"/>
      <c r="Y1266"/>
      <c r="Z1266"/>
      <c r="AA1266" s="447"/>
      <c r="AB1266"/>
      <c r="AC1266"/>
      <c r="AE1266"/>
      <c r="AF1266" s="447"/>
      <c r="AG1266"/>
      <c r="AH1266"/>
      <c r="AI1266" s="447"/>
      <c r="AJ1266"/>
      <c r="AK1266"/>
      <c r="AL1266" s="447"/>
      <c r="AM1266"/>
      <c r="AN1266"/>
      <c r="AO1266" s="447"/>
      <c r="AP1266"/>
      <c r="AQ1266"/>
      <c r="AS1266"/>
      <c r="AT1266" s="447"/>
      <c r="AU1266"/>
      <c r="AV1266"/>
      <c r="AW1266" s="447"/>
      <c r="AX1266"/>
      <c r="AY1266"/>
      <c r="AZ1266" s="447"/>
      <c r="BA1266"/>
      <c r="BB1266"/>
      <c r="BC1266" s="447"/>
      <c r="BD1266"/>
      <c r="BE1266"/>
    </row>
    <row r="1267" spans="4:57">
      <c r="D1267" s="447"/>
      <c r="G1267" s="447"/>
      <c r="J1267" s="447"/>
      <c r="M1267" s="447"/>
      <c r="R1267" s="447"/>
      <c r="S1267"/>
      <c r="T1267"/>
      <c r="U1267" s="447"/>
      <c r="V1267"/>
      <c r="W1267"/>
      <c r="X1267" s="447"/>
      <c r="Y1267"/>
      <c r="Z1267"/>
      <c r="AA1267" s="447"/>
      <c r="AB1267"/>
      <c r="AC1267"/>
      <c r="AE1267"/>
      <c r="AF1267" s="447"/>
      <c r="AG1267"/>
      <c r="AH1267"/>
      <c r="AI1267" s="447"/>
      <c r="AJ1267"/>
      <c r="AK1267"/>
      <c r="AL1267" s="447"/>
      <c r="AM1267"/>
      <c r="AN1267"/>
      <c r="AO1267" s="447"/>
      <c r="AP1267"/>
      <c r="AQ1267"/>
      <c r="AS1267"/>
      <c r="AT1267" s="447"/>
      <c r="AU1267"/>
      <c r="AV1267"/>
      <c r="AW1267" s="447"/>
      <c r="AX1267"/>
      <c r="AY1267"/>
      <c r="AZ1267" s="447"/>
      <c r="BA1267"/>
      <c r="BB1267"/>
      <c r="BC1267" s="447"/>
      <c r="BD1267"/>
      <c r="BE1267"/>
    </row>
    <row r="1268" spans="4:57">
      <c r="D1268" s="447"/>
      <c r="G1268" s="447"/>
      <c r="J1268" s="447"/>
      <c r="M1268" s="447"/>
      <c r="R1268" s="447"/>
      <c r="S1268"/>
      <c r="T1268"/>
      <c r="U1268" s="447"/>
      <c r="V1268"/>
      <c r="W1268"/>
      <c r="X1268" s="447"/>
      <c r="Y1268"/>
      <c r="Z1268"/>
      <c r="AA1268" s="447"/>
      <c r="AB1268"/>
      <c r="AC1268"/>
      <c r="AE1268"/>
      <c r="AF1268" s="447"/>
      <c r="AG1268"/>
      <c r="AH1268"/>
      <c r="AI1268" s="447"/>
      <c r="AJ1268"/>
      <c r="AK1268"/>
      <c r="AL1268" s="447"/>
      <c r="AM1268"/>
      <c r="AN1268"/>
      <c r="AO1268" s="447"/>
      <c r="AP1268"/>
      <c r="AQ1268"/>
      <c r="AS1268"/>
      <c r="AT1268" s="447"/>
      <c r="AU1268"/>
      <c r="AV1268"/>
      <c r="AW1268" s="447"/>
      <c r="AX1268"/>
      <c r="AY1268"/>
      <c r="AZ1268" s="447"/>
      <c r="BA1268"/>
      <c r="BB1268"/>
      <c r="BC1268" s="447"/>
      <c r="BD1268"/>
      <c r="BE1268"/>
    </row>
    <row r="1269" spans="4:57">
      <c r="D1269" s="447"/>
      <c r="G1269" s="447"/>
      <c r="J1269" s="447"/>
      <c r="M1269" s="447"/>
      <c r="R1269" s="447"/>
      <c r="S1269"/>
      <c r="T1269"/>
      <c r="U1269" s="447"/>
      <c r="V1269"/>
      <c r="W1269"/>
      <c r="X1269" s="447"/>
      <c r="Y1269"/>
      <c r="Z1269"/>
      <c r="AA1269" s="447"/>
      <c r="AB1269"/>
      <c r="AC1269"/>
      <c r="AE1269"/>
      <c r="AF1269" s="447"/>
      <c r="AG1269"/>
      <c r="AH1269"/>
      <c r="AI1269" s="447"/>
      <c r="AJ1269"/>
      <c r="AK1269"/>
      <c r="AL1269" s="447"/>
      <c r="AM1269"/>
      <c r="AN1269"/>
      <c r="AO1269" s="447"/>
      <c r="AP1269"/>
      <c r="AQ1269"/>
      <c r="AS1269"/>
      <c r="AT1269" s="447"/>
      <c r="AU1269"/>
      <c r="AV1269"/>
      <c r="AW1269" s="447"/>
      <c r="AX1269"/>
      <c r="AY1269"/>
      <c r="AZ1269" s="447"/>
      <c r="BA1269"/>
      <c r="BB1269"/>
      <c r="BC1269" s="447"/>
      <c r="BD1269"/>
      <c r="BE1269"/>
    </row>
    <row r="1270" spans="4:57">
      <c r="D1270" s="447"/>
      <c r="G1270" s="447"/>
      <c r="J1270" s="447"/>
      <c r="M1270" s="447"/>
      <c r="R1270" s="447"/>
      <c r="S1270"/>
      <c r="T1270"/>
      <c r="U1270" s="447"/>
      <c r="V1270"/>
      <c r="W1270"/>
      <c r="X1270" s="447"/>
      <c r="Y1270"/>
      <c r="Z1270"/>
      <c r="AA1270" s="447"/>
      <c r="AB1270"/>
      <c r="AC1270"/>
      <c r="AE1270"/>
      <c r="AF1270" s="447"/>
      <c r="AG1270"/>
      <c r="AH1270"/>
      <c r="AI1270" s="447"/>
      <c r="AJ1270"/>
      <c r="AK1270"/>
      <c r="AL1270" s="447"/>
      <c r="AM1270"/>
      <c r="AN1270"/>
      <c r="AO1270" s="447"/>
      <c r="AP1270"/>
      <c r="AQ1270"/>
      <c r="AS1270"/>
      <c r="AT1270" s="447"/>
      <c r="AU1270"/>
      <c r="AV1270"/>
      <c r="AW1270" s="447"/>
      <c r="AX1270"/>
      <c r="AY1270"/>
      <c r="AZ1270" s="447"/>
      <c r="BA1270"/>
      <c r="BB1270"/>
      <c r="BC1270" s="447"/>
      <c r="BD1270"/>
      <c r="BE1270"/>
    </row>
    <row r="1271" spans="4:57">
      <c r="D1271" s="447"/>
      <c r="G1271" s="447"/>
      <c r="J1271" s="447"/>
      <c r="M1271" s="447"/>
      <c r="R1271" s="447"/>
      <c r="S1271"/>
      <c r="T1271"/>
      <c r="U1271" s="447"/>
      <c r="V1271"/>
      <c r="W1271"/>
      <c r="X1271" s="447"/>
      <c r="Y1271"/>
      <c r="Z1271"/>
      <c r="AA1271" s="447"/>
      <c r="AB1271"/>
      <c r="AC1271"/>
      <c r="AE1271"/>
      <c r="AF1271" s="447"/>
      <c r="AG1271"/>
      <c r="AH1271"/>
      <c r="AI1271" s="447"/>
      <c r="AJ1271"/>
      <c r="AK1271"/>
      <c r="AL1271" s="447"/>
      <c r="AM1271"/>
      <c r="AN1271"/>
      <c r="AO1271" s="447"/>
      <c r="AP1271"/>
      <c r="AQ1271"/>
      <c r="AS1271"/>
      <c r="AT1271" s="447"/>
      <c r="AU1271"/>
      <c r="AV1271"/>
      <c r="AW1271" s="447"/>
      <c r="AX1271"/>
      <c r="AY1271"/>
      <c r="AZ1271" s="447"/>
      <c r="BA1271"/>
      <c r="BB1271"/>
      <c r="BC1271" s="447"/>
      <c r="BD1271"/>
      <c r="BE1271"/>
    </row>
    <row r="1272" spans="4:57">
      <c r="D1272" s="447"/>
      <c r="G1272" s="447"/>
      <c r="J1272" s="447"/>
      <c r="M1272" s="447"/>
      <c r="R1272" s="447"/>
      <c r="S1272"/>
      <c r="T1272"/>
      <c r="U1272" s="447"/>
      <c r="V1272"/>
      <c r="W1272"/>
      <c r="X1272" s="447"/>
      <c r="Y1272"/>
      <c r="Z1272"/>
      <c r="AA1272" s="447"/>
      <c r="AB1272"/>
      <c r="AC1272"/>
      <c r="AE1272"/>
      <c r="AF1272" s="447"/>
      <c r="AG1272"/>
      <c r="AH1272"/>
      <c r="AI1272" s="447"/>
      <c r="AJ1272"/>
      <c r="AK1272"/>
      <c r="AL1272" s="447"/>
      <c r="AM1272"/>
      <c r="AN1272"/>
      <c r="AO1272" s="447"/>
      <c r="AP1272"/>
      <c r="AQ1272"/>
      <c r="AS1272"/>
      <c r="AT1272" s="447"/>
      <c r="AU1272"/>
      <c r="AV1272"/>
      <c r="AW1272" s="447"/>
      <c r="AX1272"/>
      <c r="AY1272"/>
      <c r="AZ1272" s="447"/>
      <c r="BA1272"/>
      <c r="BB1272"/>
      <c r="BC1272" s="447"/>
      <c r="BD1272"/>
      <c r="BE1272"/>
    </row>
    <row r="1273" spans="4:57">
      <c r="D1273" s="447"/>
      <c r="G1273" s="447"/>
      <c r="J1273" s="447"/>
      <c r="M1273" s="447"/>
      <c r="R1273" s="447"/>
      <c r="S1273"/>
      <c r="T1273"/>
      <c r="U1273" s="447"/>
      <c r="V1273"/>
      <c r="W1273"/>
      <c r="X1273" s="447"/>
      <c r="Y1273"/>
      <c r="Z1273"/>
      <c r="AA1273" s="447"/>
      <c r="AB1273"/>
      <c r="AC1273"/>
      <c r="AE1273"/>
      <c r="AF1273" s="447"/>
      <c r="AG1273"/>
      <c r="AH1273"/>
      <c r="AI1273" s="447"/>
      <c r="AJ1273"/>
      <c r="AK1273"/>
      <c r="AL1273" s="447"/>
      <c r="AM1273"/>
      <c r="AN1273"/>
      <c r="AO1273" s="447"/>
      <c r="AP1273"/>
      <c r="AQ1273"/>
      <c r="AS1273"/>
      <c r="AT1273" s="447"/>
      <c r="AU1273"/>
      <c r="AV1273"/>
      <c r="AW1273" s="447"/>
      <c r="AX1273"/>
      <c r="AY1273"/>
      <c r="AZ1273" s="447"/>
      <c r="BA1273"/>
      <c r="BB1273"/>
      <c r="BC1273" s="447"/>
      <c r="BD1273"/>
      <c r="BE1273"/>
    </row>
    <row r="1274" spans="4:57">
      <c r="D1274" s="447"/>
      <c r="G1274" s="447"/>
      <c r="J1274" s="447"/>
      <c r="M1274" s="447"/>
      <c r="R1274" s="447"/>
      <c r="S1274"/>
      <c r="T1274"/>
      <c r="U1274" s="447"/>
      <c r="V1274"/>
      <c r="W1274"/>
      <c r="X1274" s="447"/>
      <c r="Y1274"/>
      <c r="Z1274"/>
      <c r="AA1274" s="447"/>
      <c r="AB1274"/>
      <c r="AC1274"/>
      <c r="AE1274"/>
      <c r="AF1274" s="447"/>
      <c r="AG1274"/>
      <c r="AH1274"/>
      <c r="AI1274" s="447"/>
      <c r="AJ1274"/>
      <c r="AK1274"/>
      <c r="AL1274" s="447"/>
      <c r="AM1274"/>
      <c r="AN1274"/>
      <c r="AO1274" s="447"/>
      <c r="AP1274"/>
      <c r="AQ1274"/>
      <c r="AS1274"/>
      <c r="AT1274" s="447"/>
      <c r="AU1274"/>
      <c r="AV1274"/>
      <c r="AW1274" s="447"/>
      <c r="AX1274"/>
      <c r="AY1274"/>
      <c r="AZ1274" s="447"/>
      <c r="BA1274"/>
      <c r="BB1274"/>
      <c r="BC1274" s="447"/>
      <c r="BD1274"/>
      <c r="BE1274"/>
    </row>
    <row r="1275" spans="4:57">
      <c r="D1275" s="447"/>
      <c r="G1275" s="447"/>
      <c r="J1275" s="447"/>
      <c r="M1275" s="447"/>
      <c r="R1275" s="447"/>
      <c r="S1275"/>
      <c r="T1275"/>
      <c r="U1275" s="447"/>
      <c r="V1275"/>
      <c r="W1275"/>
      <c r="X1275" s="447"/>
      <c r="Y1275"/>
      <c r="Z1275"/>
      <c r="AA1275" s="447"/>
      <c r="AB1275"/>
      <c r="AC1275"/>
      <c r="AE1275"/>
      <c r="AF1275" s="447"/>
      <c r="AG1275"/>
      <c r="AH1275"/>
      <c r="AI1275" s="447"/>
      <c r="AJ1275"/>
      <c r="AK1275"/>
      <c r="AL1275" s="447"/>
      <c r="AM1275"/>
      <c r="AN1275"/>
      <c r="AO1275" s="447"/>
      <c r="AP1275"/>
      <c r="AQ1275"/>
      <c r="AS1275"/>
      <c r="AT1275" s="447"/>
      <c r="AU1275"/>
      <c r="AV1275"/>
      <c r="AW1275" s="447"/>
      <c r="AX1275"/>
      <c r="AY1275"/>
      <c r="AZ1275" s="447"/>
      <c r="BA1275"/>
      <c r="BB1275"/>
      <c r="BC1275" s="447"/>
      <c r="BD1275"/>
      <c r="BE1275"/>
    </row>
    <row r="1276" spans="4:57">
      <c r="D1276" s="447"/>
      <c r="G1276" s="447"/>
      <c r="J1276" s="447"/>
      <c r="M1276" s="447"/>
      <c r="R1276" s="447"/>
      <c r="S1276"/>
      <c r="T1276"/>
      <c r="U1276" s="447"/>
      <c r="V1276"/>
      <c r="W1276"/>
      <c r="X1276" s="447"/>
      <c r="Y1276"/>
      <c r="Z1276"/>
      <c r="AA1276" s="447"/>
      <c r="AB1276"/>
      <c r="AC1276"/>
      <c r="AE1276"/>
      <c r="AF1276" s="447"/>
      <c r="AG1276"/>
      <c r="AH1276"/>
      <c r="AI1276" s="447"/>
      <c r="AJ1276"/>
      <c r="AK1276"/>
      <c r="AL1276" s="447"/>
      <c r="AM1276"/>
      <c r="AN1276"/>
      <c r="AO1276" s="447"/>
      <c r="AP1276"/>
      <c r="AQ1276"/>
      <c r="AS1276"/>
      <c r="AT1276" s="447"/>
      <c r="AU1276"/>
      <c r="AV1276"/>
      <c r="AW1276" s="447"/>
      <c r="AX1276"/>
      <c r="AY1276"/>
      <c r="AZ1276" s="447"/>
      <c r="BA1276"/>
      <c r="BB1276"/>
      <c r="BC1276" s="447"/>
      <c r="BD1276"/>
      <c r="BE1276"/>
    </row>
    <row r="1277" spans="4:57">
      <c r="D1277" s="447"/>
      <c r="G1277" s="447"/>
      <c r="J1277" s="447"/>
      <c r="M1277" s="447"/>
      <c r="R1277" s="447"/>
      <c r="S1277"/>
      <c r="T1277"/>
      <c r="U1277" s="447"/>
      <c r="V1277"/>
      <c r="W1277"/>
      <c r="X1277" s="447"/>
      <c r="Y1277"/>
      <c r="Z1277"/>
      <c r="AA1277" s="447"/>
      <c r="AB1277"/>
      <c r="AC1277"/>
      <c r="AE1277"/>
      <c r="AF1277" s="447"/>
      <c r="AG1277"/>
      <c r="AH1277"/>
      <c r="AI1277" s="447"/>
      <c r="AJ1277"/>
      <c r="AK1277"/>
      <c r="AL1277" s="447"/>
      <c r="AM1277"/>
      <c r="AN1277"/>
      <c r="AO1277" s="447"/>
      <c r="AP1277"/>
      <c r="AQ1277"/>
      <c r="AS1277"/>
      <c r="AT1277" s="447"/>
      <c r="AU1277"/>
      <c r="AV1277"/>
      <c r="AW1277" s="447"/>
      <c r="AX1277"/>
      <c r="AY1277"/>
      <c r="AZ1277" s="447"/>
      <c r="BA1277"/>
      <c r="BB1277"/>
      <c r="BC1277" s="447"/>
      <c r="BD1277"/>
      <c r="BE1277"/>
    </row>
    <row r="1278" spans="4:57">
      <c r="D1278" s="447"/>
      <c r="G1278" s="447"/>
      <c r="J1278" s="447"/>
      <c r="M1278" s="447"/>
      <c r="R1278" s="447"/>
      <c r="S1278"/>
      <c r="T1278"/>
      <c r="U1278" s="447"/>
      <c r="V1278"/>
      <c r="W1278"/>
      <c r="X1278" s="447"/>
      <c r="Y1278"/>
      <c r="Z1278"/>
      <c r="AA1278" s="447"/>
      <c r="AB1278"/>
      <c r="AC1278"/>
      <c r="AE1278"/>
      <c r="AF1278" s="447"/>
      <c r="AG1278"/>
      <c r="AH1278"/>
      <c r="AI1278" s="447"/>
      <c r="AJ1278"/>
      <c r="AK1278"/>
      <c r="AL1278" s="447"/>
      <c r="AM1278"/>
      <c r="AN1278"/>
      <c r="AO1278" s="447"/>
      <c r="AP1278"/>
      <c r="AQ1278"/>
      <c r="AS1278"/>
      <c r="AT1278" s="447"/>
      <c r="AU1278"/>
      <c r="AV1278"/>
      <c r="AW1278" s="447"/>
      <c r="AX1278"/>
      <c r="AY1278"/>
      <c r="AZ1278" s="447"/>
      <c r="BA1278"/>
      <c r="BB1278"/>
      <c r="BC1278" s="447"/>
      <c r="BD1278"/>
      <c r="BE1278"/>
    </row>
    <row r="1279" spans="4:57">
      <c r="D1279" s="447"/>
      <c r="G1279" s="447"/>
      <c r="J1279" s="447"/>
      <c r="M1279" s="447"/>
      <c r="R1279" s="447"/>
      <c r="S1279"/>
      <c r="T1279"/>
      <c r="U1279" s="447"/>
      <c r="V1279"/>
      <c r="W1279"/>
      <c r="X1279" s="447"/>
      <c r="Y1279"/>
      <c r="Z1279"/>
      <c r="AA1279" s="447"/>
      <c r="AB1279"/>
      <c r="AC1279"/>
      <c r="AE1279"/>
      <c r="AF1279" s="447"/>
      <c r="AG1279"/>
      <c r="AH1279"/>
      <c r="AI1279" s="447"/>
      <c r="AJ1279"/>
      <c r="AK1279"/>
      <c r="AL1279" s="447"/>
      <c r="AM1279"/>
      <c r="AN1279"/>
      <c r="AO1279" s="447"/>
      <c r="AP1279"/>
      <c r="AQ1279"/>
      <c r="AS1279"/>
      <c r="AT1279" s="447"/>
      <c r="AU1279"/>
      <c r="AV1279"/>
      <c r="AW1279" s="447"/>
      <c r="AX1279"/>
      <c r="AY1279"/>
      <c r="AZ1279" s="447"/>
      <c r="BA1279"/>
      <c r="BB1279"/>
      <c r="BC1279" s="447"/>
      <c r="BD1279"/>
      <c r="BE1279"/>
    </row>
    <row r="1280" spans="4:57">
      <c r="D1280" s="447"/>
      <c r="G1280" s="447"/>
      <c r="J1280" s="447"/>
      <c r="M1280" s="447"/>
      <c r="R1280" s="447"/>
      <c r="S1280"/>
      <c r="T1280"/>
      <c r="U1280" s="447"/>
      <c r="V1280"/>
      <c r="W1280"/>
      <c r="X1280" s="447"/>
      <c r="Y1280"/>
      <c r="Z1280"/>
      <c r="AA1280" s="447"/>
      <c r="AB1280"/>
      <c r="AC1280"/>
      <c r="AE1280"/>
      <c r="AF1280" s="447"/>
      <c r="AG1280"/>
      <c r="AH1280"/>
      <c r="AI1280" s="447"/>
      <c r="AJ1280"/>
      <c r="AK1280"/>
      <c r="AL1280" s="447"/>
      <c r="AM1280"/>
      <c r="AN1280"/>
      <c r="AO1280" s="447"/>
      <c r="AP1280"/>
      <c r="AQ1280"/>
      <c r="AS1280"/>
      <c r="AT1280" s="447"/>
      <c r="AU1280"/>
      <c r="AV1280"/>
      <c r="AW1280" s="447"/>
      <c r="AX1280"/>
      <c r="AY1280"/>
      <c r="AZ1280" s="447"/>
      <c r="BA1280"/>
      <c r="BB1280"/>
      <c r="BC1280" s="447"/>
      <c r="BD1280"/>
      <c r="BE1280"/>
    </row>
    <row r="1281" spans="4:57">
      <c r="D1281" s="447"/>
      <c r="G1281" s="447"/>
      <c r="J1281" s="447"/>
      <c r="M1281" s="447"/>
      <c r="R1281" s="447"/>
      <c r="S1281"/>
      <c r="T1281"/>
      <c r="U1281" s="447"/>
      <c r="V1281"/>
      <c r="W1281"/>
      <c r="X1281" s="447"/>
      <c r="Y1281"/>
      <c r="Z1281"/>
      <c r="AA1281" s="447"/>
      <c r="AB1281"/>
      <c r="AC1281"/>
      <c r="AE1281"/>
      <c r="AF1281" s="447"/>
      <c r="AG1281"/>
      <c r="AH1281"/>
      <c r="AI1281" s="447"/>
      <c r="AJ1281"/>
      <c r="AK1281"/>
      <c r="AL1281" s="447"/>
      <c r="AM1281"/>
      <c r="AN1281"/>
      <c r="AO1281" s="447"/>
      <c r="AP1281"/>
      <c r="AQ1281"/>
      <c r="AS1281"/>
      <c r="AT1281" s="447"/>
      <c r="AU1281"/>
      <c r="AV1281"/>
      <c r="AW1281" s="447"/>
      <c r="AX1281"/>
      <c r="AY1281"/>
      <c r="AZ1281" s="447"/>
      <c r="BA1281"/>
      <c r="BB1281"/>
      <c r="BC1281" s="447"/>
      <c r="BD1281"/>
      <c r="BE1281"/>
    </row>
    <row r="1282" spans="4:57">
      <c r="D1282" s="447"/>
      <c r="G1282" s="447"/>
      <c r="J1282" s="447"/>
      <c r="M1282" s="447"/>
      <c r="R1282" s="447"/>
      <c r="S1282"/>
      <c r="T1282"/>
      <c r="U1282" s="447"/>
      <c r="V1282"/>
      <c r="W1282"/>
      <c r="X1282" s="447"/>
      <c r="Y1282"/>
      <c r="Z1282"/>
      <c r="AA1282" s="447"/>
      <c r="AB1282"/>
      <c r="AC1282"/>
      <c r="AE1282"/>
      <c r="AF1282" s="447"/>
      <c r="AG1282"/>
      <c r="AH1282"/>
      <c r="AI1282" s="447"/>
      <c r="AJ1282"/>
      <c r="AK1282"/>
      <c r="AL1282" s="447"/>
      <c r="AM1282"/>
      <c r="AN1282"/>
      <c r="AO1282" s="447"/>
      <c r="AP1282"/>
      <c r="AQ1282"/>
      <c r="AS1282"/>
      <c r="AT1282" s="447"/>
      <c r="AU1282"/>
      <c r="AV1282"/>
      <c r="AW1282" s="447"/>
      <c r="AX1282"/>
      <c r="AY1282"/>
      <c r="AZ1282" s="447"/>
      <c r="BA1282"/>
      <c r="BB1282"/>
      <c r="BC1282" s="447"/>
      <c r="BD1282"/>
      <c r="BE1282"/>
    </row>
    <row r="1283" spans="4:57">
      <c r="D1283" s="447"/>
      <c r="G1283" s="447"/>
      <c r="J1283" s="447"/>
      <c r="M1283" s="447"/>
      <c r="R1283" s="447"/>
      <c r="S1283"/>
      <c r="T1283"/>
      <c r="U1283" s="447"/>
      <c r="V1283"/>
      <c r="W1283"/>
      <c r="X1283" s="447"/>
      <c r="Y1283"/>
      <c r="Z1283"/>
      <c r="AA1283" s="447"/>
      <c r="AB1283"/>
      <c r="AC1283"/>
      <c r="AE1283"/>
      <c r="AF1283" s="447"/>
      <c r="AG1283"/>
      <c r="AH1283"/>
      <c r="AI1283" s="447"/>
      <c r="AJ1283"/>
      <c r="AK1283"/>
      <c r="AL1283" s="447"/>
      <c r="AM1283"/>
      <c r="AN1283"/>
      <c r="AO1283" s="447"/>
      <c r="AP1283"/>
      <c r="AQ1283"/>
      <c r="AS1283"/>
      <c r="AT1283" s="447"/>
      <c r="AU1283"/>
      <c r="AV1283"/>
      <c r="AW1283" s="447"/>
      <c r="AX1283"/>
      <c r="AY1283"/>
      <c r="AZ1283" s="447"/>
      <c r="BA1283"/>
      <c r="BB1283"/>
      <c r="BC1283" s="447"/>
      <c r="BD1283"/>
      <c r="BE1283"/>
    </row>
    <row r="1284" spans="4:57">
      <c r="D1284" s="447"/>
      <c r="G1284" s="447"/>
      <c r="J1284" s="447"/>
      <c r="M1284" s="447"/>
      <c r="R1284" s="447"/>
      <c r="S1284"/>
      <c r="T1284"/>
      <c r="U1284" s="447"/>
      <c r="V1284"/>
      <c r="W1284"/>
      <c r="X1284" s="447"/>
      <c r="Y1284"/>
      <c r="Z1284"/>
      <c r="AA1284" s="447"/>
      <c r="AB1284"/>
      <c r="AC1284"/>
      <c r="AE1284"/>
      <c r="AF1284" s="447"/>
      <c r="AG1284"/>
      <c r="AH1284"/>
      <c r="AI1284" s="447"/>
      <c r="AJ1284"/>
      <c r="AK1284"/>
      <c r="AL1284" s="447"/>
      <c r="AM1284"/>
      <c r="AN1284"/>
      <c r="AO1284" s="447"/>
      <c r="AP1284"/>
      <c r="AQ1284"/>
      <c r="AS1284"/>
      <c r="AT1284" s="447"/>
      <c r="AU1284"/>
      <c r="AV1284"/>
      <c r="AW1284" s="447"/>
      <c r="AX1284"/>
      <c r="AY1284"/>
      <c r="AZ1284" s="447"/>
      <c r="BA1284"/>
      <c r="BB1284"/>
      <c r="BC1284" s="447"/>
      <c r="BD1284"/>
      <c r="BE1284"/>
    </row>
    <row r="1285" spans="4:57">
      <c r="D1285" s="447"/>
      <c r="G1285" s="447"/>
      <c r="J1285" s="447"/>
      <c r="M1285" s="447"/>
      <c r="R1285" s="447"/>
      <c r="S1285"/>
      <c r="T1285"/>
      <c r="U1285" s="447"/>
      <c r="V1285"/>
      <c r="W1285"/>
      <c r="X1285" s="447"/>
      <c r="Y1285"/>
      <c r="Z1285"/>
      <c r="AA1285" s="447"/>
      <c r="AB1285"/>
      <c r="AC1285"/>
      <c r="AE1285"/>
      <c r="AF1285" s="447"/>
      <c r="AG1285"/>
      <c r="AH1285"/>
      <c r="AI1285" s="447"/>
      <c r="AJ1285"/>
      <c r="AK1285"/>
      <c r="AL1285" s="447"/>
      <c r="AM1285"/>
      <c r="AN1285"/>
      <c r="AO1285" s="447"/>
      <c r="AP1285"/>
      <c r="AQ1285"/>
      <c r="AS1285"/>
      <c r="AT1285" s="447"/>
      <c r="AU1285"/>
      <c r="AV1285"/>
      <c r="AW1285" s="447"/>
      <c r="AX1285"/>
      <c r="AY1285"/>
      <c r="AZ1285" s="447"/>
      <c r="BA1285"/>
      <c r="BB1285"/>
      <c r="BC1285" s="447"/>
      <c r="BD1285"/>
      <c r="BE1285"/>
    </row>
    <row r="1286" spans="4:57">
      <c r="D1286" s="447"/>
      <c r="G1286" s="447"/>
      <c r="J1286" s="447"/>
      <c r="M1286" s="447"/>
      <c r="R1286" s="447"/>
      <c r="S1286"/>
      <c r="T1286"/>
      <c r="U1286" s="447"/>
      <c r="V1286"/>
      <c r="W1286"/>
      <c r="X1286" s="447"/>
      <c r="Y1286"/>
      <c r="Z1286"/>
      <c r="AA1286" s="447"/>
      <c r="AB1286"/>
      <c r="AC1286"/>
      <c r="AE1286"/>
      <c r="AF1286" s="447"/>
      <c r="AG1286"/>
      <c r="AH1286"/>
      <c r="AI1286" s="447"/>
      <c r="AJ1286"/>
      <c r="AK1286"/>
      <c r="AL1286" s="447"/>
      <c r="AM1286"/>
      <c r="AN1286"/>
      <c r="AO1286" s="447"/>
      <c r="AP1286"/>
      <c r="AQ1286"/>
      <c r="AS1286"/>
      <c r="AT1286" s="447"/>
      <c r="AU1286"/>
      <c r="AV1286"/>
      <c r="AW1286" s="447"/>
      <c r="AX1286"/>
      <c r="AY1286"/>
      <c r="AZ1286" s="447"/>
      <c r="BA1286"/>
      <c r="BB1286"/>
      <c r="BC1286" s="447"/>
      <c r="BD1286"/>
      <c r="BE1286"/>
    </row>
    <row r="1287" spans="4:57">
      <c r="D1287" s="447"/>
      <c r="G1287" s="447"/>
      <c r="J1287" s="447"/>
      <c r="M1287" s="447"/>
      <c r="R1287" s="447"/>
      <c r="S1287"/>
      <c r="T1287"/>
      <c r="U1287" s="447"/>
      <c r="V1287"/>
      <c r="W1287"/>
      <c r="X1287" s="447"/>
      <c r="Y1287"/>
      <c r="Z1287"/>
      <c r="AA1287" s="447"/>
      <c r="AB1287"/>
      <c r="AC1287"/>
      <c r="AE1287"/>
      <c r="AF1287" s="447"/>
      <c r="AG1287"/>
      <c r="AH1287"/>
      <c r="AI1287" s="447"/>
      <c r="AJ1287"/>
      <c r="AK1287"/>
      <c r="AL1287" s="447"/>
      <c r="AM1287"/>
      <c r="AN1287"/>
      <c r="AO1287" s="447"/>
      <c r="AP1287"/>
      <c r="AQ1287"/>
      <c r="AS1287"/>
      <c r="AT1287" s="447"/>
      <c r="AU1287"/>
      <c r="AV1287"/>
      <c r="AW1287" s="447"/>
      <c r="AX1287"/>
      <c r="AY1287"/>
      <c r="AZ1287" s="447"/>
      <c r="BA1287"/>
      <c r="BB1287"/>
      <c r="BC1287" s="447"/>
      <c r="BD1287"/>
      <c r="BE1287"/>
    </row>
    <row r="1288" spans="4:57">
      <c r="D1288" s="447"/>
      <c r="G1288" s="447"/>
      <c r="J1288" s="447"/>
      <c r="M1288" s="447"/>
      <c r="R1288" s="447"/>
      <c r="S1288"/>
      <c r="T1288"/>
      <c r="U1288" s="447"/>
      <c r="V1288"/>
      <c r="W1288"/>
      <c r="X1288" s="447"/>
      <c r="Y1288"/>
      <c r="Z1288"/>
      <c r="AA1288" s="447"/>
      <c r="AB1288"/>
      <c r="AC1288"/>
      <c r="AE1288"/>
      <c r="AF1288" s="447"/>
      <c r="AG1288"/>
      <c r="AH1288"/>
      <c r="AI1288" s="447"/>
      <c r="AJ1288"/>
      <c r="AK1288"/>
      <c r="AL1288" s="447"/>
      <c r="AM1288"/>
      <c r="AN1288"/>
      <c r="AO1288" s="447"/>
      <c r="AP1288"/>
      <c r="AQ1288"/>
      <c r="AS1288"/>
      <c r="AT1288" s="447"/>
      <c r="AU1288"/>
      <c r="AV1288"/>
      <c r="AW1288" s="447"/>
      <c r="AX1288"/>
      <c r="AY1288"/>
      <c r="AZ1288" s="447"/>
      <c r="BA1288"/>
      <c r="BB1288"/>
      <c r="BC1288" s="447"/>
      <c r="BD1288"/>
      <c r="BE1288"/>
    </row>
    <row r="1289" spans="4:57">
      <c r="D1289" s="447"/>
      <c r="G1289" s="447"/>
      <c r="J1289" s="447"/>
      <c r="M1289" s="447"/>
      <c r="R1289" s="447"/>
      <c r="S1289"/>
      <c r="T1289"/>
      <c r="U1289" s="447"/>
      <c r="V1289"/>
      <c r="W1289"/>
      <c r="X1289" s="447"/>
      <c r="Y1289"/>
      <c r="Z1289"/>
      <c r="AA1289" s="447"/>
      <c r="AB1289"/>
      <c r="AC1289"/>
      <c r="AE1289"/>
      <c r="AF1289" s="447"/>
      <c r="AG1289"/>
      <c r="AH1289"/>
      <c r="AI1289" s="447"/>
      <c r="AJ1289"/>
      <c r="AK1289"/>
      <c r="AL1289" s="447"/>
      <c r="AM1289"/>
      <c r="AN1289"/>
      <c r="AO1289" s="447"/>
      <c r="AP1289"/>
      <c r="AQ1289"/>
      <c r="AS1289"/>
      <c r="AT1289" s="447"/>
      <c r="AU1289"/>
      <c r="AV1289"/>
      <c r="AW1289" s="447"/>
      <c r="AX1289"/>
      <c r="AY1289"/>
      <c r="AZ1289" s="447"/>
      <c r="BA1289"/>
      <c r="BB1289"/>
      <c r="BC1289" s="447"/>
      <c r="BD1289"/>
      <c r="BE1289"/>
    </row>
    <row r="1290" spans="4:57">
      <c r="D1290" s="447"/>
      <c r="G1290" s="447"/>
      <c r="J1290" s="447"/>
      <c r="M1290" s="447"/>
      <c r="R1290" s="447"/>
      <c r="S1290"/>
      <c r="T1290"/>
      <c r="U1290" s="447"/>
      <c r="V1290"/>
      <c r="W1290"/>
      <c r="X1290" s="447"/>
      <c r="Y1290"/>
      <c r="Z1290"/>
      <c r="AA1290" s="447"/>
      <c r="AB1290"/>
      <c r="AC1290"/>
      <c r="AE1290"/>
      <c r="AF1290" s="447"/>
      <c r="AG1290"/>
      <c r="AH1290"/>
      <c r="AI1290" s="447"/>
      <c r="AJ1290"/>
      <c r="AK1290"/>
      <c r="AL1290" s="447"/>
      <c r="AM1290"/>
      <c r="AN1290"/>
      <c r="AO1290" s="447"/>
      <c r="AP1290"/>
      <c r="AQ1290"/>
      <c r="AS1290"/>
      <c r="AT1290" s="447"/>
      <c r="AU1290"/>
      <c r="AV1290"/>
      <c r="AW1290" s="447"/>
      <c r="AX1290"/>
      <c r="AY1290"/>
      <c r="AZ1290" s="447"/>
      <c r="BA1290"/>
      <c r="BB1290"/>
      <c r="BC1290" s="447"/>
      <c r="BD1290"/>
      <c r="BE1290"/>
    </row>
    <row r="1291" spans="4:57">
      <c r="D1291" s="447"/>
      <c r="G1291" s="447"/>
      <c r="J1291" s="447"/>
      <c r="M1291" s="447"/>
      <c r="R1291" s="447"/>
      <c r="S1291"/>
      <c r="T1291"/>
      <c r="U1291" s="447"/>
      <c r="V1291"/>
      <c r="W1291"/>
      <c r="X1291" s="447"/>
      <c r="Y1291"/>
      <c r="Z1291"/>
      <c r="AA1291" s="447"/>
      <c r="AB1291"/>
      <c r="AC1291"/>
      <c r="AE1291"/>
      <c r="AF1291" s="447"/>
      <c r="AG1291"/>
      <c r="AH1291"/>
      <c r="AI1291" s="447"/>
      <c r="AJ1291"/>
      <c r="AK1291"/>
      <c r="AL1291" s="447"/>
      <c r="AM1291"/>
      <c r="AN1291"/>
      <c r="AO1291" s="447"/>
      <c r="AP1291"/>
      <c r="AQ1291"/>
      <c r="AS1291"/>
      <c r="AT1291" s="447"/>
      <c r="AU1291"/>
      <c r="AV1291"/>
      <c r="AW1291" s="447"/>
      <c r="AX1291"/>
      <c r="AY1291"/>
      <c r="AZ1291" s="447"/>
      <c r="BA1291"/>
      <c r="BB1291"/>
      <c r="BC1291" s="447"/>
      <c r="BD1291"/>
      <c r="BE1291"/>
    </row>
    <row r="1292" spans="4:57">
      <c r="D1292" s="447"/>
      <c r="G1292" s="447"/>
      <c r="J1292" s="447"/>
      <c r="M1292" s="447"/>
      <c r="R1292" s="447"/>
      <c r="S1292"/>
      <c r="T1292"/>
      <c r="U1292" s="447"/>
      <c r="V1292"/>
      <c r="W1292"/>
      <c r="X1292" s="447"/>
      <c r="Y1292"/>
      <c r="Z1292"/>
      <c r="AA1292" s="447"/>
      <c r="AB1292"/>
      <c r="AC1292"/>
      <c r="AE1292"/>
      <c r="AF1292" s="447"/>
      <c r="AG1292"/>
      <c r="AH1292"/>
      <c r="AI1292" s="447"/>
      <c r="AJ1292"/>
      <c r="AK1292"/>
      <c r="AL1292" s="447"/>
      <c r="AM1292"/>
      <c r="AN1292"/>
      <c r="AO1292" s="447"/>
      <c r="AP1292"/>
      <c r="AQ1292"/>
      <c r="AS1292"/>
      <c r="AT1292" s="447"/>
      <c r="AU1292"/>
      <c r="AV1292"/>
      <c r="AW1292" s="447"/>
      <c r="AX1292"/>
      <c r="AY1292"/>
      <c r="AZ1292" s="447"/>
      <c r="BA1292"/>
      <c r="BB1292"/>
      <c r="BC1292" s="447"/>
      <c r="BD1292"/>
      <c r="BE1292"/>
    </row>
    <row r="1293" spans="4:57">
      <c r="D1293" s="447"/>
      <c r="G1293" s="447"/>
      <c r="J1293" s="447"/>
      <c r="M1293" s="447"/>
      <c r="R1293" s="447"/>
      <c r="S1293"/>
      <c r="T1293"/>
      <c r="U1293" s="447"/>
      <c r="V1293"/>
      <c r="W1293"/>
      <c r="X1293" s="447"/>
      <c r="Y1293"/>
      <c r="Z1293"/>
      <c r="AA1293" s="447"/>
      <c r="AB1293"/>
      <c r="AC1293"/>
      <c r="AE1293"/>
      <c r="AF1293" s="447"/>
      <c r="AG1293"/>
      <c r="AH1293"/>
      <c r="AI1293" s="447"/>
      <c r="AJ1293"/>
      <c r="AK1293"/>
      <c r="AL1293" s="447"/>
      <c r="AM1293"/>
      <c r="AN1293"/>
      <c r="AO1293" s="447"/>
      <c r="AP1293"/>
      <c r="AQ1293"/>
      <c r="AS1293"/>
      <c r="AT1293" s="447"/>
      <c r="AU1293"/>
      <c r="AV1293"/>
      <c r="AW1293" s="447"/>
      <c r="AX1293"/>
      <c r="AY1293"/>
      <c r="AZ1293" s="447"/>
      <c r="BA1293"/>
      <c r="BB1293"/>
      <c r="BC1293" s="447"/>
      <c r="BD1293"/>
      <c r="BE1293"/>
    </row>
    <row r="1294" spans="4:57">
      <c r="D1294" s="447"/>
      <c r="G1294" s="447"/>
      <c r="J1294" s="447"/>
      <c r="M1294" s="447"/>
      <c r="R1294" s="447"/>
      <c r="S1294"/>
      <c r="T1294"/>
      <c r="U1294" s="447"/>
      <c r="V1294"/>
      <c r="W1294"/>
      <c r="X1294" s="447"/>
      <c r="Y1294"/>
      <c r="Z1294"/>
      <c r="AA1294" s="447"/>
      <c r="AB1294"/>
      <c r="AC1294"/>
      <c r="AE1294"/>
      <c r="AF1294" s="447"/>
      <c r="AG1294"/>
      <c r="AH1294"/>
      <c r="AI1294" s="447"/>
      <c r="AJ1294"/>
      <c r="AK1294"/>
      <c r="AL1294" s="447"/>
      <c r="AM1294"/>
      <c r="AN1294"/>
      <c r="AO1294" s="447"/>
      <c r="AP1294"/>
      <c r="AQ1294"/>
      <c r="AS1294"/>
      <c r="AT1294" s="447"/>
      <c r="AU1294"/>
      <c r="AV1294"/>
      <c r="AW1294" s="447"/>
      <c r="AX1294"/>
      <c r="AY1294"/>
      <c r="AZ1294" s="447"/>
      <c r="BA1294"/>
      <c r="BB1294"/>
      <c r="BC1294" s="447"/>
      <c r="BD1294"/>
      <c r="BE1294"/>
    </row>
    <row r="1295" spans="4:57">
      <c r="D1295" s="447"/>
      <c r="G1295" s="447"/>
      <c r="J1295" s="447"/>
      <c r="M1295" s="447"/>
      <c r="R1295" s="447"/>
      <c r="S1295"/>
      <c r="T1295"/>
      <c r="U1295" s="447"/>
      <c r="V1295"/>
      <c r="W1295"/>
      <c r="X1295" s="447"/>
      <c r="Y1295"/>
      <c r="Z1295"/>
      <c r="AA1295" s="447"/>
      <c r="AB1295"/>
      <c r="AC1295"/>
      <c r="AE1295"/>
      <c r="AF1295" s="447"/>
      <c r="AG1295"/>
      <c r="AH1295"/>
      <c r="AI1295" s="447"/>
      <c r="AJ1295"/>
      <c r="AK1295"/>
      <c r="AL1295" s="447"/>
      <c r="AM1295"/>
      <c r="AN1295"/>
      <c r="AO1295" s="447"/>
      <c r="AP1295"/>
      <c r="AQ1295"/>
      <c r="AS1295"/>
      <c r="AT1295" s="447"/>
      <c r="AU1295"/>
      <c r="AV1295"/>
      <c r="AW1295" s="447"/>
      <c r="AX1295"/>
      <c r="AY1295"/>
      <c r="AZ1295" s="447"/>
      <c r="BA1295"/>
      <c r="BB1295"/>
      <c r="BC1295" s="447"/>
      <c r="BD1295"/>
      <c r="BE1295"/>
    </row>
    <row r="1296" spans="4:57">
      <c r="D1296" s="447"/>
      <c r="G1296" s="447"/>
      <c r="J1296" s="447"/>
      <c r="M1296" s="447"/>
      <c r="R1296" s="447"/>
      <c r="S1296"/>
      <c r="T1296"/>
      <c r="U1296" s="447"/>
      <c r="V1296"/>
      <c r="W1296"/>
      <c r="X1296" s="447"/>
      <c r="Y1296"/>
      <c r="Z1296"/>
      <c r="AA1296" s="447"/>
      <c r="AB1296"/>
      <c r="AC1296"/>
      <c r="AE1296"/>
      <c r="AF1296" s="447"/>
      <c r="AG1296"/>
      <c r="AH1296"/>
      <c r="AI1296" s="447"/>
      <c r="AJ1296"/>
      <c r="AK1296"/>
      <c r="AL1296" s="447"/>
      <c r="AM1296"/>
      <c r="AN1296"/>
      <c r="AO1296" s="447"/>
      <c r="AP1296"/>
      <c r="AQ1296"/>
      <c r="AS1296"/>
      <c r="AT1296" s="447"/>
      <c r="AU1296"/>
      <c r="AV1296"/>
      <c r="AW1296" s="447"/>
      <c r="AX1296"/>
      <c r="AY1296"/>
      <c r="AZ1296" s="447"/>
      <c r="BA1296"/>
      <c r="BB1296"/>
      <c r="BC1296" s="447"/>
      <c r="BD1296"/>
      <c r="BE1296"/>
    </row>
    <row r="1297" spans="4:57">
      <c r="D1297" s="447"/>
      <c r="G1297" s="447"/>
      <c r="J1297" s="447"/>
      <c r="M1297" s="447"/>
      <c r="R1297" s="447"/>
      <c r="S1297"/>
      <c r="T1297"/>
      <c r="U1297" s="447"/>
      <c r="V1297"/>
      <c r="W1297"/>
      <c r="X1297" s="447"/>
      <c r="Y1297"/>
      <c r="Z1297"/>
      <c r="AA1297" s="447"/>
      <c r="AB1297"/>
      <c r="AC1297"/>
      <c r="AE1297"/>
      <c r="AF1297" s="447"/>
      <c r="AG1297"/>
      <c r="AH1297"/>
      <c r="AI1297" s="447"/>
      <c r="AJ1297"/>
      <c r="AK1297"/>
      <c r="AL1297" s="447"/>
      <c r="AM1297"/>
      <c r="AN1297"/>
      <c r="AO1297" s="447"/>
      <c r="AP1297"/>
      <c r="AQ1297"/>
      <c r="AS1297"/>
      <c r="AT1297" s="447"/>
      <c r="AU1297"/>
      <c r="AV1297"/>
      <c r="AW1297" s="447"/>
      <c r="AX1297"/>
      <c r="AY1297"/>
      <c r="AZ1297" s="447"/>
      <c r="BA1297"/>
      <c r="BB1297"/>
      <c r="BC1297" s="447"/>
      <c r="BD1297"/>
      <c r="BE1297"/>
    </row>
    <row r="1298" spans="4:57">
      <c r="D1298" s="447"/>
      <c r="G1298" s="447"/>
      <c r="J1298" s="447"/>
      <c r="M1298" s="447"/>
      <c r="R1298" s="447"/>
      <c r="S1298"/>
      <c r="T1298"/>
      <c r="U1298" s="447"/>
      <c r="V1298"/>
      <c r="W1298"/>
      <c r="X1298" s="447"/>
      <c r="Y1298"/>
      <c r="Z1298"/>
      <c r="AA1298" s="447"/>
      <c r="AB1298"/>
      <c r="AC1298"/>
      <c r="AE1298"/>
      <c r="AF1298" s="447"/>
      <c r="AG1298"/>
      <c r="AH1298"/>
      <c r="AI1298" s="447"/>
      <c r="AJ1298"/>
      <c r="AK1298"/>
      <c r="AL1298" s="447"/>
      <c r="AM1298"/>
      <c r="AN1298"/>
      <c r="AO1298" s="447"/>
      <c r="AP1298"/>
      <c r="AQ1298"/>
      <c r="AS1298"/>
      <c r="AT1298" s="447"/>
      <c r="AU1298"/>
      <c r="AV1298"/>
      <c r="AW1298" s="447"/>
      <c r="AX1298"/>
      <c r="AY1298"/>
      <c r="AZ1298" s="447"/>
      <c r="BA1298"/>
      <c r="BB1298"/>
      <c r="BC1298" s="447"/>
      <c r="BD1298"/>
      <c r="BE1298"/>
    </row>
    <row r="1299" spans="4:57">
      <c r="D1299" s="447"/>
      <c r="G1299" s="447"/>
      <c r="J1299" s="447"/>
      <c r="M1299" s="447"/>
      <c r="R1299" s="447"/>
      <c r="S1299"/>
      <c r="T1299"/>
      <c r="U1299" s="447"/>
      <c r="V1299"/>
      <c r="W1299"/>
      <c r="X1299" s="447"/>
      <c r="Y1299"/>
      <c r="Z1299"/>
      <c r="AA1299" s="447"/>
      <c r="AB1299"/>
      <c r="AC1299"/>
      <c r="AE1299"/>
      <c r="AF1299" s="447"/>
      <c r="AG1299"/>
      <c r="AH1299"/>
      <c r="AI1299" s="447"/>
      <c r="AJ1299"/>
      <c r="AK1299"/>
      <c r="AL1299" s="447"/>
      <c r="AM1299"/>
      <c r="AN1299"/>
      <c r="AO1299" s="447"/>
      <c r="AP1299"/>
      <c r="AQ1299"/>
      <c r="AS1299"/>
      <c r="AT1299" s="447"/>
      <c r="AU1299"/>
      <c r="AV1299"/>
      <c r="AW1299" s="447"/>
      <c r="AX1299"/>
      <c r="AY1299"/>
      <c r="AZ1299" s="447"/>
      <c r="BA1299"/>
      <c r="BB1299"/>
      <c r="BC1299" s="447"/>
      <c r="BD1299"/>
      <c r="BE1299"/>
    </row>
    <row r="1300" spans="4:57">
      <c r="D1300" s="447"/>
      <c r="G1300" s="447"/>
      <c r="J1300" s="447"/>
      <c r="M1300" s="447"/>
      <c r="R1300" s="447"/>
      <c r="S1300"/>
      <c r="T1300"/>
      <c r="U1300" s="447"/>
      <c r="V1300"/>
      <c r="W1300"/>
      <c r="X1300" s="447"/>
      <c r="Y1300"/>
      <c r="Z1300"/>
      <c r="AA1300" s="447"/>
      <c r="AB1300"/>
      <c r="AC1300"/>
      <c r="AE1300"/>
      <c r="AF1300" s="447"/>
      <c r="AG1300"/>
      <c r="AH1300"/>
      <c r="AI1300" s="447"/>
      <c r="AJ1300"/>
      <c r="AK1300"/>
      <c r="AL1300" s="447"/>
      <c r="AM1300"/>
      <c r="AN1300"/>
      <c r="AO1300" s="447"/>
      <c r="AP1300"/>
      <c r="AQ1300"/>
      <c r="AS1300"/>
      <c r="AT1300" s="447"/>
      <c r="AU1300"/>
      <c r="AV1300"/>
      <c r="AW1300" s="447"/>
      <c r="AX1300"/>
      <c r="AY1300"/>
      <c r="AZ1300" s="447"/>
      <c r="BA1300"/>
      <c r="BB1300"/>
      <c r="BC1300" s="447"/>
      <c r="BD1300"/>
      <c r="BE1300"/>
    </row>
    <row r="1301" spans="4:57">
      <c r="D1301" s="447"/>
      <c r="G1301" s="447"/>
      <c r="J1301" s="447"/>
      <c r="M1301" s="447"/>
      <c r="R1301" s="447"/>
      <c r="S1301"/>
      <c r="T1301"/>
      <c r="U1301" s="447"/>
      <c r="V1301"/>
      <c r="W1301"/>
      <c r="X1301" s="447"/>
      <c r="Y1301"/>
      <c r="Z1301"/>
      <c r="AA1301" s="447"/>
      <c r="AB1301"/>
      <c r="AC1301"/>
      <c r="AE1301"/>
      <c r="AF1301" s="447"/>
      <c r="AG1301"/>
      <c r="AH1301"/>
      <c r="AI1301" s="447"/>
      <c r="AJ1301"/>
      <c r="AK1301"/>
      <c r="AL1301" s="447"/>
      <c r="AM1301"/>
      <c r="AN1301"/>
      <c r="AO1301" s="447"/>
      <c r="AP1301"/>
      <c r="AQ1301"/>
      <c r="AS1301"/>
      <c r="AT1301" s="447"/>
      <c r="AU1301"/>
      <c r="AV1301"/>
      <c r="AW1301" s="447"/>
      <c r="AX1301"/>
      <c r="AY1301"/>
      <c r="AZ1301" s="447"/>
      <c r="BA1301"/>
      <c r="BB1301"/>
      <c r="BC1301" s="447"/>
      <c r="BD1301"/>
      <c r="BE1301"/>
    </row>
    <row r="1302" spans="4:57">
      <c r="D1302" s="447"/>
      <c r="G1302" s="447"/>
      <c r="J1302" s="447"/>
      <c r="M1302" s="447"/>
      <c r="R1302" s="447"/>
      <c r="S1302"/>
      <c r="T1302"/>
      <c r="U1302" s="447"/>
      <c r="V1302"/>
      <c r="W1302"/>
      <c r="X1302" s="447"/>
      <c r="Y1302"/>
      <c r="Z1302"/>
      <c r="AA1302" s="447"/>
      <c r="AB1302"/>
      <c r="AC1302"/>
      <c r="AE1302"/>
      <c r="AF1302" s="447"/>
      <c r="AG1302"/>
      <c r="AH1302"/>
      <c r="AI1302" s="447"/>
      <c r="AJ1302"/>
      <c r="AK1302"/>
      <c r="AL1302" s="447"/>
      <c r="AM1302"/>
      <c r="AN1302"/>
      <c r="AO1302" s="447"/>
      <c r="AP1302"/>
      <c r="AQ1302"/>
      <c r="AS1302"/>
      <c r="AT1302" s="447"/>
      <c r="AU1302"/>
      <c r="AV1302"/>
      <c r="AW1302" s="447"/>
      <c r="AX1302"/>
      <c r="AY1302"/>
      <c r="AZ1302" s="447"/>
      <c r="BA1302"/>
      <c r="BB1302"/>
      <c r="BC1302" s="447"/>
      <c r="BD1302"/>
      <c r="BE1302"/>
    </row>
    <row r="1303" spans="4:57">
      <c r="D1303" s="447"/>
      <c r="G1303" s="447"/>
      <c r="J1303" s="447"/>
      <c r="M1303" s="447"/>
      <c r="R1303" s="447"/>
      <c r="S1303"/>
      <c r="T1303"/>
      <c r="U1303" s="447"/>
      <c r="V1303"/>
      <c r="W1303"/>
      <c r="X1303" s="447"/>
      <c r="Y1303"/>
      <c r="Z1303"/>
      <c r="AA1303" s="447"/>
      <c r="AB1303"/>
      <c r="AC1303"/>
      <c r="AE1303"/>
      <c r="AF1303" s="447"/>
      <c r="AG1303"/>
      <c r="AH1303"/>
      <c r="AI1303" s="447"/>
      <c r="AJ1303"/>
      <c r="AK1303"/>
      <c r="AL1303" s="447"/>
      <c r="AM1303"/>
      <c r="AN1303"/>
      <c r="AO1303" s="447"/>
      <c r="AP1303"/>
      <c r="AQ1303"/>
      <c r="AS1303"/>
      <c r="AT1303" s="447"/>
      <c r="AU1303"/>
      <c r="AV1303"/>
      <c r="AW1303" s="447"/>
      <c r="AX1303"/>
      <c r="AY1303"/>
      <c r="AZ1303" s="447"/>
      <c r="BA1303"/>
      <c r="BB1303"/>
      <c r="BC1303" s="447"/>
      <c r="BD1303"/>
      <c r="BE1303"/>
    </row>
    <row r="1304" spans="4:57">
      <c r="D1304" s="447"/>
      <c r="G1304" s="447"/>
      <c r="J1304" s="447"/>
      <c r="M1304" s="447"/>
      <c r="R1304" s="447"/>
      <c r="S1304"/>
      <c r="T1304"/>
      <c r="U1304" s="447"/>
      <c r="V1304"/>
      <c r="W1304"/>
      <c r="X1304" s="447"/>
      <c r="Y1304"/>
      <c r="Z1304"/>
      <c r="AA1304" s="447"/>
      <c r="AB1304"/>
      <c r="AC1304"/>
      <c r="AE1304"/>
      <c r="AF1304" s="447"/>
      <c r="AG1304"/>
      <c r="AH1304"/>
      <c r="AI1304" s="447"/>
      <c r="AJ1304"/>
      <c r="AK1304"/>
      <c r="AL1304" s="447"/>
      <c r="AM1304"/>
      <c r="AN1304"/>
      <c r="AO1304" s="447"/>
      <c r="AP1304"/>
      <c r="AQ1304"/>
      <c r="AS1304"/>
      <c r="AT1304" s="447"/>
      <c r="AU1304"/>
      <c r="AV1304"/>
      <c r="AW1304" s="447"/>
      <c r="AX1304"/>
      <c r="AY1304"/>
      <c r="AZ1304" s="447"/>
      <c r="BA1304"/>
      <c r="BB1304"/>
      <c r="BC1304" s="447"/>
      <c r="BD1304"/>
      <c r="BE1304"/>
    </row>
    <row r="1305" spans="4:57">
      <c r="D1305" s="447"/>
      <c r="G1305" s="447"/>
      <c r="J1305" s="447"/>
      <c r="M1305" s="447"/>
      <c r="R1305" s="447"/>
      <c r="S1305"/>
      <c r="T1305"/>
      <c r="U1305" s="447"/>
      <c r="V1305"/>
      <c r="W1305"/>
      <c r="X1305" s="447"/>
      <c r="Y1305"/>
      <c r="Z1305"/>
      <c r="AA1305" s="447"/>
      <c r="AB1305"/>
      <c r="AC1305"/>
      <c r="AE1305"/>
      <c r="AF1305" s="447"/>
      <c r="AG1305"/>
      <c r="AH1305"/>
      <c r="AI1305" s="447"/>
      <c r="AJ1305"/>
      <c r="AK1305"/>
      <c r="AL1305" s="447"/>
      <c r="AM1305"/>
      <c r="AN1305"/>
      <c r="AO1305" s="447"/>
      <c r="AP1305"/>
      <c r="AQ1305"/>
      <c r="AS1305"/>
      <c r="AT1305" s="447"/>
      <c r="AU1305"/>
      <c r="AV1305"/>
      <c r="AW1305" s="447"/>
      <c r="AX1305"/>
      <c r="AY1305"/>
      <c r="AZ1305" s="447"/>
      <c r="BA1305"/>
      <c r="BB1305"/>
      <c r="BC1305" s="447"/>
      <c r="BD1305"/>
      <c r="BE1305"/>
    </row>
    <row r="1306" spans="4:57">
      <c r="D1306" s="447"/>
      <c r="G1306" s="447"/>
      <c r="J1306" s="447"/>
      <c r="M1306" s="447"/>
      <c r="R1306" s="447"/>
      <c r="S1306"/>
      <c r="T1306"/>
      <c r="U1306" s="447"/>
      <c r="V1306"/>
      <c r="W1306"/>
      <c r="X1306" s="447"/>
      <c r="Y1306"/>
      <c r="Z1306"/>
      <c r="AA1306" s="447"/>
      <c r="AB1306"/>
      <c r="AC1306"/>
      <c r="AE1306"/>
      <c r="AF1306" s="447"/>
      <c r="AG1306"/>
      <c r="AH1306"/>
      <c r="AI1306" s="447"/>
      <c r="AJ1306"/>
      <c r="AK1306"/>
      <c r="AL1306" s="447"/>
      <c r="AM1306"/>
      <c r="AN1306"/>
      <c r="AO1306" s="447"/>
      <c r="AP1306"/>
      <c r="AQ1306"/>
      <c r="AS1306"/>
      <c r="AT1306" s="447"/>
      <c r="AU1306"/>
      <c r="AV1306"/>
      <c r="AW1306" s="447"/>
      <c r="AX1306"/>
      <c r="AY1306"/>
      <c r="AZ1306" s="447"/>
      <c r="BA1306"/>
      <c r="BB1306"/>
      <c r="BC1306" s="447"/>
      <c r="BD1306"/>
      <c r="BE1306"/>
    </row>
    <row r="1307" spans="4:57">
      <c r="D1307" s="447"/>
      <c r="G1307" s="447"/>
      <c r="J1307" s="447"/>
      <c r="M1307" s="447"/>
      <c r="R1307" s="447"/>
      <c r="S1307"/>
      <c r="T1307"/>
      <c r="U1307" s="447"/>
      <c r="V1307"/>
      <c r="W1307"/>
      <c r="X1307" s="447"/>
      <c r="Y1307"/>
      <c r="Z1307"/>
      <c r="AA1307" s="447"/>
      <c r="AB1307"/>
      <c r="AC1307"/>
      <c r="AE1307"/>
      <c r="AF1307" s="447"/>
      <c r="AG1307"/>
      <c r="AH1307"/>
      <c r="AI1307" s="447"/>
      <c r="AJ1307"/>
      <c r="AK1307"/>
      <c r="AL1307" s="447"/>
      <c r="AM1307"/>
      <c r="AN1307"/>
      <c r="AO1307" s="447"/>
      <c r="AP1307"/>
      <c r="AQ1307"/>
      <c r="AS1307"/>
      <c r="AT1307" s="447"/>
      <c r="AU1307"/>
      <c r="AV1307"/>
      <c r="AW1307" s="447"/>
      <c r="AX1307"/>
      <c r="AY1307"/>
      <c r="AZ1307" s="447"/>
      <c r="BA1307"/>
      <c r="BB1307"/>
      <c r="BC1307" s="447"/>
      <c r="BD1307"/>
      <c r="BE1307"/>
    </row>
    <row r="1308" spans="4:57">
      <c r="D1308" s="447"/>
      <c r="G1308" s="447"/>
      <c r="J1308" s="447"/>
      <c r="M1308" s="447"/>
      <c r="R1308" s="447"/>
      <c r="S1308"/>
      <c r="T1308"/>
      <c r="U1308" s="447"/>
      <c r="V1308"/>
      <c r="W1308"/>
      <c r="X1308" s="447"/>
      <c r="Y1308"/>
      <c r="Z1308"/>
      <c r="AA1308" s="447"/>
      <c r="AB1308"/>
      <c r="AC1308"/>
      <c r="AE1308"/>
      <c r="AF1308" s="447"/>
      <c r="AG1308"/>
      <c r="AH1308"/>
      <c r="AI1308" s="447"/>
      <c r="AJ1308"/>
      <c r="AK1308"/>
      <c r="AL1308" s="447"/>
      <c r="AM1308"/>
      <c r="AN1308"/>
      <c r="AO1308" s="447"/>
      <c r="AP1308"/>
      <c r="AQ1308"/>
      <c r="AS1308"/>
      <c r="AT1308" s="447"/>
      <c r="AU1308"/>
      <c r="AV1308"/>
      <c r="AW1308" s="447"/>
      <c r="AX1308"/>
      <c r="AY1308"/>
      <c r="AZ1308" s="447"/>
      <c r="BA1308"/>
      <c r="BB1308"/>
      <c r="BC1308" s="447"/>
      <c r="BD1308"/>
      <c r="BE1308"/>
    </row>
    <row r="1309" spans="4:57">
      <c r="D1309" s="447"/>
      <c r="G1309" s="447"/>
      <c r="J1309" s="447"/>
      <c r="M1309" s="447"/>
      <c r="R1309" s="447"/>
      <c r="S1309"/>
      <c r="T1309"/>
      <c r="U1309" s="447"/>
      <c r="V1309"/>
      <c r="W1309"/>
      <c r="X1309" s="447"/>
      <c r="Y1309"/>
      <c r="Z1309"/>
      <c r="AA1309" s="447"/>
      <c r="AB1309"/>
      <c r="AC1309"/>
      <c r="AE1309"/>
      <c r="AF1309" s="447"/>
      <c r="AG1309"/>
      <c r="AH1309"/>
      <c r="AI1309" s="447"/>
      <c r="AJ1309"/>
      <c r="AK1309"/>
      <c r="AL1309" s="447"/>
      <c r="AM1309"/>
      <c r="AN1309"/>
      <c r="AO1309" s="447"/>
      <c r="AP1309"/>
      <c r="AQ1309"/>
      <c r="AS1309"/>
      <c r="AT1309" s="447"/>
      <c r="AU1309"/>
      <c r="AV1309"/>
      <c r="AW1309" s="447"/>
      <c r="AX1309"/>
      <c r="AY1309"/>
      <c r="AZ1309" s="447"/>
      <c r="BA1309"/>
      <c r="BB1309"/>
      <c r="BC1309" s="447"/>
      <c r="BD1309"/>
      <c r="BE1309"/>
    </row>
    <row r="1310" spans="4:57">
      <c r="D1310" s="447"/>
      <c r="G1310" s="447"/>
      <c r="J1310" s="447"/>
      <c r="M1310" s="447"/>
      <c r="R1310" s="447"/>
      <c r="S1310"/>
      <c r="T1310"/>
      <c r="U1310" s="447"/>
      <c r="V1310"/>
      <c r="W1310"/>
      <c r="X1310" s="447"/>
      <c r="Y1310"/>
      <c r="Z1310"/>
      <c r="AA1310" s="447"/>
      <c r="AB1310"/>
      <c r="AC1310"/>
      <c r="AE1310"/>
      <c r="AF1310" s="447"/>
      <c r="AG1310"/>
      <c r="AH1310"/>
      <c r="AI1310" s="447"/>
      <c r="AJ1310"/>
      <c r="AK1310"/>
      <c r="AL1310" s="447"/>
      <c r="AM1310"/>
      <c r="AN1310"/>
      <c r="AO1310" s="447"/>
      <c r="AP1310"/>
      <c r="AQ1310"/>
      <c r="AS1310"/>
      <c r="AT1310" s="447"/>
      <c r="AU1310"/>
      <c r="AV1310"/>
      <c r="AW1310" s="447"/>
      <c r="AX1310"/>
      <c r="AY1310"/>
      <c r="AZ1310" s="447"/>
      <c r="BA1310"/>
      <c r="BB1310"/>
      <c r="BC1310" s="447"/>
      <c r="BD1310"/>
      <c r="BE1310"/>
    </row>
    <row r="1311" spans="4:57">
      <c r="D1311" s="447"/>
      <c r="G1311" s="447"/>
      <c r="J1311" s="447"/>
      <c r="M1311" s="447"/>
      <c r="R1311" s="447"/>
      <c r="S1311"/>
      <c r="T1311"/>
      <c r="U1311" s="447"/>
      <c r="V1311"/>
      <c r="W1311"/>
      <c r="X1311" s="447"/>
      <c r="Y1311"/>
      <c r="Z1311"/>
      <c r="AA1311" s="447"/>
      <c r="AB1311"/>
      <c r="AC1311"/>
      <c r="AE1311"/>
      <c r="AF1311" s="447"/>
      <c r="AG1311"/>
      <c r="AH1311"/>
      <c r="AI1311" s="447"/>
      <c r="AJ1311"/>
      <c r="AK1311"/>
      <c r="AL1311" s="447"/>
      <c r="AM1311"/>
      <c r="AN1311"/>
      <c r="AO1311" s="447"/>
      <c r="AP1311"/>
      <c r="AQ1311"/>
      <c r="AS1311"/>
      <c r="AT1311" s="447"/>
      <c r="AU1311"/>
      <c r="AV1311"/>
      <c r="AW1311" s="447"/>
      <c r="AX1311"/>
      <c r="AY1311"/>
      <c r="AZ1311" s="447"/>
      <c r="BA1311"/>
      <c r="BB1311"/>
      <c r="BC1311" s="447"/>
      <c r="BD1311"/>
      <c r="BE1311"/>
    </row>
    <row r="1312" spans="4:57">
      <c r="D1312" s="447"/>
      <c r="G1312" s="447"/>
      <c r="J1312" s="447"/>
      <c r="M1312" s="447"/>
      <c r="R1312" s="447"/>
      <c r="S1312"/>
      <c r="T1312"/>
      <c r="U1312" s="447"/>
      <c r="V1312"/>
      <c r="W1312"/>
      <c r="X1312" s="447"/>
      <c r="Y1312"/>
      <c r="Z1312"/>
      <c r="AA1312" s="447"/>
      <c r="AB1312"/>
      <c r="AC1312"/>
      <c r="AE1312"/>
      <c r="AF1312" s="447"/>
      <c r="AG1312"/>
      <c r="AH1312"/>
      <c r="AI1312" s="447"/>
      <c r="AJ1312"/>
      <c r="AK1312"/>
      <c r="AL1312" s="447"/>
      <c r="AM1312"/>
      <c r="AN1312"/>
      <c r="AO1312" s="447"/>
      <c r="AP1312"/>
      <c r="AQ1312"/>
      <c r="AS1312"/>
      <c r="AT1312" s="447"/>
      <c r="AU1312"/>
      <c r="AV1312"/>
      <c r="AW1312" s="447"/>
      <c r="AX1312"/>
      <c r="AY1312"/>
      <c r="AZ1312" s="447"/>
      <c r="BA1312"/>
      <c r="BB1312"/>
      <c r="BC1312" s="447"/>
      <c r="BD1312"/>
      <c r="BE1312"/>
    </row>
    <row r="1313" spans="4:57">
      <c r="D1313" s="447"/>
      <c r="G1313" s="447"/>
      <c r="J1313" s="447"/>
      <c r="M1313" s="447"/>
      <c r="R1313" s="447"/>
      <c r="S1313"/>
      <c r="T1313"/>
      <c r="U1313" s="447"/>
      <c r="V1313"/>
      <c r="W1313"/>
      <c r="X1313" s="447"/>
      <c r="Y1313"/>
      <c r="Z1313"/>
      <c r="AA1313" s="447"/>
      <c r="AB1313"/>
      <c r="AC1313"/>
      <c r="AE1313"/>
      <c r="AF1313" s="447"/>
      <c r="AG1313"/>
      <c r="AH1313"/>
      <c r="AI1313" s="447"/>
      <c r="AJ1313"/>
      <c r="AK1313"/>
      <c r="AL1313" s="447"/>
      <c r="AM1313"/>
      <c r="AN1313"/>
      <c r="AO1313" s="447"/>
      <c r="AP1313"/>
      <c r="AQ1313"/>
      <c r="AS1313"/>
      <c r="AT1313" s="447"/>
      <c r="AU1313"/>
      <c r="AV1313"/>
      <c r="AW1313" s="447"/>
      <c r="AX1313"/>
      <c r="AY1313"/>
      <c r="AZ1313" s="447"/>
      <c r="BA1313"/>
      <c r="BB1313"/>
      <c r="BC1313" s="447"/>
      <c r="BD1313"/>
      <c r="BE1313"/>
    </row>
    <row r="1314" spans="4:57">
      <c r="D1314" s="447"/>
      <c r="G1314" s="447"/>
      <c r="J1314" s="447"/>
      <c r="M1314" s="447"/>
      <c r="R1314" s="447"/>
      <c r="S1314"/>
      <c r="T1314"/>
      <c r="U1314" s="447"/>
      <c r="V1314"/>
      <c r="W1314"/>
      <c r="X1314" s="447"/>
      <c r="Y1314"/>
      <c r="Z1314"/>
      <c r="AA1314" s="447"/>
      <c r="AB1314"/>
      <c r="AC1314"/>
      <c r="AE1314"/>
      <c r="AF1314" s="447"/>
      <c r="AG1314"/>
      <c r="AH1314"/>
      <c r="AI1314" s="447"/>
      <c r="AJ1314"/>
      <c r="AK1314"/>
      <c r="AL1314" s="447"/>
      <c r="AM1314"/>
      <c r="AN1314"/>
      <c r="AO1314" s="447"/>
      <c r="AP1314"/>
      <c r="AQ1314"/>
      <c r="AS1314"/>
      <c r="AT1314" s="447"/>
      <c r="AU1314"/>
      <c r="AV1314"/>
      <c r="AW1314" s="447"/>
      <c r="AX1314"/>
      <c r="AY1314"/>
      <c r="AZ1314" s="447"/>
      <c r="BA1314"/>
      <c r="BB1314"/>
      <c r="BC1314" s="447"/>
      <c r="BD1314"/>
      <c r="BE1314"/>
    </row>
    <row r="1315" spans="4:57">
      <c r="D1315" s="447"/>
      <c r="G1315" s="447"/>
      <c r="J1315" s="447"/>
      <c r="M1315" s="447"/>
      <c r="R1315" s="447"/>
      <c r="S1315"/>
      <c r="T1315"/>
      <c r="U1315" s="447"/>
      <c r="V1315"/>
      <c r="W1315"/>
      <c r="X1315" s="447"/>
      <c r="Y1315"/>
      <c r="Z1315"/>
      <c r="AA1315" s="447"/>
      <c r="AB1315"/>
      <c r="AC1315"/>
      <c r="AE1315"/>
      <c r="AF1315" s="447"/>
      <c r="AG1315"/>
      <c r="AH1315"/>
      <c r="AI1315" s="447"/>
      <c r="AJ1315"/>
      <c r="AK1315"/>
      <c r="AL1315" s="447"/>
      <c r="AM1315"/>
      <c r="AN1315"/>
      <c r="AO1315" s="447"/>
      <c r="AP1315"/>
      <c r="AQ1315"/>
      <c r="AS1315"/>
      <c r="AT1315" s="447"/>
      <c r="AU1315"/>
      <c r="AV1315"/>
      <c r="AW1315" s="447"/>
      <c r="AX1315"/>
      <c r="AY1315"/>
      <c r="AZ1315" s="447"/>
      <c r="BA1315"/>
      <c r="BB1315"/>
      <c r="BC1315" s="447"/>
      <c r="BD1315"/>
      <c r="BE1315"/>
    </row>
    <row r="1316" spans="4:57">
      <c r="D1316" s="447"/>
      <c r="G1316" s="447"/>
      <c r="J1316" s="447"/>
      <c r="M1316" s="447"/>
      <c r="R1316" s="447"/>
      <c r="S1316"/>
      <c r="T1316"/>
      <c r="U1316" s="447"/>
      <c r="V1316"/>
      <c r="W1316"/>
      <c r="X1316" s="447"/>
      <c r="Y1316"/>
      <c r="Z1316"/>
      <c r="AA1316" s="447"/>
      <c r="AB1316"/>
      <c r="AC1316"/>
      <c r="AE1316"/>
      <c r="AF1316" s="447"/>
      <c r="AG1316"/>
      <c r="AH1316"/>
      <c r="AI1316" s="447"/>
      <c r="AJ1316"/>
      <c r="AK1316"/>
      <c r="AL1316" s="447"/>
      <c r="AM1316"/>
      <c r="AN1316"/>
      <c r="AO1316" s="447"/>
      <c r="AP1316"/>
      <c r="AQ1316"/>
      <c r="AS1316"/>
      <c r="AT1316" s="447"/>
      <c r="AU1316"/>
      <c r="AV1316"/>
      <c r="AW1316" s="447"/>
      <c r="AX1316"/>
      <c r="AY1316"/>
      <c r="AZ1316" s="447"/>
      <c r="BA1316"/>
      <c r="BB1316"/>
      <c r="BC1316" s="447"/>
      <c r="BD1316"/>
      <c r="BE1316"/>
    </row>
    <row r="1317" spans="4:57">
      <c r="D1317" s="447"/>
      <c r="G1317" s="447"/>
      <c r="J1317" s="447"/>
      <c r="M1317" s="447"/>
      <c r="R1317" s="447"/>
      <c r="S1317"/>
      <c r="T1317"/>
      <c r="U1317" s="447"/>
      <c r="V1317"/>
      <c r="W1317"/>
      <c r="X1317" s="447"/>
      <c r="Y1317"/>
      <c r="Z1317"/>
      <c r="AA1317" s="447"/>
      <c r="AB1317"/>
      <c r="AC1317"/>
      <c r="AE1317"/>
      <c r="AF1317" s="447"/>
      <c r="AG1317"/>
      <c r="AH1317"/>
      <c r="AI1317" s="447"/>
      <c r="AJ1317"/>
      <c r="AK1317"/>
      <c r="AL1317" s="447"/>
      <c r="AM1317"/>
      <c r="AN1317"/>
      <c r="AO1317" s="447"/>
      <c r="AP1317"/>
      <c r="AQ1317"/>
      <c r="AS1317"/>
      <c r="AT1317" s="447"/>
      <c r="AU1317"/>
      <c r="AV1317"/>
      <c r="AW1317" s="447"/>
      <c r="AX1317"/>
      <c r="AY1317"/>
      <c r="AZ1317" s="447"/>
      <c r="BA1317"/>
      <c r="BB1317"/>
      <c r="BC1317" s="447"/>
      <c r="BD1317"/>
      <c r="BE1317"/>
    </row>
    <row r="1318" spans="4:57">
      <c r="D1318" s="447"/>
      <c r="G1318" s="447"/>
      <c r="J1318" s="447"/>
      <c r="M1318" s="447"/>
      <c r="R1318" s="447"/>
      <c r="S1318"/>
      <c r="T1318"/>
      <c r="U1318" s="447"/>
      <c r="V1318"/>
      <c r="W1318"/>
      <c r="X1318" s="447"/>
      <c r="Y1318"/>
      <c r="Z1318"/>
      <c r="AA1318" s="447"/>
      <c r="AB1318"/>
      <c r="AC1318"/>
      <c r="AE1318"/>
      <c r="AF1318" s="447"/>
      <c r="AG1318"/>
      <c r="AH1318"/>
      <c r="AI1318" s="447"/>
      <c r="AJ1318"/>
      <c r="AK1318"/>
      <c r="AL1318" s="447"/>
      <c r="AM1318"/>
      <c r="AN1318"/>
      <c r="AO1318" s="447"/>
      <c r="AP1318"/>
      <c r="AQ1318"/>
      <c r="AS1318"/>
      <c r="AT1318" s="447"/>
      <c r="AU1318"/>
      <c r="AV1318"/>
      <c r="AW1318" s="447"/>
      <c r="AX1318"/>
      <c r="AY1318"/>
      <c r="AZ1318" s="447"/>
      <c r="BA1318"/>
      <c r="BB1318"/>
      <c r="BC1318" s="447"/>
      <c r="BD1318"/>
      <c r="BE1318"/>
    </row>
    <row r="1319" spans="4:57">
      <c r="D1319" s="447"/>
      <c r="G1319" s="447"/>
      <c r="J1319" s="447"/>
      <c r="M1319" s="447"/>
      <c r="R1319" s="447"/>
      <c r="S1319"/>
      <c r="T1319"/>
      <c r="U1319" s="447"/>
      <c r="V1319"/>
      <c r="W1319"/>
      <c r="X1319" s="447"/>
      <c r="Y1319"/>
      <c r="Z1319"/>
      <c r="AA1319" s="447"/>
      <c r="AB1319"/>
      <c r="AC1319"/>
      <c r="AE1319"/>
      <c r="AF1319" s="447"/>
      <c r="AG1319"/>
      <c r="AH1319"/>
      <c r="AI1319" s="447"/>
      <c r="AJ1319"/>
      <c r="AK1319"/>
      <c r="AL1319" s="447"/>
      <c r="AM1319"/>
      <c r="AN1319"/>
      <c r="AO1319" s="447"/>
      <c r="AP1319"/>
      <c r="AQ1319"/>
      <c r="AS1319"/>
      <c r="AT1319" s="447"/>
      <c r="AU1319"/>
      <c r="AV1319"/>
      <c r="AW1319" s="447"/>
      <c r="AX1319"/>
      <c r="AY1319"/>
      <c r="AZ1319" s="447"/>
      <c r="BA1319"/>
      <c r="BB1319"/>
      <c r="BC1319" s="447"/>
      <c r="BD1319"/>
      <c r="BE1319"/>
    </row>
    <row r="1320" spans="4:57">
      <c r="D1320" s="447"/>
      <c r="G1320" s="447"/>
      <c r="J1320" s="447"/>
      <c r="M1320" s="447"/>
      <c r="R1320" s="447"/>
      <c r="S1320"/>
      <c r="T1320"/>
      <c r="U1320" s="447"/>
      <c r="V1320"/>
      <c r="W1320"/>
      <c r="X1320" s="447"/>
      <c r="Y1320"/>
      <c r="Z1320"/>
      <c r="AA1320" s="447"/>
      <c r="AB1320"/>
      <c r="AC1320"/>
      <c r="AE1320"/>
      <c r="AF1320" s="447"/>
      <c r="AG1320"/>
      <c r="AH1320"/>
      <c r="AI1320" s="447"/>
      <c r="AJ1320"/>
      <c r="AK1320"/>
      <c r="AL1320" s="447"/>
      <c r="AM1320"/>
      <c r="AN1320"/>
      <c r="AO1320" s="447"/>
      <c r="AP1320"/>
      <c r="AQ1320"/>
      <c r="AS1320"/>
      <c r="AT1320" s="447"/>
      <c r="AU1320"/>
      <c r="AV1320"/>
      <c r="AW1320" s="447"/>
      <c r="AX1320"/>
      <c r="AY1320"/>
      <c r="AZ1320" s="447"/>
      <c r="BA1320"/>
      <c r="BB1320"/>
      <c r="BC1320" s="447"/>
      <c r="BD1320"/>
      <c r="BE1320"/>
    </row>
    <row r="1321" spans="4:57">
      <c r="D1321" s="447"/>
      <c r="G1321" s="447"/>
      <c r="J1321" s="447"/>
      <c r="M1321" s="447"/>
      <c r="R1321" s="447"/>
      <c r="S1321"/>
      <c r="T1321"/>
      <c r="U1321" s="447"/>
      <c r="V1321"/>
      <c r="W1321"/>
      <c r="X1321" s="447"/>
      <c r="Y1321"/>
      <c r="Z1321"/>
      <c r="AA1321" s="447"/>
      <c r="AB1321"/>
      <c r="AC1321"/>
      <c r="AE1321"/>
      <c r="AF1321" s="447"/>
      <c r="AG1321"/>
      <c r="AH1321"/>
      <c r="AI1321" s="447"/>
      <c r="AJ1321"/>
      <c r="AK1321"/>
      <c r="AL1321" s="447"/>
      <c r="AM1321"/>
      <c r="AN1321"/>
      <c r="AO1321" s="447"/>
      <c r="AP1321"/>
      <c r="AQ1321"/>
      <c r="AS1321"/>
      <c r="AT1321" s="447"/>
      <c r="AU1321"/>
      <c r="AV1321"/>
      <c r="AW1321" s="447"/>
      <c r="AX1321"/>
      <c r="AY1321"/>
      <c r="AZ1321" s="447"/>
      <c r="BA1321"/>
      <c r="BB1321"/>
      <c r="BC1321" s="447"/>
      <c r="BD1321"/>
      <c r="BE1321"/>
    </row>
    <row r="1322" spans="4:57">
      <c r="D1322" s="447"/>
      <c r="G1322" s="447"/>
      <c r="J1322" s="447"/>
      <c r="M1322" s="447"/>
      <c r="R1322" s="447"/>
      <c r="S1322"/>
      <c r="T1322"/>
      <c r="U1322" s="447"/>
      <c r="V1322"/>
      <c r="W1322"/>
      <c r="X1322" s="447"/>
      <c r="Y1322"/>
      <c r="Z1322"/>
      <c r="AA1322" s="447"/>
      <c r="AB1322"/>
      <c r="AC1322"/>
      <c r="AE1322"/>
      <c r="AF1322" s="447"/>
      <c r="AG1322"/>
      <c r="AH1322"/>
      <c r="AI1322" s="447"/>
      <c r="AJ1322"/>
      <c r="AK1322"/>
      <c r="AL1322" s="447"/>
      <c r="AM1322"/>
      <c r="AN1322"/>
      <c r="AO1322" s="447"/>
      <c r="AP1322"/>
      <c r="AQ1322"/>
      <c r="AS1322"/>
      <c r="AT1322" s="447"/>
      <c r="AU1322"/>
      <c r="AV1322"/>
      <c r="AW1322" s="447"/>
      <c r="AX1322"/>
      <c r="AY1322"/>
      <c r="AZ1322" s="447"/>
      <c r="BA1322"/>
      <c r="BB1322"/>
      <c r="BC1322" s="447"/>
      <c r="BD1322"/>
      <c r="BE1322"/>
    </row>
    <row r="1323" spans="4:57">
      <c r="D1323" s="447"/>
      <c r="G1323" s="447"/>
      <c r="J1323" s="447"/>
      <c r="M1323" s="447"/>
      <c r="R1323" s="447"/>
      <c r="S1323"/>
      <c r="T1323"/>
      <c r="U1323" s="447"/>
      <c r="V1323"/>
      <c r="W1323"/>
      <c r="X1323" s="447"/>
      <c r="Y1323"/>
      <c r="Z1323"/>
      <c r="AA1323" s="447"/>
      <c r="AB1323"/>
      <c r="AC1323"/>
      <c r="AE1323"/>
      <c r="AF1323" s="447"/>
      <c r="AG1323"/>
      <c r="AH1323"/>
      <c r="AI1323" s="447"/>
      <c r="AJ1323"/>
      <c r="AK1323"/>
      <c r="AL1323" s="447"/>
      <c r="AM1323"/>
      <c r="AN1323"/>
      <c r="AO1323" s="447"/>
      <c r="AP1323"/>
      <c r="AQ1323"/>
      <c r="AS1323"/>
      <c r="AT1323" s="447"/>
      <c r="AU1323"/>
      <c r="AV1323"/>
      <c r="AW1323" s="447"/>
      <c r="AX1323"/>
      <c r="AY1323"/>
      <c r="AZ1323" s="447"/>
      <c r="BA1323"/>
      <c r="BB1323"/>
      <c r="BC1323" s="447"/>
      <c r="BD1323"/>
      <c r="BE1323"/>
    </row>
    <row r="1324" spans="4:57">
      <c r="D1324" s="447"/>
      <c r="G1324" s="447"/>
      <c r="J1324" s="447"/>
      <c r="M1324" s="447"/>
      <c r="R1324" s="447"/>
      <c r="S1324"/>
      <c r="T1324"/>
      <c r="U1324" s="447"/>
      <c r="V1324"/>
      <c r="W1324"/>
      <c r="X1324" s="447"/>
      <c r="Y1324"/>
      <c r="Z1324"/>
      <c r="AA1324" s="447"/>
      <c r="AB1324"/>
      <c r="AC1324"/>
      <c r="AE1324"/>
      <c r="AF1324" s="447"/>
      <c r="AG1324"/>
      <c r="AH1324"/>
      <c r="AI1324" s="447"/>
      <c r="AJ1324"/>
      <c r="AK1324"/>
      <c r="AL1324" s="447"/>
      <c r="AM1324"/>
      <c r="AN1324"/>
      <c r="AO1324" s="447"/>
      <c r="AP1324"/>
      <c r="AQ1324"/>
      <c r="AS1324"/>
      <c r="AT1324" s="447"/>
      <c r="AU1324"/>
      <c r="AV1324"/>
      <c r="AW1324" s="447"/>
      <c r="AX1324"/>
      <c r="AY1324"/>
      <c r="AZ1324" s="447"/>
      <c r="BA1324"/>
      <c r="BB1324"/>
      <c r="BC1324" s="447"/>
      <c r="BD1324"/>
      <c r="BE1324"/>
    </row>
    <row r="1325" spans="4:57">
      <c r="D1325" s="447"/>
      <c r="G1325" s="447"/>
      <c r="J1325" s="447"/>
      <c r="M1325" s="447"/>
      <c r="R1325" s="447"/>
      <c r="S1325"/>
      <c r="T1325"/>
      <c r="U1325" s="447"/>
      <c r="V1325"/>
      <c r="W1325"/>
      <c r="X1325" s="447"/>
      <c r="Y1325"/>
      <c r="Z1325"/>
      <c r="AA1325" s="447"/>
      <c r="AB1325"/>
      <c r="AC1325"/>
      <c r="AE1325"/>
      <c r="AF1325" s="447"/>
      <c r="AG1325"/>
      <c r="AH1325"/>
      <c r="AI1325" s="447"/>
      <c r="AJ1325"/>
      <c r="AK1325"/>
      <c r="AL1325" s="447"/>
      <c r="AM1325"/>
      <c r="AN1325"/>
      <c r="AO1325" s="447"/>
      <c r="AP1325"/>
      <c r="AQ1325"/>
      <c r="AS1325"/>
      <c r="AT1325" s="447"/>
      <c r="AU1325"/>
      <c r="AV1325"/>
      <c r="AW1325" s="447"/>
      <c r="AX1325"/>
      <c r="AY1325"/>
      <c r="AZ1325" s="447"/>
      <c r="BA1325"/>
      <c r="BB1325"/>
      <c r="BC1325" s="447"/>
      <c r="BD1325"/>
      <c r="BE1325"/>
    </row>
    <row r="1326" spans="4:57">
      <c r="D1326" s="447"/>
      <c r="G1326" s="447"/>
      <c r="J1326" s="447"/>
      <c r="M1326" s="447"/>
      <c r="R1326" s="447"/>
      <c r="S1326"/>
      <c r="T1326"/>
      <c r="U1326" s="447"/>
      <c r="V1326"/>
      <c r="W1326"/>
      <c r="X1326" s="447"/>
      <c r="Y1326"/>
      <c r="Z1326"/>
      <c r="AA1326" s="447"/>
      <c r="AB1326"/>
      <c r="AC1326"/>
      <c r="AE1326"/>
      <c r="AF1326" s="447"/>
      <c r="AG1326"/>
      <c r="AH1326"/>
      <c r="AI1326" s="447"/>
      <c r="AJ1326"/>
      <c r="AK1326"/>
      <c r="AL1326" s="447"/>
      <c r="AM1326"/>
      <c r="AN1326"/>
      <c r="AO1326" s="447"/>
      <c r="AP1326"/>
      <c r="AQ1326"/>
      <c r="AS1326"/>
      <c r="AT1326" s="447"/>
      <c r="AU1326"/>
      <c r="AV1326"/>
      <c r="AW1326" s="447"/>
      <c r="AX1326"/>
      <c r="AY1326"/>
      <c r="AZ1326" s="447"/>
      <c r="BA1326"/>
      <c r="BB1326"/>
      <c r="BC1326" s="447"/>
      <c r="BD1326"/>
      <c r="BE1326"/>
    </row>
    <row r="1327" spans="4:57">
      <c r="D1327" s="447"/>
      <c r="G1327" s="447"/>
      <c r="J1327" s="447"/>
      <c r="M1327" s="447"/>
      <c r="R1327" s="447"/>
      <c r="S1327"/>
      <c r="T1327"/>
      <c r="U1327" s="447"/>
      <c r="V1327"/>
      <c r="W1327"/>
      <c r="X1327" s="447"/>
      <c r="Y1327"/>
      <c r="Z1327"/>
      <c r="AA1327" s="447"/>
      <c r="AB1327"/>
      <c r="AC1327"/>
      <c r="AE1327"/>
      <c r="AF1327" s="447"/>
      <c r="AG1327"/>
      <c r="AH1327"/>
      <c r="AI1327" s="447"/>
      <c r="AJ1327"/>
      <c r="AK1327"/>
      <c r="AL1327" s="447"/>
      <c r="AM1327"/>
      <c r="AN1327"/>
      <c r="AO1327" s="447"/>
      <c r="AP1327"/>
      <c r="AQ1327"/>
      <c r="AS1327"/>
      <c r="AT1327" s="447"/>
      <c r="AU1327"/>
      <c r="AV1327"/>
      <c r="AW1327" s="447"/>
      <c r="AX1327"/>
      <c r="AY1327"/>
      <c r="AZ1327" s="447"/>
      <c r="BA1327"/>
      <c r="BB1327"/>
      <c r="BC1327" s="447"/>
      <c r="BD1327"/>
      <c r="BE1327"/>
    </row>
    <row r="1328" spans="4:57">
      <c r="D1328" s="447"/>
      <c r="G1328" s="447"/>
      <c r="J1328" s="447"/>
      <c r="M1328" s="447"/>
      <c r="R1328" s="447"/>
      <c r="S1328"/>
      <c r="T1328"/>
      <c r="U1328" s="447"/>
      <c r="V1328"/>
      <c r="W1328"/>
      <c r="X1328" s="447"/>
      <c r="Y1328"/>
      <c r="Z1328"/>
      <c r="AA1328" s="447"/>
      <c r="AB1328"/>
      <c r="AC1328"/>
      <c r="AE1328"/>
      <c r="AF1328" s="447"/>
      <c r="AG1328"/>
      <c r="AH1328"/>
      <c r="AI1328" s="447"/>
      <c r="AJ1328"/>
      <c r="AK1328"/>
      <c r="AL1328" s="447"/>
      <c r="AM1328"/>
      <c r="AN1328"/>
      <c r="AO1328" s="447"/>
      <c r="AP1328"/>
      <c r="AQ1328"/>
      <c r="AS1328"/>
      <c r="AT1328" s="447"/>
      <c r="AU1328"/>
      <c r="AV1328"/>
      <c r="AW1328" s="447"/>
      <c r="AX1328"/>
      <c r="AY1328"/>
      <c r="AZ1328" s="447"/>
      <c r="BA1328"/>
      <c r="BB1328"/>
      <c r="BC1328" s="447"/>
      <c r="BD1328"/>
      <c r="BE1328"/>
    </row>
    <row r="1329" spans="4:57">
      <c r="D1329" s="447"/>
      <c r="G1329" s="447"/>
      <c r="J1329" s="447"/>
      <c r="M1329" s="447"/>
      <c r="R1329" s="447"/>
      <c r="S1329"/>
      <c r="T1329"/>
      <c r="U1329" s="447"/>
      <c r="V1329"/>
      <c r="W1329"/>
      <c r="X1329" s="447"/>
      <c r="Y1329"/>
      <c r="Z1329"/>
      <c r="AA1329" s="447"/>
      <c r="AB1329"/>
      <c r="AC1329"/>
      <c r="AE1329"/>
      <c r="AF1329" s="447"/>
      <c r="AG1329"/>
      <c r="AH1329"/>
      <c r="AI1329" s="447"/>
      <c r="AJ1329"/>
      <c r="AK1329"/>
      <c r="AL1329" s="447"/>
      <c r="AM1329"/>
      <c r="AN1329"/>
      <c r="AO1329" s="447"/>
      <c r="AP1329"/>
      <c r="AQ1329"/>
      <c r="AS1329"/>
      <c r="AT1329" s="447"/>
      <c r="AU1329"/>
      <c r="AV1329"/>
      <c r="AW1329" s="447"/>
      <c r="AX1329"/>
      <c r="AY1329"/>
      <c r="AZ1329" s="447"/>
      <c r="BA1329"/>
      <c r="BB1329"/>
      <c r="BC1329" s="447"/>
      <c r="BD1329"/>
      <c r="BE1329"/>
    </row>
    <row r="1330" spans="4:57">
      <c r="D1330" s="447"/>
      <c r="G1330" s="447"/>
      <c r="J1330" s="447"/>
      <c r="M1330" s="447"/>
      <c r="R1330" s="447"/>
      <c r="S1330"/>
      <c r="T1330"/>
      <c r="U1330" s="447"/>
      <c r="V1330"/>
      <c r="W1330"/>
      <c r="X1330" s="447"/>
      <c r="Y1330"/>
      <c r="Z1330"/>
      <c r="AA1330" s="447"/>
      <c r="AB1330"/>
      <c r="AC1330"/>
      <c r="AE1330"/>
      <c r="AF1330" s="447"/>
      <c r="AG1330"/>
      <c r="AH1330"/>
      <c r="AI1330" s="447"/>
      <c r="AJ1330"/>
      <c r="AK1330"/>
      <c r="AL1330" s="447"/>
      <c r="AM1330"/>
      <c r="AN1330"/>
      <c r="AO1330" s="447"/>
      <c r="AP1330"/>
      <c r="AQ1330"/>
      <c r="AS1330"/>
      <c r="AT1330" s="447"/>
      <c r="AU1330"/>
      <c r="AV1330"/>
      <c r="AW1330" s="447"/>
      <c r="AX1330"/>
      <c r="AY1330"/>
      <c r="AZ1330" s="447"/>
      <c r="BA1330"/>
      <c r="BB1330"/>
      <c r="BC1330" s="447"/>
      <c r="BD1330"/>
      <c r="BE1330"/>
    </row>
    <row r="1331" spans="4:57">
      <c r="D1331" s="447"/>
      <c r="G1331" s="447"/>
      <c r="J1331" s="447"/>
      <c r="M1331" s="447"/>
      <c r="R1331" s="447"/>
      <c r="S1331"/>
      <c r="T1331"/>
      <c r="U1331" s="447"/>
      <c r="V1331"/>
      <c r="W1331"/>
      <c r="X1331" s="447"/>
      <c r="Y1331"/>
      <c r="Z1331"/>
      <c r="AA1331" s="447"/>
      <c r="AB1331"/>
      <c r="AC1331"/>
      <c r="AE1331"/>
      <c r="AF1331" s="447"/>
      <c r="AG1331"/>
      <c r="AH1331"/>
      <c r="AI1331" s="447"/>
      <c r="AJ1331"/>
      <c r="AK1331"/>
      <c r="AL1331" s="447"/>
      <c r="AM1331"/>
      <c r="AN1331"/>
      <c r="AO1331" s="447"/>
      <c r="AP1331"/>
      <c r="AQ1331"/>
      <c r="AS1331"/>
      <c r="AT1331" s="447"/>
      <c r="AU1331"/>
      <c r="AV1331"/>
      <c r="AW1331" s="447"/>
      <c r="AX1331"/>
      <c r="AY1331"/>
      <c r="AZ1331" s="447"/>
      <c r="BA1331"/>
      <c r="BB1331"/>
      <c r="BC1331" s="447"/>
      <c r="BD1331"/>
      <c r="BE1331"/>
    </row>
    <row r="1332" spans="4:57">
      <c r="D1332" s="447"/>
      <c r="G1332" s="447"/>
      <c r="J1332" s="447"/>
      <c r="M1332" s="447"/>
      <c r="R1332" s="447"/>
      <c r="S1332"/>
      <c r="T1332"/>
      <c r="U1332" s="447"/>
      <c r="V1332"/>
      <c r="W1332"/>
      <c r="X1332" s="447"/>
      <c r="Y1332"/>
      <c r="Z1332"/>
      <c r="AA1332" s="447"/>
      <c r="AB1332"/>
      <c r="AC1332"/>
      <c r="AE1332"/>
      <c r="AF1332" s="447"/>
      <c r="AG1332"/>
      <c r="AH1332"/>
      <c r="AI1332" s="447"/>
      <c r="AJ1332"/>
      <c r="AK1332"/>
      <c r="AL1332" s="447"/>
      <c r="AM1332"/>
      <c r="AN1332"/>
      <c r="AO1332" s="447"/>
      <c r="AP1332"/>
      <c r="AQ1332"/>
      <c r="AS1332"/>
      <c r="AT1332" s="447"/>
      <c r="AU1332"/>
      <c r="AV1332"/>
      <c r="AW1332" s="447"/>
      <c r="AX1332"/>
      <c r="AY1332"/>
      <c r="AZ1332" s="447"/>
      <c r="BA1332"/>
      <c r="BB1332"/>
      <c r="BC1332" s="447"/>
      <c r="BD1332"/>
      <c r="BE1332"/>
    </row>
    <row r="1333" spans="4:57">
      <c r="D1333" s="447"/>
      <c r="G1333" s="447"/>
      <c r="J1333" s="447"/>
      <c r="M1333" s="447"/>
      <c r="R1333" s="447"/>
      <c r="S1333"/>
      <c r="T1333"/>
      <c r="U1333" s="447"/>
      <c r="V1333"/>
      <c r="W1333"/>
      <c r="X1333" s="447"/>
      <c r="Y1333"/>
      <c r="Z1333"/>
      <c r="AA1333" s="447"/>
      <c r="AB1333"/>
      <c r="AC1333"/>
      <c r="AE1333"/>
      <c r="AF1333" s="447"/>
      <c r="AG1333"/>
      <c r="AH1333"/>
      <c r="AI1333" s="447"/>
      <c r="AJ1333"/>
      <c r="AK1333"/>
      <c r="AL1333" s="447"/>
      <c r="AM1333"/>
      <c r="AN1333"/>
      <c r="AO1333" s="447"/>
      <c r="AP1333"/>
      <c r="AQ1333"/>
      <c r="AS1333"/>
      <c r="AT1333" s="447"/>
      <c r="AU1333"/>
      <c r="AV1333"/>
      <c r="AW1333" s="447"/>
      <c r="AX1333"/>
      <c r="AY1333"/>
      <c r="AZ1333" s="447"/>
      <c r="BA1333"/>
      <c r="BB1333"/>
      <c r="BC1333" s="447"/>
      <c r="BD1333"/>
      <c r="BE1333"/>
    </row>
    <row r="1334" spans="4:57">
      <c r="D1334" s="447"/>
      <c r="G1334" s="447"/>
      <c r="J1334" s="447"/>
      <c r="M1334" s="447"/>
      <c r="R1334" s="447"/>
      <c r="S1334"/>
      <c r="T1334"/>
      <c r="U1334" s="447"/>
      <c r="V1334"/>
      <c r="W1334"/>
      <c r="X1334" s="447"/>
      <c r="Y1334"/>
      <c r="Z1334"/>
      <c r="AA1334" s="447"/>
      <c r="AB1334"/>
      <c r="AC1334"/>
      <c r="AE1334"/>
      <c r="AF1334" s="447"/>
      <c r="AG1334"/>
      <c r="AH1334"/>
      <c r="AI1334" s="447"/>
      <c r="AJ1334"/>
      <c r="AK1334"/>
      <c r="AL1334" s="447"/>
      <c r="AM1334"/>
      <c r="AN1334"/>
      <c r="AO1334" s="447"/>
      <c r="AP1334"/>
      <c r="AQ1334"/>
      <c r="AS1334"/>
      <c r="AT1334" s="447"/>
      <c r="AU1334"/>
      <c r="AV1334"/>
      <c r="AW1334" s="447"/>
      <c r="AX1334"/>
      <c r="AY1334"/>
      <c r="AZ1334" s="447"/>
      <c r="BA1334"/>
      <c r="BB1334"/>
      <c r="BC1334" s="447"/>
      <c r="BD1334"/>
      <c r="BE1334"/>
    </row>
    <row r="1335" spans="4:57">
      <c r="D1335" s="447"/>
      <c r="G1335" s="447"/>
      <c r="J1335" s="447"/>
      <c r="M1335" s="447"/>
      <c r="R1335" s="447"/>
      <c r="S1335"/>
      <c r="T1335"/>
      <c r="U1335" s="447"/>
      <c r="V1335"/>
      <c r="W1335"/>
      <c r="X1335" s="447"/>
      <c r="Y1335"/>
      <c r="Z1335"/>
      <c r="AA1335" s="447"/>
      <c r="AB1335"/>
      <c r="AC1335"/>
      <c r="AE1335"/>
      <c r="AF1335" s="447"/>
      <c r="AG1335"/>
      <c r="AH1335"/>
      <c r="AI1335" s="447"/>
      <c r="AJ1335"/>
      <c r="AK1335"/>
      <c r="AL1335" s="447"/>
      <c r="AM1335"/>
      <c r="AN1335"/>
      <c r="AO1335" s="447"/>
      <c r="AP1335"/>
      <c r="AQ1335"/>
      <c r="AS1335"/>
      <c r="AT1335" s="447"/>
      <c r="AU1335"/>
      <c r="AV1335"/>
      <c r="AW1335" s="447"/>
      <c r="AX1335"/>
      <c r="AY1335"/>
      <c r="AZ1335" s="447"/>
      <c r="BA1335"/>
      <c r="BB1335"/>
      <c r="BC1335" s="447"/>
      <c r="BD1335"/>
      <c r="BE1335"/>
    </row>
    <row r="1336" spans="4:57">
      <c r="D1336" s="447"/>
      <c r="G1336" s="447"/>
      <c r="J1336" s="447"/>
      <c r="M1336" s="447"/>
      <c r="R1336" s="447"/>
      <c r="S1336"/>
      <c r="T1336"/>
      <c r="U1336" s="447"/>
      <c r="V1336"/>
      <c r="W1336"/>
      <c r="X1336" s="447"/>
      <c r="Y1336"/>
      <c r="Z1336"/>
      <c r="AA1336" s="447"/>
      <c r="AB1336"/>
      <c r="AC1336"/>
      <c r="AE1336"/>
      <c r="AF1336" s="447"/>
      <c r="AG1336"/>
      <c r="AH1336"/>
      <c r="AI1336" s="447"/>
      <c r="AJ1336"/>
      <c r="AK1336"/>
      <c r="AL1336" s="447"/>
      <c r="AM1336"/>
      <c r="AN1336"/>
      <c r="AO1336" s="447"/>
      <c r="AP1336"/>
      <c r="AQ1336"/>
      <c r="AS1336"/>
      <c r="AT1336" s="447"/>
      <c r="AU1336"/>
      <c r="AV1336"/>
      <c r="AW1336" s="447"/>
      <c r="AX1336"/>
      <c r="AY1336"/>
      <c r="AZ1336" s="447"/>
      <c r="BA1336"/>
      <c r="BB1336"/>
      <c r="BC1336" s="447"/>
      <c r="BD1336"/>
      <c r="BE1336"/>
    </row>
    <row r="1337" spans="4:57">
      <c r="D1337" s="447"/>
      <c r="G1337" s="447"/>
      <c r="J1337" s="447"/>
      <c r="M1337" s="447"/>
      <c r="R1337" s="447"/>
      <c r="S1337"/>
      <c r="T1337"/>
      <c r="U1337" s="447"/>
      <c r="V1337"/>
      <c r="W1337"/>
      <c r="X1337" s="447"/>
      <c r="Y1337"/>
      <c r="Z1337"/>
      <c r="AA1337" s="447"/>
      <c r="AB1337"/>
      <c r="AC1337"/>
      <c r="AE1337"/>
      <c r="AF1337" s="447"/>
      <c r="AG1337"/>
      <c r="AH1337"/>
      <c r="AI1337" s="447"/>
      <c r="AJ1337"/>
      <c r="AK1337"/>
      <c r="AL1337" s="447"/>
      <c r="AM1337"/>
      <c r="AN1337"/>
      <c r="AO1337" s="447"/>
      <c r="AP1337"/>
      <c r="AQ1337"/>
      <c r="AS1337"/>
      <c r="AT1337" s="447"/>
      <c r="AU1337"/>
      <c r="AV1337"/>
      <c r="AW1337" s="447"/>
      <c r="AX1337"/>
      <c r="AY1337"/>
      <c r="AZ1337" s="447"/>
      <c r="BA1337"/>
      <c r="BB1337"/>
      <c r="BC1337" s="447"/>
      <c r="BD1337"/>
      <c r="BE1337"/>
    </row>
    <row r="1338" spans="4:57">
      <c r="D1338" s="447"/>
      <c r="G1338" s="447"/>
      <c r="J1338" s="447"/>
      <c r="M1338" s="447"/>
      <c r="R1338" s="447"/>
      <c r="S1338"/>
      <c r="T1338"/>
      <c r="U1338" s="447"/>
      <c r="V1338"/>
      <c r="W1338"/>
      <c r="X1338" s="447"/>
      <c r="Y1338"/>
      <c r="Z1338"/>
      <c r="AA1338" s="447"/>
      <c r="AB1338"/>
      <c r="AC1338"/>
      <c r="AE1338"/>
      <c r="AF1338" s="447"/>
      <c r="AG1338"/>
      <c r="AH1338"/>
      <c r="AI1338" s="447"/>
      <c r="AJ1338"/>
      <c r="AK1338"/>
      <c r="AL1338" s="447"/>
      <c r="AM1338"/>
      <c r="AN1338"/>
      <c r="AO1338" s="447"/>
      <c r="AP1338"/>
      <c r="AQ1338"/>
      <c r="AS1338"/>
      <c r="AT1338" s="447"/>
      <c r="AU1338"/>
      <c r="AV1338"/>
      <c r="AW1338" s="447"/>
      <c r="AX1338"/>
      <c r="AY1338"/>
      <c r="AZ1338" s="447"/>
      <c r="BA1338"/>
      <c r="BB1338"/>
      <c r="BC1338" s="447"/>
      <c r="BD1338"/>
      <c r="BE1338"/>
    </row>
    <row r="1339" spans="4:57">
      <c r="D1339" s="447"/>
      <c r="G1339" s="447"/>
      <c r="J1339" s="447"/>
      <c r="M1339" s="447"/>
      <c r="R1339" s="447"/>
      <c r="S1339"/>
      <c r="T1339"/>
      <c r="U1339" s="447"/>
      <c r="V1339"/>
      <c r="W1339"/>
      <c r="X1339" s="447"/>
      <c r="Y1339"/>
      <c r="Z1339"/>
      <c r="AA1339" s="447"/>
      <c r="AB1339"/>
      <c r="AC1339"/>
      <c r="AE1339"/>
      <c r="AF1339" s="447"/>
      <c r="AG1339"/>
      <c r="AH1339"/>
      <c r="AI1339" s="447"/>
      <c r="AJ1339"/>
      <c r="AK1339"/>
      <c r="AL1339" s="447"/>
      <c r="AM1339"/>
      <c r="AN1339"/>
      <c r="AO1339" s="447"/>
      <c r="AP1339"/>
      <c r="AQ1339"/>
      <c r="AS1339"/>
      <c r="AT1339" s="447"/>
      <c r="AU1339"/>
      <c r="AV1339"/>
      <c r="AW1339" s="447"/>
      <c r="AX1339"/>
      <c r="AY1339"/>
      <c r="AZ1339" s="447"/>
      <c r="BA1339"/>
      <c r="BB1339"/>
      <c r="BC1339" s="447"/>
      <c r="BD1339"/>
      <c r="BE1339"/>
    </row>
    <row r="1340" spans="4:57">
      <c r="D1340" s="447"/>
      <c r="G1340" s="447"/>
      <c r="J1340" s="447"/>
      <c r="M1340" s="447"/>
      <c r="R1340" s="447"/>
      <c r="S1340"/>
      <c r="T1340"/>
      <c r="U1340" s="447"/>
      <c r="V1340"/>
      <c r="W1340"/>
      <c r="X1340" s="447"/>
      <c r="Y1340"/>
      <c r="Z1340"/>
      <c r="AA1340" s="447"/>
      <c r="AB1340"/>
      <c r="AC1340"/>
      <c r="AE1340"/>
      <c r="AF1340" s="447"/>
      <c r="AG1340"/>
      <c r="AH1340"/>
      <c r="AI1340" s="447"/>
      <c r="AJ1340"/>
      <c r="AK1340"/>
      <c r="AL1340" s="447"/>
      <c r="AM1340"/>
      <c r="AN1340"/>
      <c r="AO1340" s="447"/>
      <c r="AP1340"/>
      <c r="AQ1340"/>
      <c r="AS1340"/>
      <c r="AT1340" s="447"/>
      <c r="AU1340"/>
      <c r="AV1340"/>
      <c r="AW1340" s="447"/>
      <c r="AX1340"/>
      <c r="AY1340"/>
      <c r="AZ1340" s="447"/>
      <c r="BA1340"/>
      <c r="BB1340"/>
      <c r="BC1340" s="447"/>
      <c r="BD1340"/>
      <c r="BE1340"/>
    </row>
    <row r="1341" spans="4:57">
      <c r="D1341" s="447"/>
      <c r="G1341" s="447"/>
      <c r="J1341" s="447"/>
      <c r="M1341" s="447"/>
      <c r="R1341" s="447"/>
      <c r="S1341"/>
      <c r="T1341"/>
      <c r="U1341" s="447"/>
      <c r="V1341"/>
      <c r="W1341"/>
      <c r="X1341" s="447"/>
      <c r="Y1341"/>
      <c r="Z1341"/>
      <c r="AA1341" s="447"/>
      <c r="AB1341"/>
      <c r="AC1341"/>
      <c r="AE1341"/>
      <c r="AF1341" s="447"/>
      <c r="AG1341"/>
      <c r="AH1341"/>
      <c r="AI1341" s="447"/>
      <c r="AJ1341"/>
      <c r="AK1341"/>
      <c r="AL1341" s="447"/>
      <c r="AM1341"/>
      <c r="AN1341"/>
      <c r="AO1341" s="447"/>
      <c r="AP1341"/>
      <c r="AQ1341"/>
      <c r="AS1341"/>
      <c r="AT1341" s="447"/>
      <c r="AU1341"/>
      <c r="AV1341"/>
      <c r="AW1341" s="447"/>
      <c r="AX1341"/>
      <c r="AY1341"/>
      <c r="AZ1341" s="447"/>
      <c r="BA1341"/>
      <c r="BB1341"/>
      <c r="BC1341" s="447"/>
      <c r="BD1341"/>
      <c r="BE1341"/>
    </row>
    <row r="1342" spans="4:57">
      <c r="D1342" s="447"/>
      <c r="G1342" s="447"/>
      <c r="J1342" s="447"/>
      <c r="M1342" s="447"/>
      <c r="R1342" s="447"/>
      <c r="S1342"/>
      <c r="T1342"/>
      <c r="U1342" s="447"/>
      <c r="V1342"/>
      <c r="W1342"/>
      <c r="X1342" s="447"/>
      <c r="Y1342"/>
      <c r="Z1342"/>
      <c r="AA1342" s="447"/>
      <c r="AB1342"/>
      <c r="AC1342"/>
      <c r="AE1342"/>
      <c r="AF1342" s="447"/>
      <c r="AG1342"/>
      <c r="AH1342"/>
      <c r="AI1342" s="447"/>
      <c r="AJ1342"/>
      <c r="AK1342"/>
      <c r="AL1342" s="447"/>
      <c r="AM1342"/>
      <c r="AN1342"/>
      <c r="AO1342" s="447"/>
      <c r="AP1342"/>
      <c r="AQ1342"/>
      <c r="AS1342"/>
      <c r="AT1342" s="447"/>
      <c r="AU1342"/>
      <c r="AV1342"/>
      <c r="AW1342" s="447"/>
      <c r="AX1342"/>
      <c r="AY1342"/>
      <c r="AZ1342" s="447"/>
      <c r="BA1342"/>
      <c r="BB1342"/>
      <c r="BC1342" s="447"/>
      <c r="BD1342"/>
      <c r="BE1342"/>
    </row>
    <row r="1343" spans="4:57">
      <c r="D1343" s="447"/>
      <c r="G1343" s="447"/>
      <c r="J1343" s="447"/>
      <c r="M1343" s="447"/>
      <c r="R1343" s="447"/>
      <c r="S1343"/>
      <c r="T1343"/>
      <c r="U1343" s="447"/>
      <c r="V1343"/>
      <c r="W1343"/>
      <c r="X1343" s="447"/>
      <c r="Y1343"/>
      <c r="Z1343"/>
      <c r="AA1343" s="447"/>
      <c r="AB1343"/>
      <c r="AC1343"/>
      <c r="AE1343"/>
      <c r="AF1343" s="447"/>
      <c r="AG1343"/>
      <c r="AH1343"/>
      <c r="AI1343" s="447"/>
      <c r="AJ1343"/>
      <c r="AK1343"/>
      <c r="AL1343" s="447"/>
      <c r="AM1343"/>
      <c r="AN1343"/>
      <c r="AO1343" s="447"/>
      <c r="AP1343"/>
      <c r="AQ1343"/>
      <c r="AS1343"/>
      <c r="AT1343" s="447"/>
      <c r="AU1343"/>
      <c r="AV1343"/>
      <c r="AW1343" s="447"/>
      <c r="AX1343"/>
      <c r="AY1343"/>
      <c r="AZ1343" s="447"/>
      <c r="BA1343"/>
      <c r="BB1343"/>
      <c r="BC1343" s="447"/>
      <c r="BD1343"/>
      <c r="BE1343"/>
    </row>
    <row r="1344" spans="4:57">
      <c r="D1344" s="447"/>
      <c r="G1344" s="447"/>
      <c r="J1344" s="447"/>
      <c r="M1344" s="447"/>
      <c r="R1344" s="447"/>
      <c r="S1344"/>
      <c r="T1344"/>
      <c r="U1344" s="447"/>
      <c r="V1344"/>
      <c r="W1344"/>
      <c r="X1344" s="447"/>
      <c r="Y1344"/>
      <c r="Z1344"/>
      <c r="AA1344" s="447"/>
      <c r="AB1344"/>
      <c r="AC1344"/>
      <c r="AE1344"/>
      <c r="AF1344" s="447"/>
      <c r="AG1344"/>
      <c r="AH1344"/>
      <c r="AI1344" s="447"/>
      <c r="AJ1344"/>
      <c r="AK1344"/>
      <c r="AL1344" s="447"/>
      <c r="AM1344"/>
      <c r="AN1344"/>
      <c r="AO1344" s="447"/>
      <c r="AP1344"/>
      <c r="AQ1344"/>
      <c r="AS1344"/>
      <c r="AT1344" s="447"/>
      <c r="AU1344"/>
      <c r="AV1344"/>
      <c r="AW1344" s="447"/>
      <c r="AX1344"/>
      <c r="AY1344"/>
      <c r="AZ1344" s="447"/>
      <c r="BA1344"/>
      <c r="BB1344"/>
      <c r="BC1344" s="447"/>
      <c r="BD1344"/>
      <c r="BE1344"/>
    </row>
    <row r="1345" spans="4:57">
      <c r="D1345" s="447"/>
      <c r="G1345" s="447"/>
      <c r="J1345" s="447"/>
      <c r="M1345" s="447"/>
      <c r="R1345" s="447"/>
      <c r="S1345"/>
      <c r="T1345"/>
      <c r="U1345" s="447"/>
      <c r="V1345"/>
      <c r="W1345"/>
      <c r="X1345" s="447"/>
      <c r="Y1345"/>
      <c r="Z1345"/>
      <c r="AA1345" s="447"/>
      <c r="AB1345"/>
      <c r="AC1345"/>
      <c r="AE1345"/>
      <c r="AF1345" s="447"/>
      <c r="AG1345"/>
      <c r="AH1345"/>
      <c r="AI1345" s="447"/>
      <c r="AJ1345"/>
      <c r="AK1345"/>
      <c r="AL1345" s="447"/>
      <c r="AM1345"/>
      <c r="AN1345"/>
      <c r="AO1345" s="447"/>
      <c r="AP1345"/>
      <c r="AQ1345"/>
      <c r="AS1345"/>
      <c r="AT1345" s="447"/>
      <c r="AU1345"/>
      <c r="AV1345"/>
      <c r="AW1345" s="447"/>
      <c r="AX1345"/>
      <c r="AY1345"/>
      <c r="AZ1345" s="447"/>
      <c r="BA1345"/>
      <c r="BB1345"/>
      <c r="BC1345" s="447"/>
      <c r="BD1345"/>
      <c r="BE1345"/>
    </row>
    <row r="1346" spans="4:57">
      <c r="D1346" s="447"/>
      <c r="G1346" s="447"/>
      <c r="J1346" s="447"/>
      <c r="M1346" s="447"/>
      <c r="R1346" s="447"/>
      <c r="S1346"/>
      <c r="T1346"/>
      <c r="U1346" s="447"/>
      <c r="V1346"/>
      <c r="W1346"/>
      <c r="X1346" s="447"/>
      <c r="Y1346"/>
      <c r="Z1346"/>
      <c r="AA1346" s="447"/>
      <c r="AB1346"/>
      <c r="AC1346"/>
      <c r="AE1346"/>
      <c r="AF1346" s="447"/>
      <c r="AG1346"/>
      <c r="AH1346"/>
      <c r="AI1346" s="447"/>
      <c r="AJ1346"/>
      <c r="AK1346"/>
      <c r="AL1346" s="447"/>
      <c r="AM1346"/>
      <c r="AN1346"/>
      <c r="AO1346" s="447"/>
      <c r="AP1346"/>
      <c r="AQ1346"/>
      <c r="AS1346"/>
      <c r="AT1346" s="447"/>
      <c r="AU1346"/>
      <c r="AV1346"/>
      <c r="AW1346" s="447"/>
      <c r="AX1346"/>
      <c r="AY1346"/>
      <c r="AZ1346" s="447"/>
      <c r="BA1346"/>
      <c r="BB1346"/>
      <c r="BC1346" s="447"/>
      <c r="BD1346"/>
      <c r="BE1346"/>
    </row>
    <row r="1347" spans="4:57">
      <c r="D1347" s="447"/>
      <c r="G1347" s="447"/>
      <c r="J1347" s="447"/>
      <c r="M1347" s="447"/>
      <c r="R1347" s="447"/>
      <c r="S1347"/>
      <c r="T1347"/>
      <c r="U1347" s="447"/>
      <c r="V1347"/>
      <c r="W1347"/>
      <c r="X1347" s="447"/>
      <c r="Y1347"/>
      <c r="Z1347"/>
      <c r="AA1347" s="447"/>
      <c r="AB1347"/>
      <c r="AC1347"/>
      <c r="AE1347"/>
      <c r="AF1347" s="447"/>
      <c r="AG1347"/>
      <c r="AH1347"/>
      <c r="AI1347" s="447"/>
      <c r="AJ1347"/>
      <c r="AK1347"/>
      <c r="AL1347" s="447"/>
      <c r="AM1347"/>
      <c r="AN1347"/>
      <c r="AO1347" s="447"/>
      <c r="AP1347"/>
      <c r="AQ1347"/>
      <c r="AS1347"/>
      <c r="AT1347" s="447"/>
      <c r="AU1347"/>
      <c r="AV1347"/>
      <c r="AW1347" s="447"/>
      <c r="AX1347"/>
      <c r="AY1347"/>
      <c r="AZ1347" s="447"/>
      <c r="BA1347"/>
      <c r="BB1347"/>
      <c r="BC1347" s="447"/>
      <c r="BD1347"/>
      <c r="BE1347"/>
    </row>
    <row r="1348" spans="4:57">
      <c r="D1348" s="447"/>
      <c r="G1348" s="447"/>
      <c r="J1348" s="447"/>
      <c r="M1348" s="447"/>
      <c r="R1348" s="447"/>
      <c r="S1348"/>
      <c r="T1348"/>
      <c r="U1348" s="447"/>
      <c r="V1348"/>
      <c r="W1348"/>
      <c r="X1348" s="447"/>
      <c r="Y1348"/>
      <c r="Z1348"/>
      <c r="AA1348" s="447"/>
      <c r="AB1348"/>
      <c r="AC1348"/>
      <c r="AE1348"/>
      <c r="AF1348" s="447"/>
      <c r="AG1348"/>
      <c r="AH1348"/>
      <c r="AI1348" s="447"/>
      <c r="AJ1348"/>
      <c r="AK1348"/>
      <c r="AL1348" s="447"/>
      <c r="AM1348"/>
      <c r="AN1348"/>
      <c r="AO1348" s="447"/>
      <c r="AP1348"/>
      <c r="AQ1348"/>
      <c r="AS1348"/>
      <c r="AT1348" s="447"/>
      <c r="AU1348"/>
      <c r="AV1348"/>
      <c r="AW1348" s="447"/>
      <c r="AX1348"/>
      <c r="AY1348"/>
      <c r="AZ1348" s="447"/>
      <c r="BA1348"/>
      <c r="BB1348"/>
      <c r="BC1348" s="447"/>
      <c r="BD1348"/>
      <c r="BE1348"/>
    </row>
    <row r="1349" spans="4:57">
      <c r="D1349" s="447"/>
      <c r="G1349" s="447"/>
      <c r="J1349" s="447"/>
      <c r="M1349" s="447"/>
      <c r="R1349" s="447"/>
      <c r="S1349"/>
      <c r="T1349"/>
      <c r="U1349" s="447"/>
      <c r="V1349"/>
      <c r="W1349"/>
      <c r="X1349" s="447"/>
      <c r="Y1349"/>
      <c r="Z1349"/>
      <c r="AA1349" s="447"/>
      <c r="AB1349"/>
      <c r="AC1349"/>
      <c r="AE1349"/>
      <c r="AF1349" s="447"/>
      <c r="AG1349"/>
      <c r="AH1349"/>
      <c r="AI1349" s="447"/>
      <c r="AJ1349"/>
      <c r="AK1349"/>
      <c r="AL1349" s="447"/>
      <c r="AM1349"/>
      <c r="AN1349"/>
      <c r="AO1349" s="447"/>
      <c r="AP1349"/>
      <c r="AQ1349"/>
      <c r="AS1349"/>
      <c r="AT1349" s="447"/>
      <c r="AU1349"/>
      <c r="AV1349"/>
      <c r="AW1349" s="447"/>
      <c r="AX1349"/>
      <c r="AY1349"/>
      <c r="AZ1349" s="447"/>
      <c r="BA1349"/>
      <c r="BB1349"/>
      <c r="BC1349" s="447"/>
      <c r="BD1349"/>
      <c r="BE1349"/>
    </row>
    <row r="1350" spans="4:57">
      <c r="D1350" s="447"/>
      <c r="G1350" s="447"/>
      <c r="J1350" s="447"/>
      <c r="M1350" s="447"/>
      <c r="R1350" s="447"/>
      <c r="S1350"/>
      <c r="T1350"/>
      <c r="U1350" s="447"/>
      <c r="V1350"/>
      <c r="W1350"/>
      <c r="X1350" s="447"/>
      <c r="Y1350"/>
      <c r="Z1350"/>
      <c r="AA1350" s="447"/>
      <c r="AB1350"/>
      <c r="AC1350"/>
      <c r="AE1350"/>
      <c r="AF1350" s="447"/>
      <c r="AG1350"/>
      <c r="AH1350"/>
      <c r="AI1350" s="447"/>
      <c r="AJ1350"/>
      <c r="AK1350"/>
      <c r="AL1350" s="447"/>
      <c r="AM1350"/>
      <c r="AN1350"/>
      <c r="AO1350" s="447"/>
      <c r="AP1350"/>
      <c r="AQ1350"/>
      <c r="AS1350"/>
      <c r="AT1350" s="447"/>
      <c r="AU1350"/>
      <c r="AV1350"/>
      <c r="AW1350" s="447"/>
      <c r="AX1350"/>
      <c r="AY1350"/>
      <c r="AZ1350" s="447"/>
      <c r="BA1350"/>
      <c r="BB1350"/>
      <c r="BC1350" s="447"/>
      <c r="BD1350"/>
      <c r="BE1350"/>
    </row>
    <row r="1351" spans="4:57">
      <c r="D1351" s="447"/>
      <c r="G1351" s="447"/>
      <c r="J1351" s="447"/>
      <c r="M1351" s="447"/>
      <c r="R1351" s="447"/>
      <c r="S1351"/>
      <c r="T1351"/>
      <c r="U1351" s="447"/>
      <c r="V1351"/>
      <c r="W1351"/>
      <c r="X1351" s="447"/>
      <c r="Y1351"/>
      <c r="Z1351"/>
      <c r="AA1351" s="447"/>
      <c r="AB1351"/>
      <c r="AC1351"/>
      <c r="AE1351"/>
      <c r="AF1351" s="447"/>
      <c r="AG1351"/>
      <c r="AH1351"/>
      <c r="AI1351" s="447"/>
      <c r="AJ1351"/>
      <c r="AK1351"/>
      <c r="AL1351" s="447"/>
      <c r="AM1351"/>
      <c r="AN1351"/>
      <c r="AO1351" s="447"/>
      <c r="AP1351"/>
      <c r="AQ1351"/>
      <c r="AS1351"/>
      <c r="AT1351" s="447"/>
      <c r="AU1351"/>
      <c r="AV1351"/>
      <c r="AW1351" s="447"/>
      <c r="AX1351"/>
      <c r="AY1351"/>
      <c r="AZ1351" s="447"/>
      <c r="BA1351"/>
      <c r="BB1351"/>
      <c r="BC1351" s="447"/>
      <c r="BD1351"/>
      <c r="BE1351"/>
    </row>
    <row r="1352" spans="4:57">
      <c r="D1352" s="447"/>
      <c r="G1352" s="447"/>
      <c r="J1352" s="447"/>
      <c r="M1352" s="447"/>
      <c r="R1352" s="447"/>
      <c r="S1352"/>
      <c r="T1352"/>
      <c r="U1352" s="447"/>
      <c r="V1352"/>
      <c r="W1352"/>
      <c r="X1352" s="447"/>
      <c r="Y1352"/>
      <c r="Z1352"/>
      <c r="AA1352" s="447"/>
      <c r="AB1352"/>
      <c r="AC1352"/>
      <c r="AE1352"/>
      <c r="AF1352" s="447"/>
      <c r="AG1352"/>
      <c r="AH1352"/>
      <c r="AI1352" s="447"/>
      <c r="AJ1352"/>
      <c r="AK1352"/>
      <c r="AL1352" s="447"/>
      <c r="AM1352"/>
      <c r="AN1352"/>
      <c r="AO1352" s="447"/>
      <c r="AP1352"/>
      <c r="AQ1352"/>
      <c r="AS1352"/>
      <c r="AT1352" s="447"/>
      <c r="AU1352"/>
      <c r="AV1352"/>
      <c r="AW1352" s="447"/>
      <c r="AX1352"/>
      <c r="AY1352"/>
      <c r="AZ1352" s="447"/>
      <c r="BA1352"/>
      <c r="BB1352"/>
      <c r="BC1352" s="447"/>
      <c r="BD1352"/>
      <c r="BE1352"/>
    </row>
    <row r="1353" spans="4:57">
      <c r="D1353" s="447"/>
      <c r="G1353" s="447"/>
      <c r="J1353" s="447"/>
      <c r="M1353" s="447"/>
      <c r="R1353" s="447"/>
      <c r="S1353"/>
      <c r="T1353"/>
      <c r="U1353" s="447"/>
      <c r="V1353"/>
      <c r="W1353"/>
      <c r="X1353" s="447"/>
      <c r="Y1353"/>
      <c r="Z1353"/>
      <c r="AA1353" s="447"/>
      <c r="AB1353"/>
      <c r="AC1353"/>
      <c r="AE1353"/>
      <c r="AF1353" s="447"/>
      <c r="AG1353"/>
      <c r="AH1353"/>
      <c r="AI1353" s="447"/>
      <c r="AJ1353"/>
      <c r="AK1353"/>
      <c r="AL1353" s="447"/>
      <c r="AM1353"/>
      <c r="AN1353"/>
      <c r="AO1353" s="447"/>
      <c r="AP1353"/>
      <c r="AQ1353"/>
      <c r="AS1353"/>
      <c r="AT1353" s="447"/>
      <c r="AU1353"/>
      <c r="AV1353"/>
      <c r="AW1353" s="447"/>
      <c r="AX1353"/>
      <c r="AY1353"/>
      <c r="AZ1353" s="447"/>
      <c r="BA1353"/>
      <c r="BB1353"/>
      <c r="BC1353" s="447"/>
      <c r="BD1353"/>
      <c r="BE1353"/>
    </row>
    <row r="1354" spans="4:57">
      <c r="D1354" s="447"/>
      <c r="G1354" s="447"/>
      <c r="J1354" s="447"/>
      <c r="M1354" s="447"/>
      <c r="R1354" s="447"/>
      <c r="S1354"/>
      <c r="T1354"/>
      <c r="U1354" s="447"/>
      <c r="V1354"/>
      <c r="W1354"/>
      <c r="X1354" s="447"/>
      <c r="Y1354"/>
      <c r="Z1354"/>
      <c r="AA1354" s="447"/>
      <c r="AB1354"/>
      <c r="AC1354"/>
      <c r="AE1354"/>
      <c r="AF1354" s="447"/>
      <c r="AG1354"/>
      <c r="AH1354"/>
      <c r="AI1354" s="447"/>
      <c r="AJ1354"/>
      <c r="AK1354"/>
      <c r="AL1354" s="447"/>
      <c r="AM1354"/>
      <c r="AN1354"/>
      <c r="AO1354" s="447"/>
      <c r="AP1354"/>
      <c r="AQ1354"/>
      <c r="AS1354"/>
      <c r="AT1354" s="447"/>
      <c r="AU1354"/>
      <c r="AV1354"/>
      <c r="AW1354" s="447"/>
      <c r="AX1354"/>
      <c r="AY1354"/>
      <c r="AZ1354" s="447"/>
      <c r="BA1354"/>
      <c r="BB1354"/>
      <c r="BC1354" s="447"/>
      <c r="BD1354"/>
      <c r="BE1354"/>
    </row>
    <row r="1355" spans="4:57">
      <c r="D1355" s="447"/>
      <c r="G1355" s="447"/>
      <c r="J1355" s="447"/>
      <c r="M1355" s="447"/>
      <c r="R1355" s="447"/>
      <c r="S1355"/>
      <c r="T1355"/>
      <c r="U1355" s="447"/>
      <c r="V1355"/>
      <c r="W1355"/>
      <c r="X1355" s="447"/>
      <c r="Y1355"/>
      <c r="Z1355"/>
      <c r="AA1355" s="447"/>
      <c r="AB1355"/>
      <c r="AC1355"/>
      <c r="AE1355"/>
      <c r="AF1355" s="447"/>
      <c r="AG1355"/>
      <c r="AH1355"/>
      <c r="AI1355" s="447"/>
      <c r="AJ1355"/>
      <c r="AK1355"/>
      <c r="AL1355" s="447"/>
      <c r="AM1355"/>
      <c r="AN1355"/>
      <c r="AO1355" s="447"/>
      <c r="AP1355"/>
      <c r="AQ1355"/>
      <c r="AS1355"/>
      <c r="AT1355" s="447"/>
      <c r="AU1355"/>
      <c r="AV1355"/>
      <c r="AW1355" s="447"/>
      <c r="AX1355"/>
      <c r="AY1355"/>
      <c r="AZ1355" s="447"/>
      <c r="BA1355"/>
      <c r="BB1355"/>
      <c r="BC1355" s="447"/>
      <c r="BD1355"/>
      <c r="BE1355"/>
    </row>
    <row r="1356" spans="4:57">
      <c r="D1356" s="447"/>
      <c r="G1356" s="447"/>
      <c r="J1356" s="447"/>
      <c r="M1356" s="447"/>
      <c r="R1356" s="447"/>
      <c r="S1356"/>
      <c r="T1356"/>
      <c r="U1356" s="447"/>
      <c r="V1356"/>
      <c r="W1356"/>
      <c r="X1356" s="447"/>
      <c r="Y1356"/>
      <c r="Z1356"/>
      <c r="AA1356" s="447"/>
      <c r="AB1356"/>
      <c r="AC1356"/>
      <c r="AE1356"/>
      <c r="AF1356" s="447"/>
      <c r="AG1356"/>
      <c r="AH1356"/>
      <c r="AI1356" s="447"/>
      <c r="AJ1356"/>
      <c r="AK1356"/>
      <c r="AL1356" s="447"/>
      <c r="AM1356"/>
      <c r="AN1356"/>
      <c r="AO1356" s="447"/>
      <c r="AP1356"/>
      <c r="AQ1356"/>
      <c r="AS1356"/>
      <c r="AT1356" s="447"/>
      <c r="AU1356"/>
      <c r="AV1356"/>
      <c r="AW1356" s="447"/>
      <c r="AX1356"/>
      <c r="AY1356"/>
      <c r="AZ1356" s="447"/>
      <c r="BA1356"/>
      <c r="BB1356"/>
      <c r="BC1356" s="447"/>
      <c r="BD1356"/>
      <c r="BE1356"/>
    </row>
    <row r="1357" spans="4:57">
      <c r="D1357" s="447"/>
      <c r="G1357" s="447"/>
      <c r="J1357" s="447"/>
      <c r="M1357" s="447"/>
      <c r="R1357" s="447"/>
      <c r="S1357"/>
      <c r="T1357"/>
      <c r="U1357" s="447"/>
      <c r="V1357"/>
      <c r="W1357"/>
      <c r="X1357" s="447"/>
      <c r="Y1357"/>
      <c r="Z1357"/>
      <c r="AA1357" s="447"/>
      <c r="AB1357"/>
      <c r="AC1357"/>
      <c r="AE1357"/>
      <c r="AF1357" s="447"/>
      <c r="AG1357"/>
      <c r="AH1357"/>
      <c r="AI1357" s="447"/>
      <c r="AJ1357"/>
      <c r="AK1357"/>
      <c r="AL1357" s="447"/>
      <c r="AM1357"/>
      <c r="AN1357"/>
      <c r="AO1357" s="447"/>
      <c r="AP1357"/>
      <c r="AQ1357"/>
      <c r="AS1357"/>
      <c r="AT1357" s="447"/>
      <c r="AU1357"/>
      <c r="AV1357"/>
      <c r="AW1357" s="447"/>
      <c r="AX1357"/>
      <c r="AY1357"/>
      <c r="AZ1357" s="447"/>
      <c r="BA1357"/>
      <c r="BB1357"/>
      <c r="BC1357" s="447"/>
      <c r="BD1357"/>
      <c r="BE1357"/>
    </row>
    <row r="1358" spans="4:57">
      <c r="D1358" s="447"/>
      <c r="G1358" s="447"/>
      <c r="J1358" s="447"/>
      <c r="M1358" s="447"/>
      <c r="R1358" s="447"/>
      <c r="S1358"/>
      <c r="T1358"/>
      <c r="U1358" s="447"/>
      <c r="V1358"/>
      <c r="W1358"/>
      <c r="X1358" s="447"/>
      <c r="Y1358"/>
      <c r="Z1358"/>
      <c r="AA1358" s="447"/>
      <c r="AB1358"/>
      <c r="AC1358"/>
      <c r="AE1358"/>
      <c r="AF1358" s="447"/>
      <c r="AG1358"/>
      <c r="AH1358"/>
      <c r="AI1358" s="447"/>
      <c r="AJ1358"/>
      <c r="AK1358"/>
      <c r="AL1358" s="447"/>
      <c r="AM1358"/>
      <c r="AN1358"/>
      <c r="AO1358" s="447"/>
      <c r="AP1358"/>
      <c r="AQ1358"/>
      <c r="AS1358"/>
      <c r="AT1358" s="447"/>
      <c r="AU1358"/>
      <c r="AV1358"/>
      <c r="AW1358" s="447"/>
      <c r="AX1358"/>
      <c r="AY1358"/>
      <c r="AZ1358" s="447"/>
      <c r="BA1358"/>
      <c r="BB1358"/>
      <c r="BC1358" s="447"/>
      <c r="BD1358"/>
      <c r="BE1358"/>
    </row>
    <row r="1359" spans="4:57">
      <c r="D1359" s="447"/>
      <c r="G1359" s="447"/>
      <c r="J1359" s="447"/>
      <c r="M1359" s="447"/>
      <c r="R1359" s="447"/>
      <c r="S1359"/>
      <c r="T1359"/>
      <c r="U1359" s="447"/>
      <c r="V1359"/>
      <c r="W1359"/>
      <c r="X1359" s="447"/>
      <c r="Y1359"/>
      <c r="Z1359"/>
      <c r="AA1359" s="447"/>
      <c r="AB1359"/>
      <c r="AC1359"/>
      <c r="AE1359"/>
      <c r="AF1359" s="447"/>
      <c r="AG1359"/>
      <c r="AH1359"/>
      <c r="AI1359" s="447"/>
      <c r="AJ1359"/>
      <c r="AK1359"/>
      <c r="AL1359" s="447"/>
      <c r="AM1359"/>
      <c r="AN1359"/>
      <c r="AO1359" s="447"/>
      <c r="AP1359"/>
      <c r="AQ1359"/>
      <c r="AS1359"/>
      <c r="AT1359" s="447"/>
      <c r="AU1359"/>
      <c r="AV1359"/>
      <c r="AW1359" s="447"/>
      <c r="AX1359"/>
      <c r="AY1359"/>
      <c r="AZ1359" s="447"/>
      <c r="BA1359"/>
      <c r="BB1359"/>
      <c r="BC1359" s="447"/>
      <c r="BD1359"/>
      <c r="BE1359"/>
    </row>
    <row r="1360" spans="4:57">
      <c r="D1360" s="447"/>
      <c r="G1360" s="447"/>
      <c r="J1360" s="447"/>
      <c r="M1360" s="447"/>
      <c r="R1360" s="447"/>
      <c r="S1360"/>
      <c r="T1360"/>
      <c r="U1360" s="447"/>
      <c r="V1360"/>
      <c r="W1360"/>
      <c r="X1360" s="447"/>
      <c r="Y1360"/>
      <c r="Z1360"/>
      <c r="AA1360" s="447"/>
      <c r="AB1360"/>
      <c r="AC1360"/>
      <c r="AE1360"/>
      <c r="AF1360" s="447"/>
      <c r="AG1360"/>
      <c r="AH1360"/>
      <c r="AI1360" s="447"/>
      <c r="AJ1360"/>
      <c r="AK1360"/>
      <c r="AL1360" s="447"/>
      <c r="AM1360"/>
      <c r="AN1360"/>
      <c r="AO1360" s="447"/>
      <c r="AP1360"/>
      <c r="AQ1360"/>
      <c r="AS1360"/>
      <c r="AT1360" s="447"/>
      <c r="AU1360"/>
      <c r="AV1360"/>
      <c r="AW1360" s="447"/>
      <c r="AX1360"/>
      <c r="AY1360"/>
      <c r="AZ1360" s="447"/>
      <c r="BA1360"/>
      <c r="BB1360"/>
      <c r="BC1360" s="447"/>
      <c r="BD1360"/>
      <c r="BE1360"/>
    </row>
    <row r="1361" spans="4:57">
      <c r="D1361" s="447"/>
      <c r="G1361" s="447"/>
      <c r="J1361" s="447"/>
      <c r="M1361" s="447"/>
      <c r="R1361" s="447"/>
      <c r="S1361"/>
      <c r="T1361"/>
      <c r="U1361" s="447"/>
      <c r="V1361"/>
      <c r="W1361"/>
      <c r="X1361" s="447"/>
      <c r="Y1361"/>
      <c r="Z1361"/>
      <c r="AA1361" s="447"/>
      <c r="AB1361"/>
      <c r="AC1361"/>
      <c r="AE1361"/>
      <c r="AF1361" s="447"/>
      <c r="AG1361"/>
      <c r="AH1361"/>
      <c r="AI1361" s="447"/>
      <c r="AJ1361"/>
      <c r="AK1361"/>
      <c r="AL1361" s="447"/>
      <c r="AM1361"/>
      <c r="AN1361"/>
      <c r="AO1361" s="447"/>
      <c r="AP1361"/>
      <c r="AQ1361"/>
      <c r="AS1361"/>
      <c r="AT1361" s="447"/>
      <c r="AU1361"/>
      <c r="AV1361"/>
      <c r="AW1361" s="447"/>
      <c r="AX1361"/>
      <c r="AY1361"/>
      <c r="AZ1361" s="447"/>
      <c r="BA1361"/>
      <c r="BB1361"/>
      <c r="BC1361" s="447"/>
      <c r="BD1361"/>
      <c r="BE1361"/>
    </row>
    <row r="1362" spans="4:57">
      <c r="D1362" s="447"/>
      <c r="G1362" s="447"/>
      <c r="J1362" s="447"/>
      <c r="M1362" s="447"/>
      <c r="R1362" s="447"/>
      <c r="S1362"/>
      <c r="T1362"/>
      <c r="U1362" s="447"/>
      <c r="V1362"/>
      <c r="W1362"/>
      <c r="X1362" s="447"/>
      <c r="Y1362"/>
      <c r="Z1362"/>
      <c r="AA1362" s="447"/>
      <c r="AB1362"/>
      <c r="AC1362"/>
      <c r="AE1362"/>
      <c r="AF1362" s="447"/>
      <c r="AG1362"/>
      <c r="AH1362"/>
      <c r="AI1362" s="447"/>
      <c r="AJ1362"/>
      <c r="AK1362"/>
      <c r="AL1362" s="447"/>
      <c r="AM1362"/>
      <c r="AN1362"/>
      <c r="AO1362" s="447"/>
      <c r="AP1362"/>
      <c r="AQ1362"/>
      <c r="AS1362"/>
      <c r="AT1362" s="447"/>
      <c r="AU1362"/>
      <c r="AV1362"/>
      <c r="AW1362" s="447"/>
      <c r="AX1362"/>
      <c r="AY1362"/>
      <c r="AZ1362" s="447"/>
      <c r="BA1362"/>
      <c r="BB1362"/>
      <c r="BC1362" s="447"/>
      <c r="BD1362"/>
      <c r="BE1362"/>
    </row>
    <row r="1363" spans="4:57">
      <c r="D1363" s="447"/>
      <c r="G1363" s="447"/>
      <c r="J1363" s="447"/>
      <c r="M1363" s="447"/>
      <c r="R1363" s="447"/>
      <c r="S1363"/>
      <c r="T1363"/>
      <c r="U1363" s="447"/>
      <c r="V1363"/>
      <c r="W1363"/>
      <c r="X1363" s="447"/>
      <c r="Y1363"/>
      <c r="Z1363"/>
      <c r="AA1363" s="447"/>
      <c r="AB1363"/>
      <c r="AC1363"/>
      <c r="AE1363"/>
      <c r="AF1363" s="447"/>
      <c r="AG1363"/>
      <c r="AH1363"/>
      <c r="AI1363" s="447"/>
      <c r="AJ1363"/>
      <c r="AK1363"/>
      <c r="AL1363" s="447"/>
      <c r="AM1363"/>
      <c r="AN1363"/>
      <c r="AO1363" s="447"/>
      <c r="AP1363"/>
      <c r="AQ1363"/>
      <c r="AS1363"/>
      <c r="AT1363" s="447"/>
      <c r="AU1363"/>
      <c r="AV1363"/>
      <c r="AW1363" s="447"/>
      <c r="AX1363"/>
      <c r="AY1363"/>
      <c r="AZ1363" s="447"/>
      <c r="BA1363"/>
      <c r="BB1363"/>
      <c r="BC1363" s="447"/>
      <c r="BD1363"/>
      <c r="BE1363"/>
    </row>
    <row r="1364" spans="4:57">
      <c r="D1364" s="447"/>
      <c r="G1364" s="447"/>
      <c r="J1364" s="447"/>
      <c r="M1364" s="447"/>
      <c r="R1364" s="447"/>
      <c r="S1364"/>
      <c r="T1364"/>
      <c r="U1364" s="447"/>
      <c r="V1364"/>
      <c r="W1364"/>
      <c r="X1364" s="447"/>
      <c r="Y1364"/>
      <c r="Z1364"/>
      <c r="AA1364" s="447"/>
      <c r="AB1364"/>
      <c r="AC1364"/>
      <c r="AE1364"/>
      <c r="AF1364" s="447"/>
      <c r="AG1364"/>
      <c r="AH1364"/>
      <c r="AI1364" s="447"/>
      <c r="AJ1364"/>
      <c r="AK1364"/>
      <c r="AL1364" s="447"/>
      <c r="AM1364"/>
      <c r="AN1364"/>
      <c r="AO1364" s="447"/>
      <c r="AP1364"/>
      <c r="AQ1364"/>
      <c r="AS1364"/>
      <c r="AT1364" s="447"/>
      <c r="AU1364"/>
      <c r="AV1364"/>
      <c r="AW1364" s="447"/>
      <c r="AX1364"/>
      <c r="AY1364"/>
      <c r="AZ1364" s="447"/>
      <c r="BA1364"/>
      <c r="BB1364"/>
      <c r="BC1364" s="447"/>
      <c r="BD1364"/>
      <c r="BE1364"/>
    </row>
    <row r="1365" spans="4:57">
      <c r="D1365" s="447"/>
      <c r="G1365" s="447"/>
      <c r="J1365" s="447"/>
      <c r="M1365" s="447"/>
      <c r="R1365" s="447"/>
      <c r="S1365"/>
      <c r="T1365"/>
      <c r="U1365" s="447"/>
      <c r="V1365"/>
      <c r="W1365"/>
      <c r="X1365" s="447"/>
      <c r="Y1365"/>
      <c r="Z1365"/>
      <c r="AA1365" s="447"/>
      <c r="AB1365"/>
      <c r="AC1365"/>
      <c r="AE1365"/>
      <c r="AF1365" s="447"/>
      <c r="AG1365"/>
      <c r="AH1365"/>
      <c r="AI1365" s="447"/>
      <c r="AJ1365"/>
      <c r="AK1365"/>
      <c r="AL1365" s="447"/>
      <c r="AM1365"/>
      <c r="AN1365"/>
      <c r="AO1365" s="447"/>
      <c r="AP1365"/>
      <c r="AQ1365"/>
      <c r="AS1365"/>
      <c r="AT1365" s="447"/>
      <c r="AU1365"/>
      <c r="AV1365"/>
      <c r="AW1365" s="447"/>
      <c r="AX1365"/>
      <c r="AY1365"/>
      <c r="AZ1365" s="447"/>
      <c r="BA1365"/>
      <c r="BB1365"/>
      <c r="BC1365" s="447"/>
      <c r="BD1365"/>
      <c r="BE1365"/>
    </row>
    <row r="1366" spans="4:57">
      <c r="D1366" s="447"/>
      <c r="G1366" s="447"/>
      <c r="J1366" s="447"/>
      <c r="M1366" s="447"/>
      <c r="R1366" s="447"/>
      <c r="S1366"/>
      <c r="T1366"/>
      <c r="U1366" s="447"/>
      <c r="V1366"/>
      <c r="W1366"/>
      <c r="X1366" s="447"/>
      <c r="Y1366"/>
      <c r="Z1366"/>
      <c r="AA1366" s="447"/>
      <c r="AB1366"/>
      <c r="AC1366"/>
      <c r="AE1366"/>
      <c r="AF1366" s="447"/>
      <c r="AG1366"/>
      <c r="AH1366"/>
      <c r="AI1366" s="447"/>
      <c r="AJ1366"/>
      <c r="AK1366"/>
      <c r="AL1366" s="447"/>
      <c r="AM1366"/>
      <c r="AN1366"/>
      <c r="AO1366" s="447"/>
      <c r="AP1366"/>
      <c r="AQ1366"/>
      <c r="AS1366"/>
      <c r="AT1366" s="447"/>
      <c r="AU1366"/>
      <c r="AV1366"/>
      <c r="AW1366" s="447"/>
      <c r="AX1366"/>
      <c r="AY1366"/>
      <c r="AZ1366" s="447"/>
      <c r="BA1366"/>
      <c r="BB1366"/>
      <c r="BC1366" s="447"/>
      <c r="BD1366"/>
      <c r="BE1366"/>
    </row>
    <row r="1367" spans="4:57">
      <c r="D1367" s="447"/>
      <c r="G1367" s="447"/>
      <c r="J1367" s="447"/>
      <c r="M1367" s="447"/>
      <c r="R1367" s="447"/>
      <c r="S1367"/>
      <c r="T1367"/>
      <c r="U1367" s="447"/>
      <c r="V1367"/>
      <c r="W1367"/>
      <c r="X1367" s="447"/>
      <c r="Y1367"/>
      <c r="Z1367"/>
      <c r="AA1367" s="447"/>
      <c r="AB1367"/>
      <c r="AC1367"/>
      <c r="AE1367"/>
      <c r="AF1367" s="447"/>
      <c r="AG1367"/>
      <c r="AH1367"/>
      <c r="AI1367" s="447"/>
      <c r="AJ1367"/>
      <c r="AK1367"/>
      <c r="AL1367" s="447"/>
      <c r="AM1367"/>
      <c r="AN1367"/>
      <c r="AO1367" s="447"/>
      <c r="AP1367"/>
      <c r="AQ1367"/>
      <c r="AS1367"/>
      <c r="AT1367" s="447"/>
      <c r="AU1367"/>
      <c r="AV1367"/>
      <c r="AW1367" s="447"/>
      <c r="AX1367"/>
      <c r="AY1367"/>
      <c r="AZ1367" s="447"/>
      <c r="BA1367"/>
      <c r="BB1367"/>
      <c r="BC1367" s="447"/>
      <c r="BD1367"/>
      <c r="BE1367"/>
    </row>
    <row r="1368" spans="4:57">
      <c r="D1368" s="447"/>
      <c r="G1368" s="447"/>
      <c r="J1368" s="447"/>
      <c r="M1368" s="447"/>
      <c r="R1368" s="447"/>
      <c r="S1368"/>
      <c r="T1368"/>
      <c r="U1368" s="447"/>
      <c r="V1368"/>
      <c r="W1368"/>
      <c r="X1368" s="447"/>
      <c r="Y1368"/>
      <c r="Z1368"/>
      <c r="AA1368" s="447"/>
      <c r="AB1368"/>
      <c r="AC1368"/>
      <c r="AE1368"/>
      <c r="AF1368" s="447"/>
      <c r="AG1368"/>
      <c r="AH1368"/>
      <c r="AI1368" s="447"/>
      <c r="AJ1368"/>
      <c r="AK1368"/>
      <c r="AL1368" s="447"/>
      <c r="AM1368"/>
      <c r="AN1368"/>
      <c r="AO1368" s="447"/>
      <c r="AP1368"/>
      <c r="AQ1368"/>
      <c r="AS1368"/>
      <c r="AT1368" s="447"/>
      <c r="AU1368"/>
      <c r="AV1368"/>
      <c r="AW1368" s="447"/>
      <c r="AX1368"/>
      <c r="AY1368"/>
      <c r="AZ1368" s="447"/>
      <c r="BA1368"/>
      <c r="BB1368"/>
      <c r="BC1368" s="447"/>
      <c r="BD1368"/>
      <c r="BE1368"/>
    </row>
    <row r="1369" spans="4:57">
      <c r="D1369" s="447"/>
      <c r="G1369" s="447"/>
      <c r="J1369" s="447"/>
      <c r="M1369" s="447"/>
      <c r="R1369" s="447"/>
      <c r="S1369"/>
      <c r="T1369"/>
      <c r="U1369" s="447"/>
      <c r="V1369"/>
      <c r="W1369"/>
      <c r="X1369" s="447"/>
      <c r="Y1369"/>
      <c r="Z1369"/>
      <c r="AA1369" s="447"/>
      <c r="AB1369"/>
      <c r="AC1369"/>
      <c r="AE1369"/>
      <c r="AF1369" s="447"/>
      <c r="AG1369"/>
      <c r="AH1369"/>
      <c r="AI1369" s="447"/>
      <c r="AJ1369"/>
      <c r="AK1369"/>
      <c r="AL1369" s="447"/>
      <c r="AM1369"/>
      <c r="AN1369"/>
      <c r="AO1369" s="447"/>
      <c r="AP1369"/>
      <c r="AQ1369"/>
      <c r="AS1369"/>
      <c r="AT1369" s="447"/>
      <c r="AU1369"/>
      <c r="AV1369"/>
      <c r="AW1369" s="447"/>
      <c r="AX1369"/>
      <c r="AY1369"/>
      <c r="AZ1369" s="447"/>
      <c r="BA1369"/>
      <c r="BB1369"/>
      <c r="BC1369" s="447"/>
      <c r="BD1369"/>
      <c r="BE1369"/>
    </row>
    <row r="1370" spans="4:57">
      <c r="D1370" s="447"/>
      <c r="G1370" s="447"/>
      <c r="J1370" s="447"/>
      <c r="M1370" s="447"/>
      <c r="R1370" s="447"/>
      <c r="S1370"/>
      <c r="T1370"/>
      <c r="U1370" s="447"/>
      <c r="V1370"/>
      <c r="W1370"/>
      <c r="X1370" s="447"/>
      <c r="Y1370"/>
      <c r="Z1370"/>
      <c r="AA1370" s="447"/>
      <c r="AB1370"/>
      <c r="AC1370"/>
      <c r="AE1370"/>
      <c r="AF1370" s="447"/>
      <c r="AG1370"/>
      <c r="AH1370"/>
      <c r="AI1370" s="447"/>
      <c r="AJ1370"/>
      <c r="AK1370"/>
      <c r="AL1370" s="447"/>
      <c r="AM1370"/>
      <c r="AN1370"/>
      <c r="AO1370" s="447"/>
      <c r="AP1370"/>
      <c r="AQ1370"/>
      <c r="AS1370"/>
      <c r="AT1370" s="447"/>
      <c r="AU1370"/>
      <c r="AV1370"/>
      <c r="AW1370" s="447"/>
      <c r="AX1370"/>
      <c r="AY1370"/>
      <c r="AZ1370" s="447"/>
      <c r="BA1370"/>
      <c r="BB1370"/>
      <c r="BC1370" s="447"/>
      <c r="BD1370"/>
      <c r="BE1370"/>
    </row>
    <row r="1371" spans="4:57">
      <c r="D1371" s="447"/>
      <c r="G1371" s="447"/>
      <c r="J1371" s="447"/>
      <c r="M1371" s="447"/>
      <c r="R1371" s="447"/>
      <c r="S1371"/>
      <c r="T1371"/>
      <c r="U1371" s="447"/>
      <c r="V1371"/>
      <c r="W1371"/>
      <c r="X1371" s="447"/>
      <c r="Y1371"/>
      <c r="Z1371"/>
      <c r="AA1371" s="447"/>
      <c r="AB1371"/>
      <c r="AC1371"/>
      <c r="AE1371"/>
      <c r="AF1371" s="447"/>
      <c r="AG1371"/>
      <c r="AH1371"/>
      <c r="AI1371" s="447"/>
      <c r="AJ1371"/>
      <c r="AK1371"/>
      <c r="AL1371" s="447"/>
      <c r="AM1371"/>
      <c r="AN1371"/>
      <c r="AO1371" s="447"/>
      <c r="AP1371"/>
      <c r="AQ1371"/>
      <c r="AS1371"/>
      <c r="AT1371" s="447"/>
      <c r="AU1371"/>
      <c r="AV1371"/>
      <c r="AW1371" s="447"/>
      <c r="AX1371"/>
      <c r="AY1371"/>
      <c r="AZ1371" s="447"/>
      <c r="BA1371"/>
      <c r="BB1371"/>
      <c r="BC1371" s="447"/>
      <c r="BD1371"/>
      <c r="BE1371"/>
    </row>
    <row r="1372" spans="4:57">
      <c r="D1372" s="447"/>
      <c r="G1372" s="447"/>
      <c r="J1372" s="447"/>
      <c r="M1372" s="447"/>
      <c r="R1372" s="447"/>
      <c r="S1372"/>
      <c r="T1372"/>
      <c r="U1372" s="447"/>
      <c r="V1372"/>
      <c r="W1372"/>
      <c r="X1372" s="447"/>
      <c r="Y1372"/>
      <c r="Z1372"/>
      <c r="AA1372" s="447"/>
      <c r="AB1372"/>
      <c r="AC1372"/>
      <c r="AE1372"/>
      <c r="AF1372" s="447"/>
      <c r="AG1372"/>
      <c r="AH1372"/>
      <c r="AI1372" s="447"/>
      <c r="AJ1372"/>
      <c r="AK1372"/>
      <c r="AL1372" s="447"/>
      <c r="AM1372"/>
      <c r="AN1372"/>
      <c r="AO1372" s="447"/>
      <c r="AP1372"/>
      <c r="AQ1372"/>
      <c r="AS1372"/>
      <c r="AT1372" s="447"/>
      <c r="AU1372"/>
      <c r="AV1372"/>
      <c r="AW1372" s="447"/>
      <c r="AX1372"/>
      <c r="AY1372"/>
      <c r="AZ1372" s="447"/>
      <c r="BA1372"/>
      <c r="BB1372"/>
      <c r="BC1372" s="447"/>
      <c r="BD1372"/>
      <c r="BE1372"/>
    </row>
    <row r="1373" spans="4:57">
      <c r="D1373" s="447"/>
      <c r="G1373" s="447"/>
      <c r="J1373" s="447"/>
      <c r="M1373" s="447"/>
      <c r="R1373" s="447"/>
      <c r="S1373"/>
      <c r="T1373"/>
      <c r="U1373" s="447"/>
      <c r="V1373"/>
      <c r="W1373"/>
      <c r="X1373" s="447"/>
      <c r="Y1373"/>
      <c r="Z1373"/>
      <c r="AA1373" s="447"/>
      <c r="AB1373"/>
      <c r="AC1373"/>
      <c r="AE1373"/>
      <c r="AF1373" s="447"/>
      <c r="AG1373"/>
      <c r="AH1373"/>
      <c r="AI1373" s="447"/>
      <c r="AJ1373"/>
      <c r="AK1373"/>
      <c r="AL1373" s="447"/>
      <c r="AM1373"/>
      <c r="AN1373"/>
      <c r="AO1373" s="447"/>
      <c r="AP1373"/>
      <c r="AQ1373"/>
      <c r="AS1373"/>
      <c r="AT1373" s="447"/>
      <c r="AU1373"/>
      <c r="AV1373"/>
      <c r="AW1373" s="447"/>
      <c r="AX1373"/>
      <c r="AY1373"/>
      <c r="AZ1373" s="447"/>
      <c r="BA1373"/>
      <c r="BB1373"/>
      <c r="BC1373" s="447"/>
      <c r="BD1373"/>
      <c r="BE1373"/>
    </row>
    <row r="1374" spans="4:57">
      <c r="D1374" s="447"/>
      <c r="G1374" s="447"/>
      <c r="J1374" s="447"/>
      <c r="M1374" s="447"/>
      <c r="R1374" s="447"/>
      <c r="S1374"/>
      <c r="T1374"/>
      <c r="U1374" s="447"/>
      <c r="V1374"/>
      <c r="W1374"/>
      <c r="X1374" s="447"/>
      <c r="Y1374"/>
      <c r="Z1374"/>
      <c r="AA1374" s="447"/>
      <c r="AB1374"/>
      <c r="AC1374"/>
      <c r="AE1374"/>
      <c r="AF1374" s="447"/>
      <c r="AG1374"/>
      <c r="AH1374"/>
      <c r="AI1374" s="447"/>
      <c r="AJ1374"/>
      <c r="AK1374"/>
      <c r="AL1374" s="447"/>
      <c r="AM1374"/>
      <c r="AN1374"/>
      <c r="AO1374" s="447"/>
      <c r="AP1374"/>
      <c r="AQ1374"/>
      <c r="AS1374"/>
      <c r="AT1374" s="447"/>
      <c r="AU1374"/>
      <c r="AV1374"/>
      <c r="AW1374" s="447"/>
      <c r="AX1374"/>
      <c r="AY1374"/>
      <c r="AZ1374" s="447"/>
      <c r="BA1374"/>
      <c r="BB1374"/>
      <c r="BC1374" s="447"/>
      <c r="BD1374"/>
      <c r="BE1374"/>
    </row>
    <row r="1375" spans="4:57">
      <c r="D1375" s="447"/>
      <c r="G1375" s="447"/>
      <c r="J1375" s="447"/>
      <c r="M1375" s="447"/>
      <c r="R1375" s="447"/>
      <c r="S1375"/>
      <c r="T1375"/>
      <c r="U1375" s="447"/>
      <c r="V1375"/>
      <c r="W1375"/>
      <c r="X1375" s="447"/>
      <c r="Y1375"/>
      <c r="Z1375"/>
      <c r="AA1375" s="447"/>
      <c r="AB1375"/>
      <c r="AC1375"/>
      <c r="AE1375"/>
      <c r="AF1375" s="447"/>
      <c r="AG1375"/>
      <c r="AH1375"/>
      <c r="AI1375" s="447"/>
      <c r="AJ1375"/>
      <c r="AK1375"/>
      <c r="AL1375" s="447"/>
      <c r="AM1375"/>
      <c r="AN1375"/>
      <c r="AO1375" s="447"/>
      <c r="AP1375"/>
      <c r="AQ1375"/>
      <c r="AS1375"/>
      <c r="AT1375" s="447"/>
      <c r="AU1375"/>
      <c r="AV1375"/>
      <c r="AW1375" s="447"/>
      <c r="AX1375"/>
      <c r="AY1375"/>
      <c r="AZ1375" s="447"/>
      <c r="BA1375"/>
      <c r="BB1375"/>
      <c r="BC1375" s="447"/>
      <c r="BD1375"/>
      <c r="BE1375"/>
    </row>
    <row r="1376" spans="4:57">
      <c r="D1376" s="447"/>
      <c r="G1376" s="447"/>
      <c r="J1376" s="447"/>
      <c r="M1376" s="447"/>
      <c r="R1376" s="447"/>
      <c r="S1376"/>
      <c r="T1376"/>
      <c r="U1376" s="447"/>
      <c r="V1376"/>
      <c r="W1376"/>
      <c r="X1376" s="447"/>
      <c r="Y1376"/>
      <c r="Z1376"/>
      <c r="AA1376" s="447"/>
      <c r="AB1376"/>
      <c r="AC1376"/>
      <c r="AE1376"/>
      <c r="AF1376" s="447"/>
      <c r="AG1376"/>
      <c r="AH1376"/>
      <c r="AI1376" s="447"/>
      <c r="AJ1376"/>
      <c r="AK1376"/>
      <c r="AL1376" s="447"/>
      <c r="AM1376"/>
      <c r="AN1376"/>
      <c r="AO1376" s="447"/>
      <c r="AP1376"/>
      <c r="AQ1376"/>
      <c r="AS1376"/>
      <c r="AT1376" s="447"/>
      <c r="AU1376"/>
      <c r="AV1376"/>
      <c r="AW1376" s="447"/>
      <c r="AX1376"/>
      <c r="AY1376"/>
      <c r="AZ1376" s="447"/>
      <c r="BA1376"/>
      <c r="BB1376"/>
      <c r="BC1376" s="447"/>
      <c r="BD1376"/>
      <c r="BE1376"/>
    </row>
    <row r="1377" spans="4:57">
      <c r="D1377" s="447"/>
      <c r="G1377" s="447"/>
      <c r="J1377" s="447"/>
      <c r="M1377" s="447"/>
      <c r="R1377" s="447"/>
      <c r="S1377"/>
      <c r="T1377"/>
      <c r="U1377" s="447"/>
      <c r="V1377"/>
      <c r="W1377"/>
      <c r="X1377" s="447"/>
      <c r="Y1377"/>
      <c r="Z1377"/>
      <c r="AA1377" s="447"/>
      <c r="AB1377"/>
      <c r="AC1377"/>
      <c r="AE1377"/>
      <c r="AF1377" s="447"/>
      <c r="AG1377"/>
      <c r="AH1377"/>
      <c r="AI1377" s="447"/>
      <c r="AJ1377"/>
      <c r="AK1377"/>
      <c r="AL1377" s="447"/>
      <c r="AM1377"/>
      <c r="AN1377"/>
      <c r="AO1377" s="447"/>
      <c r="AP1377"/>
      <c r="AQ1377"/>
      <c r="AS1377"/>
      <c r="AT1377" s="447"/>
      <c r="AU1377"/>
      <c r="AV1377"/>
      <c r="AW1377" s="447"/>
      <c r="AX1377"/>
      <c r="AY1377"/>
      <c r="AZ1377" s="447"/>
      <c r="BA1377"/>
      <c r="BB1377"/>
      <c r="BC1377" s="447"/>
      <c r="BD1377"/>
      <c r="BE1377"/>
    </row>
    <row r="1378" spans="4:57">
      <c r="D1378" s="447"/>
      <c r="G1378" s="447"/>
      <c r="J1378" s="447"/>
      <c r="M1378" s="447"/>
      <c r="R1378" s="447"/>
      <c r="S1378"/>
      <c r="T1378"/>
      <c r="U1378" s="447"/>
      <c r="V1378"/>
      <c r="W1378"/>
      <c r="X1378" s="447"/>
      <c r="Y1378"/>
      <c r="Z1378"/>
      <c r="AA1378" s="447"/>
      <c r="AB1378"/>
      <c r="AC1378"/>
      <c r="AE1378"/>
      <c r="AF1378" s="447"/>
      <c r="AG1378"/>
      <c r="AH1378"/>
      <c r="AI1378" s="447"/>
      <c r="AJ1378"/>
      <c r="AK1378"/>
      <c r="AL1378" s="447"/>
      <c r="AM1378"/>
      <c r="AN1378"/>
      <c r="AO1378" s="447"/>
      <c r="AP1378"/>
      <c r="AQ1378"/>
      <c r="AS1378"/>
      <c r="AT1378" s="447"/>
      <c r="AU1378"/>
      <c r="AV1378"/>
      <c r="AW1378" s="447"/>
      <c r="AX1378"/>
      <c r="AY1378"/>
      <c r="AZ1378" s="447"/>
      <c r="BA1378"/>
      <c r="BB1378"/>
      <c r="BC1378" s="447"/>
      <c r="BD1378"/>
      <c r="BE1378"/>
    </row>
    <row r="1379" spans="4:57">
      <c r="D1379" s="447"/>
      <c r="G1379" s="447"/>
      <c r="J1379" s="447"/>
      <c r="M1379" s="447"/>
      <c r="R1379" s="447"/>
      <c r="S1379"/>
      <c r="T1379"/>
      <c r="U1379" s="447"/>
      <c r="V1379"/>
      <c r="W1379"/>
      <c r="X1379" s="447"/>
      <c r="Y1379"/>
      <c r="Z1379"/>
      <c r="AA1379" s="447"/>
      <c r="AB1379"/>
      <c r="AC1379"/>
      <c r="AE1379"/>
      <c r="AF1379" s="447"/>
      <c r="AG1379"/>
      <c r="AH1379"/>
      <c r="AI1379" s="447"/>
      <c r="AJ1379"/>
      <c r="AK1379"/>
      <c r="AL1379" s="447"/>
      <c r="AM1379"/>
      <c r="AN1379"/>
      <c r="AO1379" s="447"/>
      <c r="AP1379"/>
      <c r="AQ1379"/>
      <c r="AS1379"/>
      <c r="AT1379" s="447"/>
      <c r="AU1379"/>
      <c r="AV1379"/>
      <c r="AW1379" s="447"/>
      <c r="AX1379"/>
      <c r="AY1379"/>
      <c r="AZ1379" s="447"/>
      <c r="BA1379"/>
      <c r="BB1379"/>
      <c r="BC1379" s="447"/>
      <c r="BD1379"/>
      <c r="BE1379"/>
    </row>
    <row r="1380" spans="4:57">
      <c r="D1380" s="447"/>
      <c r="G1380" s="447"/>
      <c r="J1380" s="447"/>
      <c r="M1380" s="447"/>
      <c r="R1380" s="447"/>
      <c r="S1380"/>
      <c r="T1380"/>
      <c r="U1380" s="447"/>
      <c r="V1380"/>
      <c r="W1380"/>
      <c r="X1380" s="447"/>
      <c r="Y1380"/>
      <c r="Z1380"/>
      <c r="AA1380" s="447"/>
      <c r="AB1380"/>
      <c r="AC1380"/>
      <c r="AE1380"/>
      <c r="AF1380" s="447"/>
      <c r="AG1380"/>
      <c r="AH1380"/>
      <c r="AI1380" s="447"/>
      <c r="AJ1380"/>
      <c r="AK1380"/>
      <c r="AL1380" s="447"/>
      <c r="AM1380"/>
      <c r="AN1380"/>
      <c r="AO1380" s="447"/>
      <c r="AP1380"/>
      <c r="AQ1380"/>
      <c r="AS1380"/>
      <c r="AT1380" s="447"/>
      <c r="AU1380"/>
      <c r="AV1380"/>
      <c r="AW1380" s="447"/>
      <c r="AX1380"/>
      <c r="AY1380"/>
      <c r="AZ1380" s="447"/>
      <c r="BA1380"/>
      <c r="BB1380"/>
      <c r="BC1380" s="447"/>
      <c r="BD1380"/>
      <c r="BE1380"/>
    </row>
    <row r="1381" spans="4:57">
      <c r="D1381" s="447"/>
      <c r="G1381" s="447"/>
      <c r="J1381" s="447"/>
      <c r="M1381" s="447"/>
      <c r="R1381" s="447"/>
      <c r="S1381"/>
      <c r="T1381"/>
      <c r="U1381" s="447"/>
      <c r="V1381"/>
      <c r="W1381"/>
      <c r="X1381" s="447"/>
      <c r="Y1381"/>
      <c r="Z1381"/>
      <c r="AA1381" s="447"/>
      <c r="AB1381"/>
      <c r="AC1381"/>
      <c r="AE1381"/>
      <c r="AF1381" s="447"/>
      <c r="AG1381"/>
      <c r="AH1381"/>
      <c r="AI1381" s="447"/>
      <c r="AJ1381"/>
      <c r="AK1381"/>
      <c r="AL1381" s="447"/>
      <c r="AM1381"/>
      <c r="AN1381"/>
      <c r="AO1381" s="447"/>
      <c r="AP1381"/>
      <c r="AQ1381"/>
      <c r="AS1381"/>
      <c r="AT1381" s="447"/>
      <c r="AU1381"/>
      <c r="AV1381"/>
      <c r="AW1381" s="447"/>
      <c r="AX1381"/>
      <c r="AY1381"/>
      <c r="AZ1381" s="447"/>
      <c r="BA1381"/>
      <c r="BB1381"/>
      <c r="BC1381" s="447"/>
      <c r="BD1381"/>
      <c r="BE1381"/>
    </row>
    <row r="1382" spans="4:57">
      <c r="D1382" s="447"/>
      <c r="G1382" s="447"/>
      <c r="J1382" s="447"/>
      <c r="M1382" s="447"/>
      <c r="R1382" s="447"/>
      <c r="S1382"/>
      <c r="T1382"/>
      <c r="U1382" s="447"/>
      <c r="V1382"/>
      <c r="W1382"/>
      <c r="X1382" s="447"/>
      <c r="Y1382"/>
      <c r="Z1382"/>
      <c r="AA1382" s="447"/>
      <c r="AB1382"/>
      <c r="AC1382"/>
      <c r="AE1382"/>
      <c r="AF1382" s="447"/>
      <c r="AG1382"/>
      <c r="AH1382"/>
      <c r="AI1382" s="447"/>
      <c r="AJ1382"/>
      <c r="AK1382"/>
      <c r="AL1382" s="447"/>
      <c r="AM1382"/>
      <c r="AN1382"/>
      <c r="AO1382" s="447"/>
      <c r="AP1382"/>
      <c r="AQ1382"/>
      <c r="AS1382"/>
      <c r="AT1382" s="447"/>
      <c r="AU1382"/>
      <c r="AV1382"/>
      <c r="AW1382" s="447"/>
      <c r="AX1382"/>
      <c r="AY1382"/>
      <c r="AZ1382" s="447"/>
      <c r="BA1382"/>
      <c r="BB1382"/>
      <c r="BC1382" s="447"/>
      <c r="BD1382"/>
      <c r="BE1382"/>
    </row>
    <row r="1383" spans="4:57">
      <c r="D1383" s="447"/>
      <c r="G1383" s="447"/>
      <c r="J1383" s="447"/>
      <c r="M1383" s="447"/>
      <c r="R1383" s="447"/>
      <c r="S1383"/>
      <c r="T1383"/>
      <c r="U1383" s="447"/>
      <c r="V1383"/>
      <c r="W1383"/>
      <c r="X1383" s="447"/>
      <c r="Y1383"/>
      <c r="Z1383"/>
      <c r="AA1383" s="447"/>
      <c r="AB1383"/>
      <c r="AC1383"/>
      <c r="AE1383"/>
      <c r="AF1383" s="447"/>
      <c r="AG1383"/>
      <c r="AH1383"/>
      <c r="AI1383" s="447"/>
      <c r="AJ1383"/>
      <c r="AK1383"/>
      <c r="AL1383" s="447"/>
      <c r="AM1383"/>
      <c r="AN1383"/>
      <c r="AO1383" s="447"/>
      <c r="AP1383"/>
      <c r="AQ1383"/>
      <c r="AS1383"/>
      <c r="AT1383" s="447"/>
      <c r="AU1383"/>
      <c r="AV1383"/>
      <c r="AW1383" s="447"/>
      <c r="AX1383"/>
      <c r="AY1383"/>
      <c r="AZ1383" s="447"/>
      <c r="BA1383"/>
      <c r="BB1383"/>
      <c r="BC1383" s="447"/>
      <c r="BD1383"/>
      <c r="BE1383"/>
    </row>
    <row r="1384" spans="4:57">
      <c r="D1384" s="447"/>
      <c r="G1384" s="447"/>
      <c r="J1384" s="447"/>
      <c r="M1384" s="447"/>
      <c r="R1384" s="447"/>
      <c r="S1384"/>
      <c r="T1384"/>
      <c r="U1384" s="447"/>
      <c r="V1384"/>
      <c r="W1384"/>
      <c r="X1384" s="447"/>
      <c r="Y1384"/>
      <c r="Z1384"/>
      <c r="AA1384" s="447"/>
      <c r="AB1384"/>
      <c r="AC1384"/>
      <c r="AE1384"/>
      <c r="AF1384" s="447"/>
      <c r="AG1384"/>
      <c r="AH1384"/>
      <c r="AI1384" s="447"/>
      <c r="AJ1384"/>
      <c r="AK1384"/>
      <c r="AL1384" s="447"/>
      <c r="AM1384"/>
      <c r="AN1384"/>
      <c r="AO1384" s="447"/>
      <c r="AP1384"/>
      <c r="AQ1384"/>
      <c r="AS1384"/>
      <c r="AT1384" s="447"/>
      <c r="AU1384"/>
      <c r="AV1384"/>
      <c r="AW1384" s="447"/>
      <c r="AX1384"/>
      <c r="AY1384"/>
      <c r="AZ1384" s="447"/>
      <c r="BA1384"/>
      <c r="BB1384"/>
      <c r="BC1384" s="447"/>
      <c r="BD1384"/>
      <c r="BE1384"/>
    </row>
    <row r="1385" spans="4:57">
      <c r="D1385" s="447"/>
      <c r="G1385" s="447"/>
      <c r="J1385" s="447"/>
      <c r="M1385" s="447"/>
      <c r="R1385" s="447"/>
      <c r="S1385"/>
      <c r="T1385"/>
      <c r="U1385" s="447"/>
      <c r="V1385"/>
      <c r="W1385"/>
      <c r="X1385" s="447"/>
      <c r="Y1385"/>
      <c r="Z1385"/>
      <c r="AA1385" s="447"/>
      <c r="AB1385"/>
      <c r="AC1385"/>
      <c r="AE1385"/>
      <c r="AF1385" s="447"/>
      <c r="AG1385"/>
      <c r="AH1385"/>
      <c r="AI1385" s="447"/>
      <c r="AJ1385"/>
      <c r="AK1385"/>
      <c r="AL1385" s="447"/>
      <c r="AM1385"/>
      <c r="AN1385"/>
      <c r="AO1385" s="447"/>
      <c r="AP1385"/>
      <c r="AQ1385"/>
      <c r="AS1385"/>
      <c r="AT1385" s="447"/>
      <c r="AU1385"/>
      <c r="AV1385"/>
      <c r="AW1385" s="447"/>
      <c r="AX1385"/>
      <c r="AY1385"/>
      <c r="AZ1385" s="447"/>
      <c r="BA1385"/>
      <c r="BB1385"/>
      <c r="BC1385" s="447"/>
      <c r="BD1385"/>
      <c r="BE1385"/>
    </row>
    <row r="1386" spans="4:57">
      <c r="D1386" s="447"/>
      <c r="G1386" s="447"/>
      <c r="J1386" s="447"/>
      <c r="M1386" s="447"/>
      <c r="R1386" s="447"/>
      <c r="S1386"/>
      <c r="T1386"/>
      <c r="U1386" s="447"/>
      <c r="V1386"/>
      <c r="W1386"/>
      <c r="X1386" s="447"/>
      <c r="Y1386"/>
      <c r="Z1386"/>
      <c r="AA1386" s="447"/>
      <c r="AB1386"/>
      <c r="AC1386"/>
      <c r="AE1386"/>
      <c r="AF1386" s="447"/>
      <c r="AG1386"/>
      <c r="AH1386"/>
      <c r="AI1386" s="447"/>
      <c r="AJ1386"/>
      <c r="AK1386"/>
      <c r="AL1386" s="447"/>
      <c r="AM1386"/>
      <c r="AN1386"/>
      <c r="AO1386" s="447"/>
      <c r="AP1386"/>
      <c r="AQ1386"/>
      <c r="AS1386"/>
      <c r="AT1386" s="447"/>
      <c r="AU1386"/>
      <c r="AV1386"/>
      <c r="AW1386" s="447"/>
      <c r="AX1386"/>
      <c r="AY1386"/>
      <c r="AZ1386" s="447"/>
      <c r="BA1386"/>
      <c r="BB1386"/>
      <c r="BC1386" s="447"/>
      <c r="BD1386"/>
      <c r="BE1386"/>
    </row>
    <row r="1387" spans="4:57">
      <c r="D1387" s="447"/>
      <c r="G1387" s="447"/>
      <c r="J1387" s="447"/>
      <c r="M1387" s="447"/>
      <c r="R1387" s="447"/>
      <c r="S1387"/>
      <c r="T1387"/>
      <c r="U1387" s="447"/>
      <c r="V1387"/>
      <c r="W1387"/>
      <c r="X1387" s="447"/>
      <c r="Y1387"/>
      <c r="Z1387"/>
      <c r="AA1387" s="447"/>
      <c r="AB1387"/>
      <c r="AC1387"/>
      <c r="AE1387"/>
      <c r="AF1387" s="447"/>
      <c r="AG1387"/>
      <c r="AH1387"/>
      <c r="AI1387" s="447"/>
      <c r="AJ1387"/>
      <c r="AK1387"/>
      <c r="AL1387" s="447"/>
      <c r="AM1387"/>
      <c r="AN1387"/>
      <c r="AO1387" s="447"/>
      <c r="AP1387"/>
      <c r="AQ1387"/>
      <c r="AS1387"/>
      <c r="AT1387" s="447"/>
      <c r="AU1387"/>
      <c r="AV1387"/>
      <c r="AW1387" s="447"/>
      <c r="AX1387"/>
      <c r="AY1387"/>
      <c r="AZ1387" s="447"/>
      <c r="BA1387"/>
      <c r="BB1387"/>
      <c r="BC1387" s="447"/>
      <c r="BD1387"/>
      <c r="BE1387"/>
    </row>
    <row r="1388" spans="4:57">
      <c r="D1388" s="447"/>
      <c r="G1388" s="447"/>
      <c r="J1388" s="447"/>
      <c r="M1388" s="447"/>
      <c r="R1388" s="447"/>
      <c r="S1388"/>
      <c r="T1388"/>
      <c r="U1388" s="447"/>
      <c r="V1388"/>
      <c r="W1388"/>
      <c r="X1388" s="447"/>
      <c r="Y1388"/>
      <c r="Z1388"/>
      <c r="AA1388" s="447"/>
      <c r="AB1388"/>
      <c r="AC1388"/>
      <c r="AE1388"/>
      <c r="AF1388" s="447"/>
      <c r="AG1388"/>
      <c r="AH1388"/>
      <c r="AI1388" s="447"/>
      <c r="AJ1388"/>
      <c r="AK1388"/>
      <c r="AL1388" s="447"/>
      <c r="AM1388"/>
      <c r="AN1388"/>
      <c r="AO1388" s="447"/>
      <c r="AP1388"/>
      <c r="AQ1388"/>
      <c r="AS1388"/>
      <c r="AT1388" s="447"/>
      <c r="AU1388"/>
      <c r="AV1388"/>
      <c r="AW1388" s="447"/>
      <c r="AX1388"/>
      <c r="AY1388"/>
      <c r="AZ1388" s="447"/>
      <c r="BA1388"/>
      <c r="BB1388"/>
      <c r="BC1388" s="447"/>
      <c r="BD1388"/>
      <c r="BE1388"/>
    </row>
    <row r="1389" spans="4:57">
      <c r="D1389" s="447"/>
      <c r="G1389" s="447"/>
      <c r="J1389" s="447"/>
      <c r="M1389" s="447"/>
      <c r="R1389" s="447"/>
      <c r="S1389"/>
      <c r="T1389"/>
      <c r="U1389" s="447"/>
      <c r="V1389"/>
      <c r="W1389"/>
      <c r="X1389" s="447"/>
      <c r="Y1389"/>
      <c r="Z1389"/>
      <c r="AA1389" s="447"/>
      <c r="AB1389"/>
      <c r="AC1389"/>
      <c r="AE1389"/>
      <c r="AF1389" s="447"/>
      <c r="AG1389"/>
      <c r="AH1389"/>
      <c r="AI1389" s="447"/>
      <c r="AJ1389"/>
      <c r="AK1389"/>
      <c r="AL1389" s="447"/>
      <c r="AM1389"/>
      <c r="AN1389"/>
      <c r="AO1389" s="447"/>
      <c r="AP1389"/>
      <c r="AQ1389"/>
      <c r="AS1389"/>
      <c r="AT1389" s="447"/>
      <c r="AU1389"/>
      <c r="AV1389"/>
      <c r="AW1389" s="447"/>
      <c r="AX1389"/>
      <c r="AY1389"/>
      <c r="AZ1389" s="447"/>
      <c r="BA1389"/>
      <c r="BB1389"/>
      <c r="BC1389" s="447"/>
      <c r="BD1389"/>
      <c r="BE1389"/>
    </row>
    <row r="1390" spans="4:57">
      <c r="D1390" s="447"/>
      <c r="G1390" s="447"/>
      <c r="J1390" s="447"/>
      <c r="M1390" s="447"/>
      <c r="R1390" s="447"/>
      <c r="S1390"/>
      <c r="T1390"/>
      <c r="U1390" s="447"/>
      <c r="V1390"/>
      <c r="W1390"/>
      <c r="X1390" s="447"/>
      <c r="Y1390"/>
      <c r="Z1390"/>
      <c r="AA1390" s="447"/>
      <c r="AB1390"/>
      <c r="AC1390"/>
      <c r="AE1390"/>
      <c r="AF1390" s="447"/>
      <c r="AG1390"/>
      <c r="AH1390"/>
      <c r="AI1390" s="447"/>
      <c r="AJ1390"/>
      <c r="AK1390"/>
      <c r="AL1390" s="447"/>
      <c r="AM1390"/>
      <c r="AN1390"/>
      <c r="AO1390" s="447"/>
      <c r="AP1390"/>
      <c r="AQ1390"/>
      <c r="AS1390"/>
      <c r="AT1390" s="447"/>
      <c r="AU1390"/>
      <c r="AV1390"/>
      <c r="AW1390" s="447"/>
      <c r="AX1390"/>
      <c r="AY1390"/>
      <c r="AZ1390" s="447"/>
      <c r="BA1390"/>
      <c r="BB1390"/>
      <c r="BC1390" s="447"/>
      <c r="BD1390"/>
      <c r="BE1390"/>
    </row>
    <row r="1391" spans="4:57">
      <c r="D1391" s="447"/>
      <c r="G1391" s="447"/>
      <c r="J1391" s="447"/>
      <c r="M1391" s="447"/>
      <c r="R1391" s="447"/>
      <c r="S1391"/>
      <c r="T1391"/>
      <c r="U1391" s="447"/>
      <c r="V1391"/>
      <c r="W1391"/>
      <c r="X1391" s="447"/>
      <c r="Y1391"/>
      <c r="Z1391"/>
      <c r="AA1391" s="447"/>
      <c r="AB1391"/>
      <c r="AC1391"/>
      <c r="AE1391"/>
      <c r="AF1391" s="447"/>
      <c r="AG1391"/>
      <c r="AH1391"/>
      <c r="AI1391" s="447"/>
      <c r="AJ1391"/>
      <c r="AK1391"/>
      <c r="AL1391" s="447"/>
      <c r="AM1391"/>
      <c r="AN1391"/>
      <c r="AO1391" s="447"/>
      <c r="AP1391"/>
      <c r="AQ1391"/>
      <c r="AS1391"/>
      <c r="AT1391" s="447"/>
      <c r="AU1391"/>
      <c r="AV1391"/>
      <c r="AW1391" s="447"/>
      <c r="AX1391"/>
      <c r="AY1391"/>
      <c r="AZ1391" s="447"/>
      <c r="BA1391"/>
      <c r="BB1391"/>
      <c r="BC1391" s="447"/>
      <c r="BD1391"/>
      <c r="BE1391"/>
    </row>
    <row r="1392" spans="4:57">
      <c r="D1392" s="447"/>
      <c r="G1392" s="447"/>
      <c r="J1392" s="447"/>
      <c r="M1392" s="447"/>
      <c r="R1392" s="447"/>
      <c r="S1392"/>
      <c r="T1392"/>
      <c r="U1392" s="447"/>
      <c r="V1392"/>
      <c r="W1392"/>
      <c r="X1392" s="447"/>
      <c r="Y1392"/>
      <c r="Z1392"/>
      <c r="AA1392" s="447"/>
      <c r="AB1392"/>
      <c r="AC1392"/>
      <c r="AE1392"/>
      <c r="AF1392" s="447"/>
      <c r="AG1392"/>
      <c r="AH1392"/>
      <c r="AI1392" s="447"/>
      <c r="AJ1392"/>
      <c r="AK1392"/>
      <c r="AL1392" s="447"/>
      <c r="AM1392"/>
      <c r="AN1392"/>
      <c r="AO1392" s="447"/>
      <c r="AP1392"/>
      <c r="AQ1392"/>
      <c r="AS1392"/>
      <c r="AT1392" s="447"/>
      <c r="AU1392"/>
      <c r="AV1392"/>
      <c r="AW1392" s="447"/>
      <c r="AX1392"/>
      <c r="AY1392"/>
      <c r="AZ1392" s="447"/>
      <c r="BA1392"/>
      <c r="BB1392"/>
      <c r="BC1392" s="447"/>
      <c r="BD1392"/>
      <c r="BE1392"/>
    </row>
    <row r="1393" spans="4:57">
      <c r="D1393" s="447"/>
      <c r="G1393" s="447"/>
      <c r="J1393" s="447"/>
      <c r="M1393" s="447"/>
      <c r="R1393" s="447"/>
      <c r="S1393"/>
      <c r="T1393"/>
      <c r="U1393" s="447"/>
      <c r="V1393"/>
      <c r="W1393"/>
      <c r="X1393" s="447"/>
      <c r="Y1393"/>
      <c r="Z1393"/>
      <c r="AA1393" s="447"/>
      <c r="AB1393"/>
      <c r="AC1393"/>
      <c r="AE1393"/>
      <c r="AF1393" s="447"/>
      <c r="AG1393"/>
      <c r="AH1393"/>
      <c r="AI1393" s="447"/>
      <c r="AJ1393"/>
      <c r="AK1393"/>
      <c r="AL1393" s="447"/>
      <c r="AM1393"/>
      <c r="AN1393"/>
      <c r="AO1393" s="447"/>
      <c r="AP1393"/>
      <c r="AQ1393"/>
      <c r="AS1393"/>
      <c r="AT1393" s="447"/>
      <c r="AU1393"/>
      <c r="AV1393"/>
      <c r="AW1393" s="447"/>
      <c r="AX1393"/>
      <c r="AY1393"/>
      <c r="AZ1393" s="447"/>
      <c r="BA1393"/>
      <c r="BB1393"/>
      <c r="BC1393" s="447"/>
      <c r="BD1393"/>
      <c r="BE1393"/>
    </row>
    <row r="1394" spans="4:57">
      <c r="D1394" s="447"/>
      <c r="G1394" s="447"/>
      <c r="J1394" s="447"/>
      <c r="M1394" s="447"/>
      <c r="R1394" s="447"/>
      <c r="S1394"/>
      <c r="T1394"/>
      <c r="U1394" s="447"/>
      <c r="V1394"/>
      <c r="W1394"/>
      <c r="X1394" s="447"/>
      <c r="Y1394"/>
      <c r="Z1394"/>
      <c r="AA1394" s="447"/>
      <c r="AB1394"/>
      <c r="AC1394"/>
      <c r="AE1394"/>
      <c r="AF1394" s="447"/>
      <c r="AG1394"/>
      <c r="AH1394"/>
      <c r="AI1394" s="447"/>
      <c r="AJ1394"/>
      <c r="AK1394"/>
      <c r="AL1394" s="447"/>
      <c r="AM1394"/>
      <c r="AN1394"/>
      <c r="AO1394" s="447"/>
      <c r="AP1394"/>
      <c r="AQ1394"/>
      <c r="AS1394"/>
      <c r="AT1394" s="447"/>
      <c r="AU1394"/>
      <c r="AV1394"/>
      <c r="AW1394" s="447"/>
      <c r="AX1394"/>
      <c r="AY1394"/>
      <c r="AZ1394" s="447"/>
      <c r="BA1394"/>
      <c r="BB1394"/>
      <c r="BC1394" s="447"/>
      <c r="BD1394"/>
      <c r="BE1394"/>
    </row>
  </sheetData>
  <autoFilter ref="A4:AR315" xr:uid="{D51469DC-1B6F-4317-A13F-8D337FA3C762}">
    <sortState xmlns:xlrd2="http://schemas.microsoft.com/office/spreadsheetml/2017/richdata2" ref="A8:AR314">
      <sortCondition ref="X4:X315"/>
    </sortState>
  </autoFilter>
  <mergeCells count="17">
    <mergeCell ref="BC3:BD3"/>
    <mergeCell ref="R3:S3"/>
    <mergeCell ref="D3:E3"/>
    <mergeCell ref="G3:H3"/>
    <mergeCell ref="J3:K3"/>
    <mergeCell ref="M3:N3"/>
    <mergeCell ref="AO3:AP3"/>
    <mergeCell ref="U3:V3"/>
    <mergeCell ref="X3:Y3"/>
    <mergeCell ref="AA3:AB3"/>
    <mergeCell ref="AF3:AG3"/>
    <mergeCell ref="AI3:AJ3"/>
    <mergeCell ref="AL3:AM3"/>
    <mergeCell ref="A1:B1"/>
    <mergeCell ref="AT3:AU3"/>
    <mergeCell ref="AW3:AX3"/>
    <mergeCell ref="AZ3:BA3"/>
  </mergeCells>
  <pageMargins left="0.7" right="0.7" top="0.75" bottom="0.75" header="0.3" footer="0.3"/>
  <pageSetup orientation="portrait" horizontalDpi="1200" verticalDpi="1200"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C7C77-1D12-4770-B313-24D8011891C1}">
  <dimension ref="A1:I317"/>
  <sheetViews>
    <sheetView workbookViewId="0">
      <pane xSplit="2" ySplit="5" topLeftCell="C6" activePane="bottomRight" state="frozen"/>
      <selection pane="topRight" activeCell="C1" sqref="C1"/>
      <selection pane="bottomLeft" activeCell="A6" sqref="A6"/>
      <selection pane="bottomRight" activeCell="H28" sqref="H28"/>
    </sheetView>
  </sheetViews>
  <sheetFormatPr defaultColWidth="8.81640625" defaultRowHeight="14.5"/>
  <cols>
    <col min="1" max="1" width="16.7265625" style="363" bestFit="1" customWidth="1"/>
    <col min="2" max="2" width="26" style="363" bestFit="1" customWidth="1"/>
    <col min="3" max="3" width="27.1796875" style="363" customWidth="1"/>
    <col min="4" max="4" width="27.1796875" style="418" customWidth="1"/>
    <col min="5" max="5" width="27.1796875" style="363" customWidth="1"/>
    <col min="6" max="6" width="27.1796875" style="419" customWidth="1"/>
    <col min="7" max="7" width="27.1796875" style="363" customWidth="1"/>
    <col min="8" max="8" width="8.81640625" style="363"/>
    <col min="9" max="9" width="18.26953125" style="363" bestFit="1" customWidth="1"/>
    <col min="10" max="16384" width="8.81640625" style="363"/>
  </cols>
  <sheetData>
    <row r="1" spans="1:9" ht="18.5">
      <c r="A1" s="495" t="s">
        <v>1345</v>
      </c>
      <c r="B1" s="495"/>
      <c r="C1" s="495"/>
    </row>
    <row r="2" spans="1:9" s="420" customFormat="1" ht="18.5">
      <c r="A2" s="420">
        <v>1</v>
      </c>
      <c r="B2" s="420">
        <v>2</v>
      </c>
      <c r="C2" s="421">
        <v>3</v>
      </c>
      <c r="D2" s="422">
        <v>4</v>
      </c>
      <c r="E2" s="420">
        <v>5</v>
      </c>
      <c r="F2" s="423">
        <v>6</v>
      </c>
      <c r="G2" s="420">
        <v>7</v>
      </c>
    </row>
    <row r="3" spans="1:9">
      <c r="A3" s="424"/>
      <c r="B3" s="424"/>
      <c r="C3" s="425" t="s">
        <v>1294</v>
      </c>
      <c r="D3" s="426" t="s">
        <v>1295</v>
      </c>
      <c r="E3" s="425" t="s">
        <v>1296</v>
      </c>
      <c r="F3" s="427" t="s">
        <v>1297</v>
      </c>
      <c r="G3" s="425"/>
    </row>
    <row r="4" spans="1:9" s="433" customFormat="1" ht="58.9" customHeight="1">
      <c r="A4" s="428" t="s">
        <v>1298</v>
      </c>
      <c r="B4" s="428" t="s">
        <v>186</v>
      </c>
      <c r="C4" s="429" t="s">
        <v>1299</v>
      </c>
      <c r="D4" s="430" t="s">
        <v>1348</v>
      </c>
      <c r="E4" s="431" t="s">
        <v>1300</v>
      </c>
      <c r="F4" s="432" t="s">
        <v>1301</v>
      </c>
      <c r="G4" s="429" t="s">
        <v>1353</v>
      </c>
      <c r="I4" s="433" t="s">
        <v>1354</v>
      </c>
    </row>
    <row r="5" spans="1:9">
      <c r="A5" s="434" t="s">
        <v>1229</v>
      </c>
      <c r="B5" s="435" t="s">
        <v>1302</v>
      </c>
      <c r="C5" s="436">
        <f>SUBTOTAL(9,C6:C317)</f>
        <v>17368847.750000004</v>
      </c>
      <c r="D5" s="437">
        <f>SUBTOTAL(9,D6:D317)</f>
        <v>342204011.53999996</v>
      </c>
      <c r="E5" s="436">
        <v>1870761175.1900001</v>
      </c>
      <c r="F5" s="438">
        <v>2230570992.9699998</v>
      </c>
      <c r="G5" s="436">
        <f>D5+F5</f>
        <v>2572775004.5099998</v>
      </c>
      <c r="I5" s="363">
        <f t="shared" ref="I5:I68" si="0">G5-F5</f>
        <v>342204011.53999996</v>
      </c>
    </row>
    <row r="6" spans="1:9">
      <c r="A6" s="439" t="s">
        <v>187</v>
      </c>
      <c r="B6" s="440" t="s">
        <v>830</v>
      </c>
      <c r="C6" s="441">
        <v>47332.51</v>
      </c>
      <c r="D6" s="442">
        <v>78927.69</v>
      </c>
      <c r="E6" s="441">
        <v>5351221.54</v>
      </c>
      <c r="F6" s="443">
        <v>5477481.7400000002</v>
      </c>
      <c r="G6" s="441">
        <f>D6+F6</f>
        <v>5556409.4300000006</v>
      </c>
      <c r="H6" s="363" t="b">
        <f>(D6+F6)=G6</f>
        <v>1</v>
      </c>
      <c r="I6" s="363">
        <f t="shared" si="0"/>
        <v>78927.69000000041</v>
      </c>
    </row>
    <row r="7" spans="1:9">
      <c r="A7" s="439" t="s">
        <v>190</v>
      </c>
      <c r="B7" s="440" t="s">
        <v>831</v>
      </c>
      <c r="C7" s="441">
        <v>4318.84</v>
      </c>
      <c r="E7" s="441">
        <v>1013413.06</v>
      </c>
      <c r="F7" s="443">
        <v>1017731.9</v>
      </c>
      <c r="G7" s="441">
        <f t="shared" ref="G7:G70" si="1">D7+F7</f>
        <v>1017731.9</v>
      </c>
      <c r="H7" s="363" t="b">
        <f t="shared" ref="H7:H9" si="2">(D7+F7)=G7</f>
        <v>1</v>
      </c>
      <c r="I7" s="363">
        <f t="shared" si="0"/>
        <v>0</v>
      </c>
    </row>
    <row r="8" spans="1:9">
      <c r="A8" s="439" t="s">
        <v>192</v>
      </c>
      <c r="B8" s="440" t="s">
        <v>1134</v>
      </c>
      <c r="E8" s="441">
        <v>139830.92000000001</v>
      </c>
      <c r="F8" s="443">
        <v>139830.92000000001</v>
      </c>
      <c r="G8" s="441">
        <f t="shared" si="1"/>
        <v>139830.92000000001</v>
      </c>
      <c r="H8" s="363" t="b">
        <f t="shared" si="2"/>
        <v>1</v>
      </c>
      <c r="I8" s="363">
        <f t="shared" si="0"/>
        <v>0</v>
      </c>
    </row>
    <row r="9" spans="1:9">
      <c r="A9" s="439" t="s">
        <v>195</v>
      </c>
      <c r="B9" s="440" t="s">
        <v>839</v>
      </c>
      <c r="C9" s="441">
        <v>71165.41</v>
      </c>
      <c r="E9" s="441">
        <v>4245954.6900000004</v>
      </c>
      <c r="F9" s="443">
        <v>4317120.0999999996</v>
      </c>
      <c r="G9" s="441">
        <f t="shared" si="1"/>
        <v>4317120.0999999996</v>
      </c>
      <c r="H9" s="363" t="b">
        <f t="shared" si="2"/>
        <v>1</v>
      </c>
      <c r="I9" s="363">
        <f t="shared" si="0"/>
        <v>0</v>
      </c>
    </row>
    <row r="10" spans="1:9">
      <c r="A10" s="439" t="s">
        <v>198</v>
      </c>
      <c r="B10" s="440" t="s">
        <v>840</v>
      </c>
      <c r="C10" s="441">
        <v>141857.76999999999</v>
      </c>
      <c r="D10" s="442">
        <v>142893.70000000001</v>
      </c>
      <c r="E10" s="441">
        <v>12031856.42</v>
      </c>
      <c r="F10" s="443">
        <v>12316607.890000001</v>
      </c>
      <c r="G10" s="441">
        <f t="shared" si="1"/>
        <v>12459501.59</v>
      </c>
      <c r="H10" s="363" t="b">
        <f>(D10+F10)=G10</f>
        <v>1</v>
      </c>
      <c r="I10" s="363">
        <f t="shared" si="0"/>
        <v>142893.69999999925</v>
      </c>
    </row>
    <row r="11" spans="1:9">
      <c r="A11" s="439" t="s">
        <v>200</v>
      </c>
      <c r="B11" s="440" t="s">
        <v>841</v>
      </c>
      <c r="C11" s="441">
        <v>24287.33</v>
      </c>
      <c r="E11" s="441">
        <v>866117.05</v>
      </c>
      <c r="F11" s="443">
        <v>890404.38</v>
      </c>
      <c r="G11" s="441">
        <f t="shared" si="1"/>
        <v>890404.38</v>
      </c>
      <c r="H11" s="363" t="b">
        <f>(D11+F11)=G11</f>
        <v>1</v>
      </c>
      <c r="I11" s="363">
        <f t="shared" si="0"/>
        <v>0</v>
      </c>
    </row>
    <row r="12" spans="1:9">
      <c r="A12" s="439" t="s">
        <v>203</v>
      </c>
      <c r="B12" s="440" t="s">
        <v>842</v>
      </c>
      <c r="C12" s="441">
        <v>233890.49</v>
      </c>
      <c r="D12" s="442">
        <v>8245391</v>
      </c>
      <c r="E12" s="441">
        <v>25028300.870000001</v>
      </c>
      <c r="F12" s="443">
        <v>33507582.359999999</v>
      </c>
      <c r="G12" s="441">
        <f t="shared" si="1"/>
        <v>41752973.359999999</v>
      </c>
      <c r="H12" s="363" t="b">
        <f>(D12+F12)=G12</f>
        <v>1</v>
      </c>
      <c r="I12" s="363">
        <f t="shared" si="0"/>
        <v>8245391</v>
      </c>
    </row>
    <row r="13" spans="1:9">
      <c r="A13" s="439" t="s">
        <v>206</v>
      </c>
      <c r="B13" s="440" t="s">
        <v>1303</v>
      </c>
      <c r="D13" s="442">
        <v>2171499.04</v>
      </c>
      <c r="E13" s="441">
        <v>6332506.0300000003</v>
      </c>
      <c r="F13" s="443">
        <v>8504005.0700000003</v>
      </c>
      <c r="G13" s="441">
        <f t="shared" si="1"/>
        <v>10675504.109999999</v>
      </c>
      <c r="H13" s="363" t="b">
        <f t="shared" ref="H13:H15" si="3">(D13+F13)=G13</f>
        <v>1</v>
      </c>
      <c r="I13" s="363">
        <f t="shared" si="0"/>
        <v>2171499.0399999991</v>
      </c>
    </row>
    <row r="14" spans="1:9">
      <c r="A14" s="439" t="s">
        <v>208</v>
      </c>
      <c r="B14" s="440" t="s">
        <v>844</v>
      </c>
      <c r="C14" s="441">
        <v>152852.98000000001</v>
      </c>
      <c r="D14" s="442">
        <v>3692114.25</v>
      </c>
      <c r="E14" s="441">
        <v>18595810.170000002</v>
      </c>
      <c r="F14" s="443">
        <v>22440777.399999999</v>
      </c>
      <c r="G14" s="441">
        <f t="shared" si="1"/>
        <v>26132891.649999999</v>
      </c>
      <c r="H14" s="363" t="b">
        <f t="shared" si="3"/>
        <v>1</v>
      </c>
      <c r="I14" s="363">
        <f t="shared" si="0"/>
        <v>3692114.25</v>
      </c>
    </row>
    <row r="15" spans="1:9">
      <c r="A15" s="439" t="s">
        <v>211</v>
      </c>
      <c r="B15" s="440" t="s">
        <v>845</v>
      </c>
      <c r="C15" s="441">
        <v>1181.2</v>
      </c>
      <c r="D15" s="442">
        <v>1619516.22</v>
      </c>
      <c r="E15" s="441">
        <v>49797225.649999999</v>
      </c>
      <c r="F15" s="443">
        <v>51417923.07</v>
      </c>
      <c r="G15" s="441">
        <f t="shared" si="1"/>
        <v>53037439.289999999</v>
      </c>
      <c r="H15" s="363" t="b">
        <f t="shared" si="3"/>
        <v>1</v>
      </c>
      <c r="I15" s="363">
        <f t="shared" si="0"/>
        <v>1619516.2199999988</v>
      </c>
    </row>
    <row r="16" spans="1:9">
      <c r="A16" s="439" t="s">
        <v>213</v>
      </c>
      <c r="B16" s="440" t="s">
        <v>846</v>
      </c>
      <c r="C16" s="441">
        <v>128977.13</v>
      </c>
      <c r="D16" s="442">
        <v>7623142.1200000001</v>
      </c>
      <c r="E16" s="441">
        <v>20786447.940000001</v>
      </c>
      <c r="F16" s="443">
        <v>28538567.190000001</v>
      </c>
      <c r="G16" s="441">
        <f t="shared" si="1"/>
        <v>36161709.310000002</v>
      </c>
      <c r="H16" s="363" t="b">
        <f>(D16+F16)=G16</f>
        <v>1</v>
      </c>
      <c r="I16" s="363">
        <f t="shared" si="0"/>
        <v>7623142.120000001</v>
      </c>
    </row>
    <row r="17" spans="1:9">
      <c r="A17" s="439" t="s">
        <v>217</v>
      </c>
      <c r="B17" s="440" t="s">
        <v>848</v>
      </c>
      <c r="C17" s="441">
        <v>139995.04999999999</v>
      </c>
      <c r="D17" s="442">
        <v>3888785.54</v>
      </c>
      <c r="E17" s="441">
        <v>32131420.690000001</v>
      </c>
      <c r="F17" s="443">
        <v>36160201.280000001</v>
      </c>
      <c r="G17" s="441">
        <f t="shared" si="1"/>
        <v>40048986.82</v>
      </c>
      <c r="H17" s="363" t="b">
        <f>(D17+F17)=G17</f>
        <v>1</v>
      </c>
      <c r="I17" s="363">
        <f t="shared" si="0"/>
        <v>3888785.5399999991</v>
      </c>
    </row>
    <row r="18" spans="1:9">
      <c r="A18" s="439" t="s">
        <v>219</v>
      </c>
      <c r="B18" s="440" t="s">
        <v>849</v>
      </c>
      <c r="E18" s="441">
        <v>175546.63</v>
      </c>
      <c r="F18" s="443">
        <v>175546.63</v>
      </c>
      <c r="G18" s="441">
        <f t="shared" si="1"/>
        <v>175546.63</v>
      </c>
      <c r="H18" s="363" t="b">
        <f t="shared" ref="H18:H81" si="4">(D18+F18)=G18</f>
        <v>1</v>
      </c>
      <c r="I18" s="363">
        <f t="shared" si="0"/>
        <v>0</v>
      </c>
    </row>
    <row r="19" spans="1:9">
      <c r="A19" s="439" t="s">
        <v>222</v>
      </c>
      <c r="B19" s="440" t="s">
        <v>850</v>
      </c>
      <c r="C19" s="441">
        <v>23928.97</v>
      </c>
      <c r="D19" s="442">
        <v>19093</v>
      </c>
      <c r="E19" s="441">
        <v>5166212.97</v>
      </c>
      <c r="F19" s="443">
        <v>5209234.9400000004</v>
      </c>
      <c r="G19" s="441">
        <f t="shared" si="1"/>
        <v>5228327.9400000004</v>
      </c>
      <c r="H19" s="363" t="b">
        <f t="shared" si="4"/>
        <v>1</v>
      </c>
      <c r="I19" s="363">
        <f t="shared" si="0"/>
        <v>19093</v>
      </c>
    </row>
    <row r="20" spans="1:9">
      <c r="A20" s="439" t="s">
        <v>224</v>
      </c>
      <c r="B20" s="440" t="s">
        <v>851</v>
      </c>
      <c r="E20" s="441">
        <v>346238.34</v>
      </c>
      <c r="F20" s="443">
        <v>346238.34</v>
      </c>
      <c r="G20" s="441">
        <f t="shared" si="1"/>
        <v>346238.34</v>
      </c>
      <c r="H20" s="363" t="b">
        <f t="shared" si="4"/>
        <v>1</v>
      </c>
      <c r="I20" s="363">
        <f t="shared" si="0"/>
        <v>0</v>
      </c>
    </row>
    <row r="21" spans="1:9">
      <c r="A21" s="439" t="s">
        <v>226</v>
      </c>
      <c r="B21" s="440" t="s">
        <v>852</v>
      </c>
      <c r="E21" s="441">
        <v>10066719.17</v>
      </c>
      <c r="F21" s="443">
        <v>10066719.17</v>
      </c>
      <c r="G21" s="441">
        <f t="shared" si="1"/>
        <v>10066719.17</v>
      </c>
      <c r="H21" s="363" t="b">
        <f t="shared" si="4"/>
        <v>1</v>
      </c>
      <c r="I21" s="363">
        <f t="shared" si="0"/>
        <v>0</v>
      </c>
    </row>
    <row r="22" spans="1:9">
      <c r="A22" s="439" t="s">
        <v>229</v>
      </c>
      <c r="B22" s="440" t="s">
        <v>853</v>
      </c>
      <c r="D22" s="442">
        <v>178040.32000000001</v>
      </c>
      <c r="E22" s="441">
        <v>1104872.08</v>
      </c>
      <c r="F22" s="443">
        <v>1282912.3999999999</v>
      </c>
      <c r="G22" s="441">
        <f t="shared" si="1"/>
        <v>1460952.72</v>
      </c>
      <c r="H22" s="363" t="b">
        <f t="shared" si="4"/>
        <v>1</v>
      </c>
      <c r="I22" s="363">
        <f t="shared" si="0"/>
        <v>178040.32000000007</v>
      </c>
    </row>
    <row r="23" spans="1:9">
      <c r="A23" s="439" t="s">
        <v>232</v>
      </c>
      <c r="B23" s="440" t="s">
        <v>854</v>
      </c>
      <c r="C23" s="441">
        <v>29404.83</v>
      </c>
      <c r="D23" s="442">
        <v>32607.79</v>
      </c>
      <c r="E23" s="441">
        <v>757759.6</v>
      </c>
      <c r="F23" s="443">
        <v>819772.22</v>
      </c>
      <c r="G23" s="441">
        <f t="shared" si="1"/>
        <v>852380.01</v>
      </c>
      <c r="H23" s="363" t="b">
        <f t="shared" si="4"/>
        <v>1</v>
      </c>
      <c r="I23" s="363">
        <f t="shared" si="0"/>
        <v>32607.790000000037</v>
      </c>
    </row>
    <row r="24" spans="1:9">
      <c r="A24" s="439" t="s">
        <v>234</v>
      </c>
      <c r="B24" s="440" t="s">
        <v>1135</v>
      </c>
      <c r="D24" s="442">
        <v>2</v>
      </c>
      <c r="E24" s="441">
        <v>102375.48</v>
      </c>
      <c r="F24" s="443">
        <v>102377.48</v>
      </c>
      <c r="G24" s="441">
        <f t="shared" si="1"/>
        <v>102379.48</v>
      </c>
      <c r="H24" s="363" t="b">
        <f t="shared" si="4"/>
        <v>1</v>
      </c>
      <c r="I24" s="363">
        <f t="shared" si="0"/>
        <v>2</v>
      </c>
    </row>
    <row r="25" spans="1:9">
      <c r="A25" s="439" t="s">
        <v>236</v>
      </c>
      <c r="B25" s="440" t="s">
        <v>1304</v>
      </c>
      <c r="C25" s="441">
        <v>271482.58</v>
      </c>
      <c r="E25" s="441">
        <v>7736881.7400000002</v>
      </c>
      <c r="F25" s="443">
        <v>8008364.3200000003</v>
      </c>
      <c r="G25" s="441">
        <f t="shared" si="1"/>
        <v>8008364.3200000003</v>
      </c>
      <c r="H25" s="363" t="b">
        <f t="shared" si="4"/>
        <v>1</v>
      </c>
      <c r="I25" s="363">
        <f t="shared" si="0"/>
        <v>0</v>
      </c>
    </row>
    <row r="26" spans="1:9">
      <c r="A26" s="439" t="s">
        <v>238</v>
      </c>
      <c r="B26" s="440" t="s">
        <v>857</v>
      </c>
      <c r="D26" s="442">
        <v>2169512.08</v>
      </c>
      <c r="E26" s="441">
        <v>9898314.1500000004</v>
      </c>
      <c r="F26" s="443">
        <v>12067826.23</v>
      </c>
      <c r="G26" s="441">
        <f t="shared" si="1"/>
        <v>14237338.310000001</v>
      </c>
      <c r="H26" s="363" t="b">
        <f t="shared" si="4"/>
        <v>1</v>
      </c>
      <c r="I26" s="363">
        <f t="shared" si="0"/>
        <v>2169512.08</v>
      </c>
    </row>
    <row r="27" spans="1:9">
      <c r="A27" s="439" t="s">
        <v>240</v>
      </c>
      <c r="B27" s="440" t="s">
        <v>858</v>
      </c>
      <c r="D27" s="442">
        <v>345228.24</v>
      </c>
      <c r="E27" s="441">
        <v>862327.85</v>
      </c>
      <c r="F27" s="443">
        <v>1207556.0900000001</v>
      </c>
      <c r="G27" s="441">
        <f t="shared" si="1"/>
        <v>1552784.33</v>
      </c>
      <c r="H27" s="363" t="b">
        <f t="shared" si="4"/>
        <v>1</v>
      </c>
      <c r="I27" s="363">
        <f t="shared" si="0"/>
        <v>345228.24</v>
      </c>
    </row>
    <row r="28" spans="1:9">
      <c r="A28" s="439" t="s">
        <v>242</v>
      </c>
      <c r="B28" s="440" t="s">
        <v>859</v>
      </c>
      <c r="E28" s="441">
        <v>226291.05</v>
      </c>
      <c r="F28" s="443">
        <v>226291.05</v>
      </c>
      <c r="G28" s="441">
        <f t="shared" si="1"/>
        <v>226291.05</v>
      </c>
      <c r="H28" s="363" t="b">
        <f t="shared" si="4"/>
        <v>1</v>
      </c>
      <c r="I28" s="363">
        <f t="shared" si="0"/>
        <v>0</v>
      </c>
    </row>
    <row r="29" spans="1:9">
      <c r="A29" s="439" t="s">
        <v>244</v>
      </c>
      <c r="B29" s="440" t="s">
        <v>860</v>
      </c>
      <c r="C29" s="441">
        <v>15906.3</v>
      </c>
      <c r="D29" s="442">
        <v>50000</v>
      </c>
      <c r="E29" s="441">
        <v>1700582.33</v>
      </c>
      <c r="F29" s="443">
        <v>1766488.63</v>
      </c>
      <c r="G29" s="441">
        <f t="shared" si="1"/>
        <v>1816488.63</v>
      </c>
      <c r="H29" s="363" t="b">
        <f t="shared" si="4"/>
        <v>1</v>
      </c>
      <c r="I29" s="363">
        <f t="shared" si="0"/>
        <v>50000</v>
      </c>
    </row>
    <row r="30" spans="1:9">
      <c r="A30" s="439" t="s">
        <v>247</v>
      </c>
      <c r="B30" s="440" t="s">
        <v>861</v>
      </c>
      <c r="C30" s="441">
        <v>69170.149999999994</v>
      </c>
      <c r="E30" s="441">
        <v>2374096.1800000002</v>
      </c>
      <c r="F30" s="443">
        <v>2443266.33</v>
      </c>
      <c r="G30" s="441">
        <f t="shared" si="1"/>
        <v>2443266.33</v>
      </c>
      <c r="H30" s="363" t="b">
        <f t="shared" si="4"/>
        <v>1</v>
      </c>
      <c r="I30" s="363">
        <f t="shared" si="0"/>
        <v>0</v>
      </c>
    </row>
    <row r="31" spans="1:9">
      <c r="A31" s="439" t="s">
        <v>249</v>
      </c>
      <c r="B31" s="440" t="s">
        <v>862</v>
      </c>
      <c r="C31" s="441">
        <v>49665.21</v>
      </c>
      <c r="D31" s="442">
        <v>397407.6</v>
      </c>
      <c r="E31" s="441">
        <v>2326717.87</v>
      </c>
      <c r="F31" s="443">
        <v>2773790.68</v>
      </c>
      <c r="G31" s="441">
        <f t="shared" si="1"/>
        <v>3171198.2800000003</v>
      </c>
      <c r="H31" s="363" t="b">
        <f t="shared" si="4"/>
        <v>1</v>
      </c>
      <c r="I31" s="363">
        <f t="shared" si="0"/>
        <v>397407.60000000009</v>
      </c>
    </row>
    <row r="32" spans="1:9">
      <c r="A32" s="439" t="s">
        <v>251</v>
      </c>
      <c r="B32" s="440" t="s">
        <v>1305</v>
      </c>
      <c r="E32" s="441">
        <v>542833.36</v>
      </c>
      <c r="F32" s="443">
        <v>542833.36</v>
      </c>
      <c r="G32" s="441">
        <f t="shared" si="1"/>
        <v>542833.36</v>
      </c>
      <c r="H32" s="363" t="b">
        <f t="shared" si="4"/>
        <v>1</v>
      </c>
      <c r="I32" s="363">
        <f t="shared" si="0"/>
        <v>0</v>
      </c>
    </row>
    <row r="33" spans="1:9">
      <c r="A33" s="439" t="s">
        <v>253</v>
      </c>
      <c r="B33" s="440" t="s">
        <v>863</v>
      </c>
      <c r="E33" s="441">
        <v>71552.3</v>
      </c>
      <c r="F33" s="443">
        <v>71552.3</v>
      </c>
      <c r="G33" s="441">
        <f t="shared" si="1"/>
        <v>71552.3</v>
      </c>
      <c r="H33" s="363" t="b">
        <f t="shared" si="4"/>
        <v>1</v>
      </c>
      <c r="I33" s="363">
        <f t="shared" si="0"/>
        <v>0</v>
      </c>
    </row>
    <row r="34" spans="1:9">
      <c r="A34" s="439" t="s">
        <v>255</v>
      </c>
      <c r="B34" s="440" t="s">
        <v>864</v>
      </c>
      <c r="C34" s="441">
        <v>4492406</v>
      </c>
      <c r="D34" s="442">
        <v>148675.92000000001</v>
      </c>
      <c r="E34" s="441">
        <v>21881353.940000001</v>
      </c>
      <c r="F34" s="443">
        <v>26522435.859999999</v>
      </c>
      <c r="G34" s="441">
        <f t="shared" si="1"/>
        <v>26671111.780000001</v>
      </c>
      <c r="H34" s="363" t="b">
        <f t="shared" si="4"/>
        <v>1</v>
      </c>
      <c r="I34" s="363">
        <f t="shared" si="0"/>
        <v>148675.92000000179</v>
      </c>
    </row>
    <row r="35" spans="1:9">
      <c r="A35" s="439" t="s">
        <v>257</v>
      </c>
      <c r="B35" s="440" t="s">
        <v>865</v>
      </c>
      <c r="C35" s="441">
        <v>176269.25</v>
      </c>
      <c r="D35" s="442">
        <v>3963561.35</v>
      </c>
      <c r="E35" s="441">
        <v>25009838.309999999</v>
      </c>
      <c r="F35" s="443">
        <v>29149668.91</v>
      </c>
      <c r="G35" s="441">
        <f t="shared" si="1"/>
        <v>33113230.260000002</v>
      </c>
      <c r="H35" s="363" t="b">
        <f t="shared" si="4"/>
        <v>1</v>
      </c>
      <c r="I35" s="363">
        <f t="shared" si="0"/>
        <v>3963561.3500000015</v>
      </c>
    </row>
    <row r="36" spans="1:9">
      <c r="A36" s="439" t="s">
        <v>259</v>
      </c>
      <c r="B36" s="440" t="s">
        <v>866</v>
      </c>
      <c r="C36" s="441">
        <v>45172.75</v>
      </c>
      <c r="D36" s="442">
        <v>1101111.04</v>
      </c>
      <c r="E36" s="441">
        <v>5409908.1900000004</v>
      </c>
      <c r="F36" s="443">
        <v>6556191.9800000004</v>
      </c>
      <c r="G36" s="441">
        <f t="shared" si="1"/>
        <v>7657303.0200000005</v>
      </c>
      <c r="H36" s="363" t="b">
        <f t="shared" si="4"/>
        <v>1</v>
      </c>
      <c r="I36" s="363">
        <f t="shared" si="0"/>
        <v>1101111.04</v>
      </c>
    </row>
    <row r="37" spans="1:9">
      <c r="A37" s="439" t="s">
        <v>261</v>
      </c>
      <c r="B37" s="440" t="s">
        <v>867</v>
      </c>
      <c r="C37" s="441">
        <v>25264.23</v>
      </c>
      <c r="E37" s="441">
        <v>6019460.9800000004</v>
      </c>
      <c r="F37" s="443">
        <v>6044725.21</v>
      </c>
      <c r="G37" s="441">
        <f t="shared" si="1"/>
        <v>6044725.21</v>
      </c>
      <c r="H37" s="363" t="b">
        <f t="shared" si="4"/>
        <v>1</v>
      </c>
      <c r="I37" s="363">
        <f t="shared" si="0"/>
        <v>0</v>
      </c>
    </row>
    <row r="38" spans="1:9">
      <c r="A38" s="439" t="s">
        <v>263</v>
      </c>
      <c r="B38" s="440" t="s">
        <v>868</v>
      </c>
      <c r="C38" s="441">
        <v>56418.31</v>
      </c>
      <c r="D38" s="442">
        <v>2129292.94</v>
      </c>
      <c r="E38" s="441">
        <v>8434504.0199999996</v>
      </c>
      <c r="F38" s="443">
        <v>10620215.27</v>
      </c>
      <c r="G38" s="441">
        <f t="shared" si="1"/>
        <v>12749508.209999999</v>
      </c>
      <c r="H38" s="363" t="b">
        <f t="shared" si="4"/>
        <v>1</v>
      </c>
      <c r="I38" s="363">
        <f t="shared" si="0"/>
        <v>2129292.9399999995</v>
      </c>
    </row>
    <row r="39" spans="1:9">
      <c r="A39" s="439" t="s">
        <v>265</v>
      </c>
      <c r="B39" s="440" t="s">
        <v>869</v>
      </c>
      <c r="C39" s="441">
        <v>15222.36</v>
      </c>
      <c r="D39" s="442">
        <v>3000</v>
      </c>
      <c r="E39" s="441">
        <v>1123255.48</v>
      </c>
      <c r="F39" s="443">
        <v>1141477.8400000001</v>
      </c>
      <c r="G39" s="441">
        <f t="shared" si="1"/>
        <v>1144477.8400000001</v>
      </c>
      <c r="H39" s="363" t="b">
        <f t="shared" si="4"/>
        <v>1</v>
      </c>
      <c r="I39" s="363">
        <f t="shared" si="0"/>
        <v>3000</v>
      </c>
    </row>
    <row r="40" spans="1:9">
      <c r="A40" s="439" t="s">
        <v>1306</v>
      </c>
      <c r="B40" s="440" t="s">
        <v>1307</v>
      </c>
      <c r="E40" s="441">
        <v>648737.93000000005</v>
      </c>
      <c r="F40" s="443">
        <v>648737.93000000005</v>
      </c>
      <c r="G40" s="441">
        <f t="shared" si="1"/>
        <v>648737.93000000005</v>
      </c>
      <c r="H40" s="363" t="b">
        <f t="shared" si="4"/>
        <v>1</v>
      </c>
      <c r="I40" s="363">
        <f t="shared" si="0"/>
        <v>0</v>
      </c>
    </row>
    <row r="41" spans="1:9">
      <c r="A41" s="439" t="s">
        <v>267</v>
      </c>
      <c r="B41" s="440" t="s">
        <v>870</v>
      </c>
      <c r="C41" s="441">
        <v>55003.74</v>
      </c>
      <c r="D41" s="442">
        <v>6800</v>
      </c>
      <c r="E41" s="441">
        <v>1706744.45</v>
      </c>
      <c r="F41" s="443">
        <v>1768548.19</v>
      </c>
      <c r="G41" s="441">
        <f t="shared" si="1"/>
        <v>1775348.19</v>
      </c>
      <c r="H41" s="363" t="b">
        <f t="shared" si="4"/>
        <v>1</v>
      </c>
      <c r="I41" s="363">
        <f t="shared" si="0"/>
        <v>6800</v>
      </c>
    </row>
    <row r="42" spans="1:9">
      <c r="A42" s="439" t="s">
        <v>269</v>
      </c>
      <c r="B42" s="440" t="s">
        <v>871</v>
      </c>
      <c r="E42" s="441">
        <v>3950554.4</v>
      </c>
      <c r="F42" s="443">
        <v>3950554.4</v>
      </c>
      <c r="G42" s="441">
        <f t="shared" si="1"/>
        <v>3950554.4</v>
      </c>
      <c r="H42" s="363" t="b">
        <f t="shared" si="4"/>
        <v>1</v>
      </c>
      <c r="I42" s="363">
        <f t="shared" si="0"/>
        <v>0</v>
      </c>
    </row>
    <row r="43" spans="1:9">
      <c r="A43" s="439" t="s">
        <v>271</v>
      </c>
      <c r="B43" s="440" t="s">
        <v>872</v>
      </c>
      <c r="E43" s="441">
        <v>1298170.51</v>
      </c>
      <c r="F43" s="443">
        <v>1298170.51</v>
      </c>
      <c r="G43" s="441">
        <f t="shared" si="1"/>
        <v>1298170.51</v>
      </c>
      <c r="H43" s="363" t="b">
        <f t="shared" si="4"/>
        <v>1</v>
      </c>
      <c r="I43" s="363">
        <f t="shared" si="0"/>
        <v>0</v>
      </c>
    </row>
    <row r="44" spans="1:9">
      <c r="A44" s="439" t="s">
        <v>273</v>
      </c>
      <c r="B44" s="440" t="s">
        <v>873</v>
      </c>
      <c r="C44" s="441">
        <v>73140.5</v>
      </c>
      <c r="D44" s="442">
        <v>2946536.76</v>
      </c>
      <c r="E44" s="441">
        <v>24060415.699999999</v>
      </c>
      <c r="F44" s="443">
        <v>27080092.960000001</v>
      </c>
      <c r="G44" s="441">
        <f t="shared" si="1"/>
        <v>30026629.719999999</v>
      </c>
      <c r="H44" s="363" t="b">
        <f t="shared" si="4"/>
        <v>1</v>
      </c>
      <c r="I44" s="363">
        <f t="shared" si="0"/>
        <v>2946536.7599999979</v>
      </c>
    </row>
    <row r="45" spans="1:9">
      <c r="A45" s="439" t="s">
        <v>275</v>
      </c>
      <c r="B45" s="440" t="s">
        <v>874</v>
      </c>
      <c r="E45" s="441">
        <v>753649</v>
      </c>
      <c r="F45" s="443">
        <v>753649</v>
      </c>
      <c r="G45" s="441">
        <f t="shared" si="1"/>
        <v>753649</v>
      </c>
      <c r="H45" s="363" t="b">
        <f t="shared" si="4"/>
        <v>1</v>
      </c>
      <c r="I45" s="363">
        <f t="shared" si="0"/>
        <v>0</v>
      </c>
    </row>
    <row r="46" spans="1:9">
      <c r="A46" s="439" t="s">
        <v>277</v>
      </c>
      <c r="B46" s="440" t="s">
        <v>875</v>
      </c>
      <c r="C46" s="441">
        <v>40322.75</v>
      </c>
      <c r="E46" s="441">
        <v>2579618.75</v>
      </c>
      <c r="F46" s="443">
        <v>2619941.5</v>
      </c>
      <c r="G46" s="441">
        <f t="shared" si="1"/>
        <v>2619941.5</v>
      </c>
      <c r="H46" s="363" t="b">
        <f t="shared" si="4"/>
        <v>1</v>
      </c>
      <c r="I46" s="363">
        <f t="shared" si="0"/>
        <v>0</v>
      </c>
    </row>
    <row r="47" spans="1:9">
      <c r="A47" s="439" t="s">
        <v>279</v>
      </c>
      <c r="B47" s="440" t="s">
        <v>876</v>
      </c>
      <c r="E47" s="441">
        <v>229095.73</v>
      </c>
      <c r="F47" s="443">
        <v>229095.73</v>
      </c>
      <c r="G47" s="441">
        <f t="shared" si="1"/>
        <v>229095.73</v>
      </c>
      <c r="H47" s="363" t="b">
        <f t="shared" si="4"/>
        <v>1</v>
      </c>
      <c r="I47" s="363">
        <f t="shared" si="0"/>
        <v>0</v>
      </c>
    </row>
    <row r="48" spans="1:9">
      <c r="A48" s="439" t="s">
        <v>281</v>
      </c>
      <c r="B48" s="440" t="s">
        <v>1308</v>
      </c>
      <c r="D48" s="442">
        <v>9250</v>
      </c>
      <c r="E48" s="441">
        <v>149675.20000000001</v>
      </c>
      <c r="F48" s="443">
        <v>158925.20000000001</v>
      </c>
      <c r="G48" s="441">
        <f t="shared" si="1"/>
        <v>168175.2</v>
      </c>
      <c r="H48" s="363" t="b">
        <f t="shared" si="4"/>
        <v>1</v>
      </c>
      <c r="I48" s="363">
        <f t="shared" si="0"/>
        <v>9250</v>
      </c>
    </row>
    <row r="49" spans="1:9">
      <c r="A49" s="439" t="s">
        <v>283</v>
      </c>
      <c r="B49" s="440" t="s">
        <v>1309</v>
      </c>
      <c r="C49" s="441">
        <v>8234.92</v>
      </c>
      <c r="E49" s="441">
        <v>1150001.8999999999</v>
      </c>
      <c r="F49" s="443">
        <v>1158236.82</v>
      </c>
      <c r="G49" s="441">
        <f t="shared" si="1"/>
        <v>1158236.82</v>
      </c>
      <c r="H49" s="363" t="b">
        <f t="shared" si="4"/>
        <v>1</v>
      </c>
      <c r="I49" s="363">
        <f t="shared" si="0"/>
        <v>0</v>
      </c>
    </row>
    <row r="50" spans="1:9">
      <c r="A50" s="439" t="s">
        <v>285</v>
      </c>
      <c r="B50" s="440" t="s">
        <v>1136</v>
      </c>
      <c r="E50" s="441">
        <v>2400556.1800000002</v>
      </c>
      <c r="F50" s="443">
        <v>2400556.1800000002</v>
      </c>
      <c r="G50" s="441">
        <f t="shared" si="1"/>
        <v>2400556.1800000002</v>
      </c>
      <c r="H50" s="363" t="b">
        <f t="shared" si="4"/>
        <v>1</v>
      </c>
      <c r="I50" s="363">
        <f t="shared" si="0"/>
        <v>0</v>
      </c>
    </row>
    <row r="51" spans="1:9">
      <c r="A51" s="439" t="s">
        <v>287</v>
      </c>
      <c r="B51" s="440" t="s">
        <v>880</v>
      </c>
      <c r="D51" s="442">
        <v>2900</v>
      </c>
      <c r="E51" s="441">
        <v>1373604.93</v>
      </c>
      <c r="F51" s="443">
        <v>1376504.93</v>
      </c>
      <c r="G51" s="441">
        <f t="shared" si="1"/>
        <v>1379404.93</v>
      </c>
      <c r="H51" s="363" t="b">
        <f t="shared" si="4"/>
        <v>1</v>
      </c>
      <c r="I51" s="363">
        <f t="shared" si="0"/>
        <v>2900</v>
      </c>
    </row>
    <row r="52" spans="1:9">
      <c r="A52" s="439" t="s">
        <v>289</v>
      </c>
      <c r="B52" s="440" t="s">
        <v>881</v>
      </c>
      <c r="C52" s="441">
        <v>12508.76</v>
      </c>
      <c r="E52" s="441">
        <v>634372.84</v>
      </c>
      <c r="F52" s="443">
        <v>646881.6</v>
      </c>
      <c r="G52" s="441">
        <f t="shared" si="1"/>
        <v>646881.6</v>
      </c>
      <c r="H52" s="363" t="b">
        <f t="shared" si="4"/>
        <v>1</v>
      </c>
      <c r="I52" s="363">
        <f t="shared" si="0"/>
        <v>0</v>
      </c>
    </row>
    <row r="53" spans="1:9">
      <c r="A53" s="439" t="s">
        <v>291</v>
      </c>
      <c r="B53" s="440" t="s">
        <v>882</v>
      </c>
      <c r="E53" s="441">
        <v>252323.7</v>
      </c>
      <c r="F53" s="443">
        <v>252323.7</v>
      </c>
      <c r="G53" s="441">
        <f t="shared" si="1"/>
        <v>252323.7</v>
      </c>
      <c r="H53" s="363" t="b">
        <f t="shared" si="4"/>
        <v>1</v>
      </c>
      <c r="I53" s="363">
        <f t="shared" si="0"/>
        <v>0</v>
      </c>
    </row>
    <row r="54" spans="1:9">
      <c r="A54" s="439" t="s">
        <v>293</v>
      </c>
      <c r="B54" s="440" t="s">
        <v>1232</v>
      </c>
      <c r="E54" s="441">
        <v>248721.61</v>
      </c>
      <c r="F54" s="443">
        <v>248721.61</v>
      </c>
      <c r="G54" s="441">
        <f t="shared" si="1"/>
        <v>248721.61</v>
      </c>
      <c r="H54" s="363" t="b">
        <f t="shared" si="4"/>
        <v>1</v>
      </c>
      <c r="I54" s="363">
        <f t="shared" si="0"/>
        <v>0</v>
      </c>
    </row>
    <row r="55" spans="1:9">
      <c r="A55" s="439" t="s">
        <v>295</v>
      </c>
      <c r="B55" s="440" t="s">
        <v>884</v>
      </c>
      <c r="C55" s="441">
        <v>15215.46</v>
      </c>
      <c r="E55" s="441">
        <v>2256900.02</v>
      </c>
      <c r="F55" s="443">
        <v>2272115.48</v>
      </c>
      <c r="G55" s="441">
        <f t="shared" si="1"/>
        <v>2272115.48</v>
      </c>
      <c r="H55" s="363" t="b">
        <f t="shared" si="4"/>
        <v>1</v>
      </c>
      <c r="I55" s="363">
        <f t="shared" si="0"/>
        <v>0</v>
      </c>
    </row>
    <row r="56" spans="1:9">
      <c r="A56" s="439" t="s">
        <v>297</v>
      </c>
      <c r="B56" s="440" t="s">
        <v>885</v>
      </c>
      <c r="D56" s="442">
        <v>4133.46</v>
      </c>
      <c r="E56" s="441">
        <v>407595.21</v>
      </c>
      <c r="F56" s="443">
        <v>411728.67</v>
      </c>
      <c r="G56" s="441">
        <f t="shared" si="1"/>
        <v>415862.13</v>
      </c>
      <c r="H56" s="363" t="b">
        <f t="shared" si="4"/>
        <v>1</v>
      </c>
      <c r="I56" s="363">
        <f t="shared" si="0"/>
        <v>4133.460000000021</v>
      </c>
    </row>
    <row r="57" spans="1:9">
      <c r="A57" s="439" t="s">
        <v>299</v>
      </c>
      <c r="B57" s="440" t="s">
        <v>886</v>
      </c>
      <c r="D57" s="442">
        <v>36000</v>
      </c>
      <c r="E57" s="441">
        <v>148166.95000000001</v>
      </c>
      <c r="F57" s="443">
        <v>184166.95</v>
      </c>
      <c r="G57" s="441">
        <f t="shared" si="1"/>
        <v>220166.95</v>
      </c>
      <c r="H57" s="363" t="b">
        <f t="shared" si="4"/>
        <v>1</v>
      </c>
      <c r="I57" s="363">
        <f t="shared" si="0"/>
        <v>36000</v>
      </c>
    </row>
    <row r="58" spans="1:9">
      <c r="A58" s="439" t="s">
        <v>301</v>
      </c>
      <c r="B58" s="440" t="s">
        <v>887</v>
      </c>
      <c r="E58" s="441">
        <v>255586.86</v>
      </c>
      <c r="F58" s="443">
        <v>255586.86</v>
      </c>
      <c r="G58" s="441">
        <f t="shared" si="1"/>
        <v>255586.86</v>
      </c>
      <c r="H58" s="363" t="b">
        <f t="shared" si="4"/>
        <v>1</v>
      </c>
      <c r="I58" s="363">
        <f t="shared" si="0"/>
        <v>0</v>
      </c>
    </row>
    <row r="59" spans="1:9">
      <c r="A59" s="439" t="s">
        <v>303</v>
      </c>
      <c r="B59" s="439" t="s">
        <v>888</v>
      </c>
      <c r="E59" s="441">
        <v>368249.7</v>
      </c>
      <c r="F59" s="443">
        <v>368249.7</v>
      </c>
      <c r="G59" s="441">
        <f t="shared" si="1"/>
        <v>368249.7</v>
      </c>
      <c r="H59" s="363" t="b">
        <f t="shared" si="4"/>
        <v>1</v>
      </c>
      <c r="I59" s="363">
        <f t="shared" si="0"/>
        <v>0</v>
      </c>
    </row>
    <row r="60" spans="1:9">
      <c r="A60" s="439" t="s">
        <v>305</v>
      </c>
      <c r="B60" s="439" t="s">
        <v>1137</v>
      </c>
      <c r="E60" s="441">
        <v>54187.57</v>
      </c>
      <c r="F60" s="443">
        <v>54187.57</v>
      </c>
      <c r="G60" s="441">
        <f t="shared" si="1"/>
        <v>54187.57</v>
      </c>
      <c r="H60" s="363" t="b">
        <f t="shared" si="4"/>
        <v>1</v>
      </c>
      <c r="I60" s="363">
        <f t="shared" si="0"/>
        <v>0</v>
      </c>
    </row>
    <row r="61" spans="1:9">
      <c r="A61" s="439" t="s">
        <v>307</v>
      </c>
      <c r="B61" s="439" t="s">
        <v>891</v>
      </c>
      <c r="C61" s="441">
        <v>14452.88</v>
      </c>
      <c r="E61" s="441">
        <v>682316.01</v>
      </c>
      <c r="F61" s="443">
        <v>696768.89</v>
      </c>
      <c r="G61" s="441">
        <f t="shared" si="1"/>
        <v>696768.89</v>
      </c>
      <c r="H61" s="363" t="b">
        <f t="shared" si="4"/>
        <v>1</v>
      </c>
      <c r="I61" s="363">
        <f t="shared" si="0"/>
        <v>0</v>
      </c>
    </row>
    <row r="62" spans="1:9">
      <c r="A62" s="439" t="s">
        <v>309</v>
      </c>
      <c r="B62" s="439" t="s">
        <v>892</v>
      </c>
      <c r="D62" s="442">
        <v>6121.55</v>
      </c>
      <c r="E62" s="441">
        <v>793373.5</v>
      </c>
      <c r="F62" s="443">
        <v>799495.05</v>
      </c>
      <c r="G62" s="441">
        <f t="shared" si="1"/>
        <v>805616.60000000009</v>
      </c>
      <c r="H62" s="363" t="b">
        <f t="shared" si="4"/>
        <v>1</v>
      </c>
      <c r="I62" s="363">
        <f t="shared" si="0"/>
        <v>6121.5500000000466</v>
      </c>
    </row>
    <row r="63" spans="1:9">
      <c r="A63" s="439" t="s">
        <v>311</v>
      </c>
      <c r="B63" s="439" t="s">
        <v>893</v>
      </c>
      <c r="E63" s="441">
        <v>487656.1</v>
      </c>
      <c r="F63" s="443">
        <v>487656.1</v>
      </c>
      <c r="G63" s="441">
        <f t="shared" si="1"/>
        <v>487656.1</v>
      </c>
      <c r="H63" s="363" t="b">
        <f t="shared" si="4"/>
        <v>1</v>
      </c>
      <c r="I63" s="363">
        <f t="shared" si="0"/>
        <v>0</v>
      </c>
    </row>
    <row r="64" spans="1:9">
      <c r="A64" s="439" t="s">
        <v>313</v>
      </c>
      <c r="B64" s="439" t="s">
        <v>894</v>
      </c>
      <c r="E64" s="441">
        <v>3041796.49</v>
      </c>
      <c r="F64" s="443">
        <v>3041796.49</v>
      </c>
      <c r="G64" s="441">
        <f t="shared" si="1"/>
        <v>3041796.49</v>
      </c>
      <c r="H64" s="363" t="b">
        <f t="shared" si="4"/>
        <v>1</v>
      </c>
      <c r="I64" s="363">
        <f t="shared" si="0"/>
        <v>0</v>
      </c>
    </row>
    <row r="65" spans="1:9">
      <c r="A65" s="439" t="s">
        <v>315</v>
      </c>
      <c r="B65" s="439" t="s">
        <v>895</v>
      </c>
      <c r="C65" s="441">
        <v>9501.5400000000009</v>
      </c>
      <c r="D65" s="442">
        <v>402889.18</v>
      </c>
      <c r="E65" s="441">
        <v>3055286.85</v>
      </c>
      <c r="F65" s="443">
        <v>3467677.57</v>
      </c>
      <c r="G65" s="441">
        <f t="shared" si="1"/>
        <v>3870566.75</v>
      </c>
      <c r="H65" s="363" t="b">
        <f t="shared" si="4"/>
        <v>1</v>
      </c>
      <c r="I65" s="363">
        <f t="shared" si="0"/>
        <v>402889.18000000017</v>
      </c>
    </row>
    <row r="66" spans="1:9">
      <c r="A66" s="439" t="s">
        <v>317</v>
      </c>
      <c r="B66" s="439" t="s">
        <v>896</v>
      </c>
      <c r="E66" s="441">
        <v>18932.63</v>
      </c>
      <c r="F66" s="443">
        <v>18932.63</v>
      </c>
      <c r="G66" s="441">
        <f t="shared" si="1"/>
        <v>18932.63</v>
      </c>
      <c r="H66" s="363" t="b">
        <f t="shared" si="4"/>
        <v>1</v>
      </c>
      <c r="I66" s="363">
        <f t="shared" si="0"/>
        <v>0</v>
      </c>
    </row>
    <row r="67" spans="1:9">
      <c r="A67" s="439" t="s">
        <v>319</v>
      </c>
      <c r="B67" s="439" t="s">
        <v>1310</v>
      </c>
      <c r="D67" s="442">
        <v>644793.81000000006</v>
      </c>
      <c r="E67" s="441">
        <v>6751822.54</v>
      </c>
      <c r="F67" s="443">
        <v>7396616.3499999996</v>
      </c>
      <c r="G67" s="441">
        <f t="shared" si="1"/>
        <v>8041410.1600000001</v>
      </c>
      <c r="H67" s="363" t="b">
        <f t="shared" si="4"/>
        <v>1</v>
      </c>
      <c r="I67" s="363">
        <f t="shared" si="0"/>
        <v>644793.81000000052</v>
      </c>
    </row>
    <row r="68" spans="1:9">
      <c r="A68" s="439" t="s">
        <v>321</v>
      </c>
      <c r="B68" s="439" t="s">
        <v>1311</v>
      </c>
      <c r="D68" s="442">
        <v>440000</v>
      </c>
      <c r="E68" s="441">
        <v>4480804.91</v>
      </c>
      <c r="F68" s="443">
        <v>4920804.91</v>
      </c>
      <c r="G68" s="441">
        <f t="shared" si="1"/>
        <v>5360804.91</v>
      </c>
      <c r="H68" s="363" t="b">
        <f t="shared" si="4"/>
        <v>1</v>
      </c>
      <c r="I68" s="363">
        <f t="shared" si="0"/>
        <v>440000</v>
      </c>
    </row>
    <row r="69" spans="1:9">
      <c r="A69" s="439" t="s">
        <v>323</v>
      </c>
      <c r="B69" s="439" t="s">
        <v>899</v>
      </c>
      <c r="D69" s="442">
        <v>1818138.78</v>
      </c>
      <c r="E69" s="441">
        <v>7387326.5300000003</v>
      </c>
      <c r="F69" s="443">
        <v>9205465.3100000005</v>
      </c>
      <c r="G69" s="441">
        <f t="shared" si="1"/>
        <v>11023604.09</v>
      </c>
      <c r="H69" s="363" t="b">
        <f t="shared" si="4"/>
        <v>1</v>
      </c>
      <c r="I69" s="363">
        <f t="shared" ref="I69:I132" si="5">G69-F69</f>
        <v>1818138.7799999993</v>
      </c>
    </row>
    <row r="70" spans="1:9">
      <c r="A70" s="439" t="s">
        <v>325</v>
      </c>
      <c r="B70" s="439" t="s">
        <v>900</v>
      </c>
      <c r="D70" s="442">
        <v>41378.46</v>
      </c>
      <c r="E70" s="441">
        <v>118004.39</v>
      </c>
      <c r="F70" s="443">
        <v>159382.85</v>
      </c>
      <c r="G70" s="441">
        <f t="shared" si="1"/>
        <v>200761.31</v>
      </c>
      <c r="H70" s="363" t="b">
        <f t="shared" si="4"/>
        <v>1</v>
      </c>
      <c r="I70" s="363">
        <f t="shared" si="5"/>
        <v>41378.459999999992</v>
      </c>
    </row>
    <row r="71" spans="1:9">
      <c r="A71" s="439" t="s">
        <v>327</v>
      </c>
      <c r="B71" s="439" t="s">
        <v>901</v>
      </c>
      <c r="E71" s="441">
        <v>2850041.13</v>
      </c>
      <c r="F71" s="443">
        <v>2850041.13</v>
      </c>
      <c r="G71" s="441">
        <f t="shared" ref="G71:G134" si="6">D71+F71</f>
        <v>2850041.13</v>
      </c>
      <c r="H71" s="363" t="b">
        <f t="shared" si="4"/>
        <v>1</v>
      </c>
      <c r="I71" s="363">
        <f t="shared" si="5"/>
        <v>0</v>
      </c>
    </row>
    <row r="72" spans="1:9">
      <c r="A72" s="439" t="s">
        <v>329</v>
      </c>
      <c r="B72" s="439" t="s">
        <v>902</v>
      </c>
      <c r="C72" s="441">
        <v>232587.8</v>
      </c>
      <c r="D72" s="442">
        <v>6181499.3799999999</v>
      </c>
      <c r="E72" s="441">
        <v>41367519.409999996</v>
      </c>
      <c r="F72" s="443">
        <v>47781606.590000004</v>
      </c>
      <c r="G72" s="441">
        <f t="shared" si="6"/>
        <v>53963105.970000006</v>
      </c>
      <c r="H72" s="363" t="b">
        <f t="shared" si="4"/>
        <v>1</v>
      </c>
      <c r="I72" s="363">
        <f t="shared" si="5"/>
        <v>6181499.3800000027</v>
      </c>
    </row>
    <row r="73" spans="1:9">
      <c r="A73" s="439" t="s">
        <v>331</v>
      </c>
      <c r="B73" s="439" t="s">
        <v>903</v>
      </c>
      <c r="C73" s="441">
        <v>11640.71</v>
      </c>
      <c r="D73" s="442">
        <v>731166.5</v>
      </c>
      <c r="E73" s="441">
        <v>4539525.75</v>
      </c>
      <c r="F73" s="443">
        <v>5282332.96</v>
      </c>
      <c r="G73" s="441">
        <f t="shared" si="6"/>
        <v>6013499.46</v>
      </c>
      <c r="H73" s="363" t="b">
        <f t="shared" si="4"/>
        <v>1</v>
      </c>
      <c r="I73" s="363">
        <f t="shared" si="5"/>
        <v>731166.5</v>
      </c>
    </row>
    <row r="74" spans="1:9">
      <c r="A74" s="439" t="s">
        <v>333</v>
      </c>
      <c r="B74" s="439" t="s">
        <v>904</v>
      </c>
      <c r="C74" s="441">
        <v>3022.69</v>
      </c>
      <c r="D74" s="442">
        <v>29681.45</v>
      </c>
      <c r="E74" s="441">
        <v>2688292.4</v>
      </c>
      <c r="F74" s="443">
        <v>2720996.54</v>
      </c>
      <c r="G74" s="441">
        <f t="shared" si="6"/>
        <v>2750677.99</v>
      </c>
      <c r="H74" s="363" t="b">
        <f t="shared" si="4"/>
        <v>1</v>
      </c>
      <c r="I74" s="363">
        <f t="shared" si="5"/>
        <v>29681.450000000186</v>
      </c>
    </row>
    <row r="75" spans="1:9">
      <c r="A75" s="439" t="s">
        <v>335</v>
      </c>
      <c r="B75" s="439" t="s">
        <v>905</v>
      </c>
      <c r="E75" s="441">
        <v>259655.67</v>
      </c>
      <c r="F75" s="443">
        <v>259655.67</v>
      </c>
      <c r="G75" s="441">
        <f t="shared" si="6"/>
        <v>259655.67</v>
      </c>
      <c r="H75" s="363" t="b">
        <f t="shared" si="4"/>
        <v>1</v>
      </c>
      <c r="I75" s="363">
        <f t="shared" si="5"/>
        <v>0</v>
      </c>
    </row>
    <row r="76" spans="1:9">
      <c r="A76" s="439" t="s">
        <v>337</v>
      </c>
      <c r="B76" s="439" t="s">
        <v>906</v>
      </c>
      <c r="D76" s="442">
        <v>6075.51</v>
      </c>
      <c r="E76" s="441">
        <v>385494.08</v>
      </c>
      <c r="F76" s="443">
        <v>391569.59</v>
      </c>
      <c r="G76" s="441">
        <f t="shared" si="6"/>
        <v>397645.10000000003</v>
      </c>
      <c r="H76" s="363" t="b">
        <f t="shared" si="4"/>
        <v>1</v>
      </c>
      <c r="I76" s="363">
        <f t="shared" si="5"/>
        <v>6075.5100000000093</v>
      </c>
    </row>
    <row r="77" spans="1:9">
      <c r="A77" s="439" t="s">
        <v>339</v>
      </c>
      <c r="B77" s="439" t="s">
        <v>907</v>
      </c>
      <c r="C77" s="441">
        <v>86410.44</v>
      </c>
      <c r="D77" s="442">
        <v>710270.96</v>
      </c>
      <c r="E77" s="441">
        <v>8767284.0199999996</v>
      </c>
      <c r="F77" s="443">
        <v>9563965.4199999999</v>
      </c>
      <c r="G77" s="441">
        <f t="shared" si="6"/>
        <v>10274236.379999999</v>
      </c>
      <c r="H77" s="363" t="b">
        <f t="shared" si="4"/>
        <v>1</v>
      </c>
      <c r="I77" s="363">
        <f t="shared" si="5"/>
        <v>710270.95999999903</v>
      </c>
    </row>
    <row r="78" spans="1:9">
      <c r="A78" s="439" t="s">
        <v>341</v>
      </c>
      <c r="B78" s="439" t="s">
        <v>908</v>
      </c>
      <c r="E78" s="441">
        <v>3221619.67</v>
      </c>
      <c r="F78" s="443">
        <v>3221619.67</v>
      </c>
      <c r="G78" s="441">
        <f t="shared" si="6"/>
        <v>3221619.67</v>
      </c>
      <c r="H78" s="363" t="b">
        <f t="shared" si="4"/>
        <v>1</v>
      </c>
      <c r="I78" s="363">
        <f t="shared" si="5"/>
        <v>0</v>
      </c>
    </row>
    <row r="79" spans="1:9">
      <c r="A79" s="439" t="s">
        <v>343</v>
      </c>
      <c r="B79" s="439" t="s">
        <v>1138</v>
      </c>
      <c r="D79" s="442">
        <v>2890</v>
      </c>
      <c r="E79" s="441">
        <v>74530.990000000005</v>
      </c>
      <c r="F79" s="443">
        <v>77420.990000000005</v>
      </c>
      <c r="G79" s="441">
        <f t="shared" si="6"/>
        <v>80310.990000000005</v>
      </c>
      <c r="H79" s="363" t="b">
        <f t="shared" si="4"/>
        <v>1</v>
      </c>
      <c r="I79" s="363">
        <f t="shared" si="5"/>
        <v>2890</v>
      </c>
    </row>
    <row r="80" spans="1:9">
      <c r="A80" s="439" t="s">
        <v>345</v>
      </c>
      <c r="B80" s="439" t="s">
        <v>909</v>
      </c>
      <c r="D80" s="442">
        <v>1241534.4099999999</v>
      </c>
      <c r="E80" s="441">
        <v>44135087.899999999</v>
      </c>
      <c r="F80" s="443">
        <v>45376622.310000002</v>
      </c>
      <c r="G80" s="441">
        <f t="shared" si="6"/>
        <v>46618156.719999999</v>
      </c>
      <c r="H80" s="363" t="b">
        <f t="shared" si="4"/>
        <v>1</v>
      </c>
      <c r="I80" s="363">
        <f t="shared" si="5"/>
        <v>1241534.4099999964</v>
      </c>
    </row>
    <row r="81" spans="1:9">
      <c r="A81" s="439" t="s">
        <v>347</v>
      </c>
      <c r="B81" s="439" t="s">
        <v>1312</v>
      </c>
      <c r="C81" s="441">
        <v>284121.18</v>
      </c>
      <c r="D81" s="442">
        <v>8070900.0999999996</v>
      </c>
      <c r="E81" s="441">
        <v>42070805.329999998</v>
      </c>
      <c r="F81" s="443">
        <v>50425826.609999999</v>
      </c>
      <c r="G81" s="441">
        <f t="shared" si="6"/>
        <v>58496726.710000001</v>
      </c>
      <c r="H81" s="363" t="b">
        <f t="shared" si="4"/>
        <v>1</v>
      </c>
      <c r="I81" s="363">
        <f t="shared" si="5"/>
        <v>8070900.1000000015</v>
      </c>
    </row>
    <row r="82" spans="1:9">
      <c r="A82" s="439" t="s">
        <v>349</v>
      </c>
      <c r="B82" s="439" t="s">
        <v>1313</v>
      </c>
      <c r="E82" s="441">
        <v>32684.11</v>
      </c>
      <c r="F82" s="443">
        <v>32684.11</v>
      </c>
      <c r="G82" s="441">
        <f t="shared" si="6"/>
        <v>32684.11</v>
      </c>
      <c r="H82" s="363" t="b">
        <f t="shared" ref="H82:H145" si="7">(D82+F82)=G82</f>
        <v>1</v>
      </c>
      <c r="I82" s="363">
        <f t="shared" si="5"/>
        <v>0</v>
      </c>
    </row>
    <row r="83" spans="1:9">
      <c r="A83" s="439" t="s">
        <v>351</v>
      </c>
      <c r="B83" s="439" t="s">
        <v>912</v>
      </c>
      <c r="C83" s="441">
        <v>36654.769999999997</v>
      </c>
      <c r="E83" s="441">
        <v>42890505.780000001</v>
      </c>
      <c r="F83" s="443">
        <v>42927160.549999997</v>
      </c>
      <c r="G83" s="441">
        <f t="shared" si="6"/>
        <v>42927160.549999997</v>
      </c>
      <c r="H83" s="363" t="b">
        <f t="shared" si="7"/>
        <v>1</v>
      </c>
      <c r="I83" s="363">
        <f t="shared" si="5"/>
        <v>0</v>
      </c>
    </row>
    <row r="84" spans="1:9">
      <c r="A84" s="439" t="s">
        <v>353</v>
      </c>
      <c r="B84" s="439" t="s">
        <v>913</v>
      </c>
      <c r="E84" s="441">
        <v>9740360.8699999992</v>
      </c>
      <c r="F84" s="443">
        <v>9740360.8699999992</v>
      </c>
      <c r="G84" s="441">
        <f t="shared" si="6"/>
        <v>9740360.8699999992</v>
      </c>
      <c r="H84" s="363" t="b">
        <f t="shared" si="7"/>
        <v>1</v>
      </c>
      <c r="I84" s="363">
        <f t="shared" si="5"/>
        <v>0</v>
      </c>
    </row>
    <row r="85" spans="1:9">
      <c r="A85" s="439" t="s">
        <v>355</v>
      </c>
      <c r="B85" s="439" t="s">
        <v>914</v>
      </c>
      <c r="C85" s="441">
        <v>54612.25</v>
      </c>
      <c r="E85" s="441">
        <v>7507937.0700000003</v>
      </c>
      <c r="F85" s="443">
        <v>7562549.3200000003</v>
      </c>
      <c r="G85" s="441">
        <f t="shared" si="6"/>
        <v>7562549.3200000003</v>
      </c>
      <c r="H85" s="363" t="b">
        <f t="shared" si="7"/>
        <v>1</v>
      </c>
      <c r="I85" s="363">
        <f t="shared" si="5"/>
        <v>0</v>
      </c>
    </row>
    <row r="86" spans="1:9">
      <c r="A86" s="439" t="s">
        <v>357</v>
      </c>
      <c r="B86" s="439" t="s">
        <v>915</v>
      </c>
      <c r="C86" s="441">
        <v>27974.39</v>
      </c>
      <c r="D86" s="442">
        <v>482687.13</v>
      </c>
      <c r="E86" s="441">
        <v>854645.92</v>
      </c>
      <c r="F86" s="443">
        <v>1365307.44</v>
      </c>
      <c r="G86" s="441">
        <f t="shared" si="6"/>
        <v>1847994.5699999998</v>
      </c>
      <c r="H86" s="363" t="b">
        <f t="shared" si="7"/>
        <v>1</v>
      </c>
      <c r="I86" s="363">
        <f t="shared" si="5"/>
        <v>482687.12999999989</v>
      </c>
    </row>
    <row r="87" spans="1:9">
      <c r="A87" s="439" t="s">
        <v>359</v>
      </c>
      <c r="B87" s="439" t="s">
        <v>916</v>
      </c>
      <c r="C87" s="441">
        <v>101719.2</v>
      </c>
      <c r="E87" s="441">
        <v>17935754.699999999</v>
      </c>
      <c r="F87" s="443">
        <v>18037473.899999999</v>
      </c>
      <c r="G87" s="441">
        <f t="shared" si="6"/>
        <v>18037473.899999999</v>
      </c>
      <c r="H87" s="363" t="b">
        <f t="shared" si="7"/>
        <v>1</v>
      </c>
      <c r="I87" s="363">
        <f t="shared" si="5"/>
        <v>0</v>
      </c>
    </row>
    <row r="88" spans="1:9">
      <c r="A88" s="439" t="s">
        <v>361</v>
      </c>
      <c r="B88" s="439" t="s">
        <v>917</v>
      </c>
      <c r="E88" s="441">
        <v>1166295.9099999999</v>
      </c>
      <c r="F88" s="443">
        <v>1166295.9099999999</v>
      </c>
      <c r="G88" s="441">
        <f t="shared" si="6"/>
        <v>1166295.9099999999</v>
      </c>
      <c r="H88" s="363" t="b">
        <f t="shared" si="7"/>
        <v>1</v>
      </c>
      <c r="I88" s="363">
        <f t="shared" si="5"/>
        <v>0</v>
      </c>
    </row>
    <row r="89" spans="1:9">
      <c r="A89" s="439" t="s">
        <v>363</v>
      </c>
      <c r="B89" s="439" t="s">
        <v>918</v>
      </c>
      <c r="D89" s="442">
        <v>2706.94</v>
      </c>
      <c r="E89" s="441">
        <v>151021.28</v>
      </c>
      <c r="F89" s="443">
        <v>153728.22</v>
      </c>
      <c r="G89" s="441">
        <f t="shared" si="6"/>
        <v>156435.16</v>
      </c>
      <c r="H89" s="363" t="b">
        <f t="shared" si="7"/>
        <v>1</v>
      </c>
      <c r="I89" s="363">
        <f t="shared" si="5"/>
        <v>2706.9400000000023</v>
      </c>
    </row>
    <row r="90" spans="1:9">
      <c r="A90" s="439" t="s">
        <v>365</v>
      </c>
      <c r="B90" s="439" t="s">
        <v>919</v>
      </c>
      <c r="E90" s="441">
        <v>100066.66</v>
      </c>
      <c r="F90" s="443">
        <v>100066.66</v>
      </c>
      <c r="G90" s="441">
        <f t="shared" si="6"/>
        <v>100066.66</v>
      </c>
      <c r="H90" s="363" t="b">
        <f t="shared" si="7"/>
        <v>1</v>
      </c>
      <c r="I90" s="363">
        <f t="shared" si="5"/>
        <v>0</v>
      </c>
    </row>
    <row r="91" spans="1:9">
      <c r="A91" s="439" t="s">
        <v>367</v>
      </c>
      <c r="B91" s="439" t="s">
        <v>920</v>
      </c>
      <c r="E91" s="441">
        <v>3007033.3</v>
      </c>
      <c r="F91" s="443">
        <v>3007033.3</v>
      </c>
      <c r="G91" s="441">
        <f t="shared" si="6"/>
        <v>3007033.3</v>
      </c>
      <c r="H91" s="363" t="b">
        <f t="shared" si="7"/>
        <v>1</v>
      </c>
      <c r="I91" s="363">
        <f t="shared" si="5"/>
        <v>0</v>
      </c>
    </row>
    <row r="92" spans="1:9">
      <c r="A92" s="439" t="s">
        <v>369</v>
      </c>
      <c r="B92" s="439" t="s">
        <v>921</v>
      </c>
      <c r="C92" s="441">
        <v>101.5</v>
      </c>
      <c r="D92" s="442">
        <v>104299.01</v>
      </c>
      <c r="E92" s="441">
        <v>991976.21</v>
      </c>
      <c r="F92" s="443">
        <v>1096376.72</v>
      </c>
      <c r="G92" s="441">
        <f t="shared" si="6"/>
        <v>1200675.73</v>
      </c>
      <c r="H92" s="363" t="b">
        <f t="shared" si="7"/>
        <v>1</v>
      </c>
      <c r="I92" s="363">
        <f t="shared" si="5"/>
        <v>104299.01000000001</v>
      </c>
    </row>
    <row r="93" spans="1:9">
      <c r="A93" s="439" t="s">
        <v>371</v>
      </c>
      <c r="B93" s="439" t="s">
        <v>922</v>
      </c>
      <c r="E93" s="441">
        <v>5775391.6100000003</v>
      </c>
      <c r="F93" s="443">
        <v>5775391.6100000003</v>
      </c>
      <c r="G93" s="441">
        <f t="shared" si="6"/>
        <v>5775391.6100000003</v>
      </c>
      <c r="H93" s="363" t="b">
        <f t="shared" si="7"/>
        <v>1</v>
      </c>
      <c r="I93" s="363">
        <f t="shared" si="5"/>
        <v>0</v>
      </c>
    </row>
    <row r="94" spans="1:9">
      <c r="A94" s="439" t="s">
        <v>373</v>
      </c>
      <c r="B94" s="439" t="s">
        <v>923</v>
      </c>
      <c r="E94" s="441">
        <v>1965377.29</v>
      </c>
      <c r="F94" s="443">
        <v>1965377.29</v>
      </c>
      <c r="G94" s="441">
        <f t="shared" si="6"/>
        <v>1965377.29</v>
      </c>
      <c r="H94" s="363" t="b">
        <f t="shared" si="7"/>
        <v>1</v>
      </c>
      <c r="I94" s="363">
        <f t="shared" si="5"/>
        <v>0</v>
      </c>
    </row>
    <row r="95" spans="1:9">
      <c r="A95" s="439" t="s">
        <v>375</v>
      </c>
      <c r="B95" s="439" t="s">
        <v>924</v>
      </c>
      <c r="E95" s="441">
        <v>6324214.1600000001</v>
      </c>
      <c r="F95" s="443">
        <v>6324214.1600000001</v>
      </c>
      <c r="G95" s="441">
        <f t="shared" si="6"/>
        <v>6324214.1600000001</v>
      </c>
      <c r="H95" s="363" t="b">
        <f t="shared" si="7"/>
        <v>1</v>
      </c>
      <c r="I95" s="363">
        <f t="shared" si="5"/>
        <v>0</v>
      </c>
    </row>
    <row r="96" spans="1:9">
      <c r="A96" s="439" t="s">
        <v>377</v>
      </c>
      <c r="B96" s="439" t="s">
        <v>1139</v>
      </c>
      <c r="D96" s="442">
        <v>54560.54</v>
      </c>
      <c r="E96" s="441">
        <v>304368.59000000003</v>
      </c>
      <c r="F96" s="443">
        <v>358929.13</v>
      </c>
      <c r="G96" s="441">
        <f t="shared" si="6"/>
        <v>413489.67</v>
      </c>
      <c r="H96" s="363" t="b">
        <f t="shared" si="7"/>
        <v>1</v>
      </c>
      <c r="I96" s="363">
        <f t="shared" si="5"/>
        <v>54560.539999999979</v>
      </c>
    </row>
    <row r="97" spans="1:9">
      <c r="A97" s="439" t="s">
        <v>379</v>
      </c>
      <c r="B97" s="439" t="s">
        <v>925</v>
      </c>
      <c r="E97" s="441">
        <v>51044.639999999999</v>
      </c>
      <c r="F97" s="443">
        <v>51044.639999999999</v>
      </c>
      <c r="G97" s="441">
        <f t="shared" si="6"/>
        <v>51044.639999999999</v>
      </c>
      <c r="H97" s="363" t="b">
        <f t="shared" si="7"/>
        <v>1</v>
      </c>
      <c r="I97" s="363">
        <f t="shared" si="5"/>
        <v>0</v>
      </c>
    </row>
    <row r="98" spans="1:9">
      <c r="A98" s="439" t="s">
        <v>383</v>
      </c>
      <c r="B98" s="439" t="s">
        <v>926</v>
      </c>
      <c r="E98" s="441">
        <v>194224.95</v>
      </c>
      <c r="F98" s="443">
        <v>194224.95</v>
      </c>
      <c r="G98" s="441">
        <f t="shared" si="6"/>
        <v>194224.95</v>
      </c>
      <c r="H98" s="363" t="b">
        <f t="shared" si="7"/>
        <v>1</v>
      </c>
      <c r="I98" s="363">
        <f t="shared" si="5"/>
        <v>0</v>
      </c>
    </row>
    <row r="99" spans="1:9">
      <c r="A99" s="439" t="s">
        <v>385</v>
      </c>
      <c r="B99" s="439" t="s">
        <v>927</v>
      </c>
      <c r="C99" s="441">
        <v>13613.8</v>
      </c>
      <c r="E99" s="441">
        <v>1071346.52</v>
      </c>
      <c r="F99" s="443">
        <v>1084960.32</v>
      </c>
      <c r="G99" s="441">
        <f t="shared" si="6"/>
        <v>1084960.32</v>
      </c>
      <c r="H99" s="363" t="b">
        <f t="shared" si="7"/>
        <v>1</v>
      </c>
      <c r="I99" s="363">
        <f t="shared" si="5"/>
        <v>0</v>
      </c>
    </row>
    <row r="100" spans="1:9">
      <c r="A100" s="439" t="s">
        <v>387</v>
      </c>
      <c r="B100" s="439" t="s">
        <v>928</v>
      </c>
      <c r="D100" s="442">
        <v>5300</v>
      </c>
      <c r="E100" s="441">
        <v>208591.12</v>
      </c>
      <c r="F100" s="443">
        <v>213891.12</v>
      </c>
      <c r="G100" s="441">
        <f t="shared" si="6"/>
        <v>219191.12</v>
      </c>
      <c r="H100" s="363" t="b">
        <f t="shared" si="7"/>
        <v>1</v>
      </c>
      <c r="I100" s="363">
        <f t="shared" si="5"/>
        <v>5300</v>
      </c>
    </row>
    <row r="101" spans="1:9">
      <c r="A101" s="439" t="s">
        <v>389</v>
      </c>
      <c r="B101" s="439" t="s">
        <v>929</v>
      </c>
      <c r="D101" s="442">
        <v>117184.58</v>
      </c>
      <c r="E101" s="441">
        <v>1252669.99</v>
      </c>
      <c r="F101" s="443">
        <v>1369854.57</v>
      </c>
      <c r="G101" s="441">
        <f t="shared" si="6"/>
        <v>1487039.1500000001</v>
      </c>
      <c r="H101" s="363" t="b">
        <f t="shared" si="7"/>
        <v>1</v>
      </c>
      <c r="I101" s="363">
        <f t="shared" si="5"/>
        <v>117184.58000000007</v>
      </c>
    </row>
    <row r="102" spans="1:9">
      <c r="A102" s="439" t="s">
        <v>391</v>
      </c>
      <c r="B102" s="439" t="s">
        <v>930</v>
      </c>
      <c r="C102" s="441">
        <v>961860.13</v>
      </c>
      <c r="D102" s="442">
        <v>10578962.119999999</v>
      </c>
      <c r="E102" s="441">
        <v>33724666.939999998</v>
      </c>
      <c r="F102" s="443">
        <v>45265489.189999998</v>
      </c>
      <c r="G102" s="441">
        <f t="shared" si="6"/>
        <v>55844451.309999995</v>
      </c>
      <c r="H102" s="363" t="b">
        <f t="shared" si="7"/>
        <v>1</v>
      </c>
      <c r="I102" s="363">
        <f t="shared" si="5"/>
        <v>10578962.119999997</v>
      </c>
    </row>
    <row r="103" spans="1:9">
      <c r="A103" s="439" t="s">
        <v>393</v>
      </c>
      <c r="B103" s="439" t="s">
        <v>931</v>
      </c>
      <c r="C103" s="441">
        <v>17796.189999999999</v>
      </c>
      <c r="D103" s="442">
        <v>558569.05000000005</v>
      </c>
      <c r="E103" s="441">
        <v>2219944.15</v>
      </c>
      <c r="F103" s="443">
        <v>2796309.39</v>
      </c>
      <c r="G103" s="441">
        <f t="shared" si="6"/>
        <v>3354878.4400000004</v>
      </c>
      <c r="H103" s="363" t="b">
        <f t="shared" si="7"/>
        <v>1</v>
      </c>
      <c r="I103" s="363">
        <f t="shared" si="5"/>
        <v>558569.05000000028</v>
      </c>
    </row>
    <row r="104" spans="1:9">
      <c r="A104" s="439" t="s">
        <v>395</v>
      </c>
      <c r="B104" s="439" t="s">
        <v>932</v>
      </c>
      <c r="E104" s="441">
        <v>791057.47</v>
      </c>
      <c r="F104" s="443">
        <v>791057.47</v>
      </c>
      <c r="G104" s="441">
        <f t="shared" si="6"/>
        <v>791057.47</v>
      </c>
      <c r="H104" s="363" t="b">
        <f t="shared" si="7"/>
        <v>1</v>
      </c>
      <c r="I104" s="363">
        <f t="shared" si="5"/>
        <v>0</v>
      </c>
    </row>
    <row r="105" spans="1:9">
      <c r="A105" s="439" t="s">
        <v>397</v>
      </c>
      <c r="B105" s="439" t="s">
        <v>933</v>
      </c>
      <c r="E105" s="441">
        <v>2621035.7200000002</v>
      </c>
      <c r="F105" s="443">
        <v>2621035.7200000002</v>
      </c>
      <c r="G105" s="441">
        <f t="shared" si="6"/>
        <v>2621035.7200000002</v>
      </c>
      <c r="H105" s="363" t="b">
        <f t="shared" si="7"/>
        <v>1</v>
      </c>
      <c r="I105" s="363">
        <f t="shared" si="5"/>
        <v>0</v>
      </c>
    </row>
    <row r="106" spans="1:9">
      <c r="A106" s="439" t="s">
        <v>1160</v>
      </c>
      <c r="B106" s="439" t="s">
        <v>1314</v>
      </c>
      <c r="E106" s="441">
        <v>160829.82</v>
      </c>
      <c r="F106" s="443">
        <v>160829.82</v>
      </c>
      <c r="G106" s="441">
        <f t="shared" si="6"/>
        <v>160829.82</v>
      </c>
      <c r="H106" s="363" t="b">
        <f t="shared" si="7"/>
        <v>1</v>
      </c>
      <c r="I106" s="363">
        <f t="shared" si="5"/>
        <v>0</v>
      </c>
    </row>
    <row r="107" spans="1:9">
      <c r="A107" s="439" t="s">
        <v>399</v>
      </c>
      <c r="B107" s="439" t="s">
        <v>1315</v>
      </c>
      <c r="E107" s="441">
        <v>278257.78999999998</v>
      </c>
      <c r="F107" s="443">
        <v>278257.78999999998</v>
      </c>
      <c r="G107" s="441">
        <f t="shared" si="6"/>
        <v>278257.78999999998</v>
      </c>
      <c r="H107" s="363" t="b">
        <f t="shared" si="7"/>
        <v>1</v>
      </c>
      <c r="I107" s="363">
        <f t="shared" si="5"/>
        <v>0</v>
      </c>
    </row>
    <row r="108" spans="1:9">
      <c r="A108" s="439" t="s">
        <v>400</v>
      </c>
      <c r="B108" s="439" t="s">
        <v>1316</v>
      </c>
      <c r="E108" s="441">
        <v>119056.03</v>
      </c>
      <c r="F108" s="443">
        <v>119056.03</v>
      </c>
      <c r="G108" s="441">
        <f t="shared" si="6"/>
        <v>119056.03</v>
      </c>
      <c r="H108" s="363" t="b">
        <f t="shared" si="7"/>
        <v>1</v>
      </c>
      <c r="I108" s="363">
        <f t="shared" si="5"/>
        <v>0</v>
      </c>
    </row>
    <row r="109" spans="1:9">
      <c r="A109" s="439" t="s">
        <v>402</v>
      </c>
      <c r="B109" s="439" t="s">
        <v>934</v>
      </c>
      <c r="E109" s="441">
        <v>368862.91</v>
      </c>
      <c r="F109" s="443">
        <v>368862.91</v>
      </c>
      <c r="G109" s="441">
        <f t="shared" si="6"/>
        <v>368862.91</v>
      </c>
      <c r="H109" s="363" t="b">
        <f t="shared" si="7"/>
        <v>1</v>
      </c>
      <c r="I109" s="363">
        <f t="shared" si="5"/>
        <v>0</v>
      </c>
    </row>
    <row r="110" spans="1:9">
      <c r="A110" s="439" t="s">
        <v>404</v>
      </c>
      <c r="B110" s="439" t="s">
        <v>935</v>
      </c>
      <c r="E110" s="441">
        <v>37255.51</v>
      </c>
      <c r="F110" s="443">
        <v>37255.51</v>
      </c>
      <c r="G110" s="441">
        <f t="shared" si="6"/>
        <v>37255.51</v>
      </c>
      <c r="H110" s="363" t="b">
        <f t="shared" si="7"/>
        <v>1</v>
      </c>
      <c r="I110" s="363">
        <f t="shared" si="5"/>
        <v>0</v>
      </c>
    </row>
    <row r="111" spans="1:9">
      <c r="A111" s="439" t="s">
        <v>406</v>
      </c>
      <c r="B111" s="439" t="s">
        <v>936</v>
      </c>
      <c r="C111" s="441">
        <v>71.73</v>
      </c>
      <c r="D111" s="442">
        <v>8175715.2400000002</v>
      </c>
      <c r="E111" s="441">
        <v>24671388.850000001</v>
      </c>
      <c r="F111" s="443">
        <v>32847175.82</v>
      </c>
      <c r="G111" s="441">
        <f t="shared" si="6"/>
        <v>41022891.060000002</v>
      </c>
      <c r="H111" s="363" t="b">
        <f t="shared" si="7"/>
        <v>1</v>
      </c>
      <c r="I111" s="363">
        <f t="shared" si="5"/>
        <v>8175715.2400000021</v>
      </c>
    </row>
    <row r="112" spans="1:9">
      <c r="A112" s="439" t="s">
        <v>408</v>
      </c>
      <c r="B112" s="439" t="s">
        <v>937</v>
      </c>
      <c r="E112" s="441">
        <v>73202.64</v>
      </c>
      <c r="F112" s="443">
        <v>73202.64</v>
      </c>
      <c r="G112" s="441">
        <f t="shared" si="6"/>
        <v>73202.64</v>
      </c>
      <c r="H112" s="363" t="b">
        <f t="shared" si="7"/>
        <v>1</v>
      </c>
      <c r="I112" s="363">
        <f t="shared" si="5"/>
        <v>0</v>
      </c>
    </row>
    <row r="113" spans="1:9">
      <c r="A113" s="439" t="s">
        <v>410</v>
      </c>
      <c r="B113" s="439" t="s">
        <v>1278</v>
      </c>
      <c r="E113" s="441">
        <v>1902289.02</v>
      </c>
      <c r="F113" s="443">
        <v>1902289.02</v>
      </c>
      <c r="G113" s="441">
        <f t="shared" si="6"/>
        <v>1902289.02</v>
      </c>
      <c r="H113" s="363" t="b">
        <f t="shared" si="7"/>
        <v>1</v>
      </c>
      <c r="I113" s="363">
        <f t="shared" si="5"/>
        <v>0</v>
      </c>
    </row>
    <row r="114" spans="1:9">
      <c r="A114" s="439" t="s">
        <v>412</v>
      </c>
      <c r="B114" s="439" t="s">
        <v>938</v>
      </c>
      <c r="E114" s="441">
        <v>27386.44</v>
      </c>
      <c r="F114" s="443">
        <v>27386.44</v>
      </c>
      <c r="G114" s="441">
        <f t="shared" si="6"/>
        <v>27386.44</v>
      </c>
      <c r="H114" s="363" t="b">
        <f t="shared" si="7"/>
        <v>1</v>
      </c>
      <c r="I114" s="363">
        <f t="shared" si="5"/>
        <v>0</v>
      </c>
    </row>
    <row r="115" spans="1:9">
      <c r="A115" s="439" t="s">
        <v>414</v>
      </c>
      <c r="B115" s="439" t="s">
        <v>939</v>
      </c>
      <c r="C115" s="441">
        <v>100173.79</v>
      </c>
      <c r="D115" s="442">
        <v>301940.51</v>
      </c>
      <c r="E115" s="441">
        <v>8315786.5899999999</v>
      </c>
      <c r="F115" s="443">
        <v>8717900.8900000006</v>
      </c>
      <c r="G115" s="441">
        <f t="shared" si="6"/>
        <v>9019841.4000000004</v>
      </c>
      <c r="H115" s="363" t="b">
        <f t="shared" si="7"/>
        <v>1</v>
      </c>
      <c r="I115" s="363">
        <f t="shared" si="5"/>
        <v>301940.50999999978</v>
      </c>
    </row>
    <row r="116" spans="1:9">
      <c r="A116" s="439" t="s">
        <v>416</v>
      </c>
      <c r="B116" s="439" t="s">
        <v>940</v>
      </c>
      <c r="C116" s="441">
        <v>202588.84</v>
      </c>
      <c r="D116" s="442">
        <v>3293872.64</v>
      </c>
      <c r="E116" s="441">
        <v>23379721.66</v>
      </c>
      <c r="F116" s="443">
        <v>26876183.140000001</v>
      </c>
      <c r="G116" s="441">
        <f t="shared" si="6"/>
        <v>30170055.780000001</v>
      </c>
      <c r="H116" s="363" t="b">
        <f t="shared" si="7"/>
        <v>1</v>
      </c>
      <c r="I116" s="363">
        <f t="shared" si="5"/>
        <v>3293872.6400000006</v>
      </c>
    </row>
    <row r="117" spans="1:9">
      <c r="A117" s="439" t="s">
        <v>418</v>
      </c>
      <c r="B117" s="439" t="s">
        <v>941</v>
      </c>
      <c r="C117" s="441">
        <v>18853.75</v>
      </c>
      <c r="D117" s="442">
        <v>17103903.690000001</v>
      </c>
      <c r="E117" s="441">
        <v>40821000.700000003</v>
      </c>
      <c r="F117" s="443">
        <v>57943758.140000001</v>
      </c>
      <c r="G117" s="441">
        <f t="shared" si="6"/>
        <v>75047661.829999998</v>
      </c>
      <c r="H117" s="363" t="b">
        <f t="shared" si="7"/>
        <v>1</v>
      </c>
      <c r="I117" s="363">
        <f t="shared" si="5"/>
        <v>17103903.689999998</v>
      </c>
    </row>
    <row r="118" spans="1:9">
      <c r="A118" s="439" t="s">
        <v>420</v>
      </c>
      <c r="B118" s="439" t="s">
        <v>942</v>
      </c>
      <c r="E118" s="441">
        <v>1363041.61</v>
      </c>
      <c r="F118" s="443">
        <v>1363041.61</v>
      </c>
      <c r="G118" s="441">
        <f t="shared" si="6"/>
        <v>1363041.61</v>
      </c>
      <c r="H118" s="363" t="b">
        <f t="shared" si="7"/>
        <v>1</v>
      </c>
      <c r="I118" s="363">
        <f t="shared" si="5"/>
        <v>0</v>
      </c>
    </row>
    <row r="119" spans="1:9">
      <c r="A119" s="439" t="s">
        <v>422</v>
      </c>
      <c r="B119" s="439" t="s">
        <v>943</v>
      </c>
      <c r="C119" s="441">
        <v>5411</v>
      </c>
      <c r="E119" s="441">
        <v>1747505.62</v>
      </c>
      <c r="F119" s="443">
        <v>1752916.62</v>
      </c>
      <c r="G119" s="441">
        <f t="shared" si="6"/>
        <v>1752916.62</v>
      </c>
      <c r="H119" s="363" t="b">
        <f t="shared" si="7"/>
        <v>1</v>
      </c>
      <c r="I119" s="363">
        <f t="shared" si="5"/>
        <v>0</v>
      </c>
    </row>
    <row r="120" spans="1:9">
      <c r="A120" s="439" t="s">
        <v>424</v>
      </c>
      <c r="B120" s="439" t="s">
        <v>944</v>
      </c>
      <c r="E120" s="441">
        <v>1177933.48</v>
      </c>
      <c r="F120" s="443">
        <v>1177933.48</v>
      </c>
      <c r="G120" s="441">
        <f t="shared" si="6"/>
        <v>1177933.48</v>
      </c>
      <c r="H120" s="363" t="b">
        <f t="shared" si="7"/>
        <v>1</v>
      </c>
      <c r="I120" s="363">
        <f t="shared" si="5"/>
        <v>0</v>
      </c>
    </row>
    <row r="121" spans="1:9">
      <c r="A121" s="439" t="s">
        <v>426</v>
      </c>
      <c r="B121" s="439" t="s">
        <v>1140</v>
      </c>
      <c r="E121" s="441">
        <v>124227.42</v>
      </c>
      <c r="F121" s="443">
        <v>124227.42</v>
      </c>
      <c r="G121" s="441">
        <f t="shared" si="6"/>
        <v>124227.42</v>
      </c>
      <c r="H121" s="363" t="b">
        <f t="shared" si="7"/>
        <v>1</v>
      </c>
      <c r="I121" s="363">
        <f t="shared" si="5"/>
        <v>0</v>
      </c>
    </row>
    <row r="122" spans="1:9">
      <c r="A122" s="439" t="s">
        <v>430</v>
      </c>
      <c r="B122" s="439" t="s">
        <v>946</v>
      </c>
      <c r="C122" s="441">
        <v>7561</v>
      </c>
      <c r="D122" s="442">
        <v>39521</v>
      </c>
      <c r="E122" s="441">
        <v>1126819.3700000001</v>
      </c>
      <c r="F122" s="443">
        <v>1173901.3700000001</v>
      </c>
      <c r="G122" s="441">
        <f t="shared" si="6"/>
        <v>1213422.3700000001</v>
      </c>
      <c r="H122" s="363" t="b">
        <f t="shared" si="7"/>
        <v>1</v>
      </c>
      <c r="I122" s="363">
        <f t="shared" si="5"/>
        <v>39521</v>
      </c>
    </row>
    <row r="123" spans="1:9">
      <c r="A123" s="439" t="s">
        <v>428</v>
      </c>
      <c r="B123" s="439" t="s">
        <v>1317</v>
      </c>
      <c r="D123" s="442">
        <v>268730.81</v>
      </c>
      <c r="E123" s="441">
        <v>2833742.04</v>
      </c>
      <c r="F123" s="443">
        <v>3102472.85</v>
      </c>
      <c r="G123" s="441">
        <f t="shared" si="6"/>
        <v>3371203.66</v>
      </c>
      <c r="H123" s="363" t="b">
        <f t="shared" si="7"/>
        <v>1</v>
      </c>
      <c r="I123" s="363">
        <f t="shared" si="5"/>
        <v>268730.81000000006</v>
      </c>
    </row>
    <row r="124" spans="1:9">
      <c r="A124" s="439" t="s">
        <v>432</v>
      </c>
      <c r="B124" s="439" t="s">
        <v>1318</v>
      </c>
      <c r="E124" s="441">
        <v>133159.66</v>
      </c>
      <c r="F124" s="443">
        <v>133159.66</v>
      </c>
      <c r="G124" s="441">
        <f t="shared" si="6"/>
        <v>133159.66</v>
      </c>
      <c r="H124" s="363" t="b">
        <f t="shared" si="7"/>
        <v>1</v>
      </c>
      <c r="I124" s="363">
        <f t="shared" si="5"/>
        <v>0</v>
      </c>
    </row>
    <row r="125" spans="1:9">
      <c r="A125" s="439" t="s">
        <v>434</v>
      </c>
      <c r="B125" s="439" t="s">
        <v>947</v>
      </c>
      <c r="D125" s="442">
        <v>229758.88</v>
      </c>
      <c r="E125" s="441">
        <v>1353118.29</v>
      </c>
      <c r="F125" s="443">
        <v>1582877.17</v>
      </c>
      <c r="G125" s="441">
        <f t="shared" si="6"/>
        <v>1812636.0499999998</v>
      </c>
      <c r="H125" s="363" t="b">
        <f t="shared" si="7"/>
        <v>1</v>
      </c>
      <c r="I125" s="363">
        <f t="shared" si="5"/>
        <v>229758.87999999989</v>
      </c>
    </row>
    <row r="126" spans="1:9">
      <c r="A126" s="439" t="s">
        <v>438</v>
      </c>
      <c r="B126" s="439" t="s">
        <v>948</v>
      </c>
      <c r="C126" s="441">
        <v>53390.86</v>
      </c>
      <c r="E126" s="441">
        <v>19564225.460000001</v>
      </c>
      <c r="F126" s="443">
        <v>19617616.32</v>
      </c>
      <c r="G126" s="441">
        <f t="shared" si="6"/>
        <v>19617616.32</v>
      </c>
      <c r="H126" s="363" t="b">
        <f t="shared" si="7"/>
        <v>1</v>
      </c>
      <c r="I126" s="363">
        <f t="shared" si="5"/>
        <v>0</v>
      </c>
    </row>
    <row r="127" spans="1:9">
      <c r="A127" s="439" t="s">
        <v>440</v>
      </c>
      <c r="B127" s="439" t="s">
        <v>949</v>
      </c>
      <c r="C127" s="441">
        <v>114573.72</v>
      </c>
      <c r="D127" s="442">
        <v>18282455.539999999</v>
      </c>
      <c r="E127" s="441">
        <v>43512472.299999997</v>
      </c>
      <c r="F127" s="443">
        <v>61909501.560000002</v>
      </c>
      <c r="G127" s="441">
        <f t="shared" si="6"/>
        <v>80191957.099999994</v>
      </c>
      <c r="H127" s="363" t="b">
        <f t="shared" si="7"/>
        <v>1</v>
      </c>
      <c r="I127" s="363">
        <f t="shared" si="5"/>
        <v>18282455.539999992</v>
      </c>
    </row>
    <row r="128" spans="1:9">
      <c r="A128" s="439" t="s">
        <v>442</v>
      </c>
      <c r="B128" s="439" t="s">
        <v>950</v>
      </c>
      <c r="C128" s="441">
        <v>5817.33</v>
      </c>
      <c r="D128" s="442">
        <v>12420.97</v>
      </c>
      <c r="E128" s="441">
        <v>5190605.59</v>
      </c>
      <c r="F128" s="443">
        <v>5208843.8899999997</v>
      </c>
      <c r="G128" s="441">
        <f t="shared" si="6"/>
        <v>5221264.8599999994</v>
      </c>
      <c r="H128" s="363" t="b">
        <f t="shared" si="7"/>
        <v>1</v>
      </c>
      <c r="I128" s="363">
        <f t="shared" si="5"/>
        <v>12420.969999999739</v>
      </c>
    </row>
    <row r="129" spans="1:9">
      <c r="A129" s="439" t="s">
        <v>444</v>
      </c>
      <c r="B129" s="439" t="s">
        <v>951</v>
      </c>
      <c r="E129" s="441">
        <v>107862.55</v>
      </c>
      <c r="F129" s="443">
        <v>107862.55</v>
      </c>
      <c r="G129" s="441">
        <f t="shared" si="6"/>
        <v>107862.55</v>
      </c>
      <c r="H129" s="363" t="b">
        <f t="shared" si="7"/>
        <v>1</v>
      </c>
      <c r="I129" s="363">
        <f t="shared" si="5"/>
        <v>0</v>
      </c>
    </row>
    <row r="130" spans="1:9">
      <c r="A130" s="439" t="s">
        <v>446</v>
      </c>
      <c r="B130" s="439" t="s">
        <v>952</v>
      </c>
      <c r="E130" s="441">
        <v>665758.9</v>
      </c>
      <c r="F130" s="443">
        <v>665758.9</v>
      </c>
      <c r="G130" s="441">
        <f t="shared" si="6"/>
        <v>665758.9</v>
      </c>
      <c r="H130" s="363" t="b">
        <f t="shared" si="7"/>
        <v>1</v>
      </c>
      <c r="I130" s="363">
        <f t="shared" si="5"/>
        <v>0</v>
      </c>
    </row>
    <row r="131" spans="1:9">
      <c r="A131" s="439" t="s">
        <v>448</v>
      </c>
      <c r="B131" s="439" t="s">
        <v>953</v>
      </c>
      <c r="E131" s="441">
        <v>245895.23</v>
      </c>
      <c r="F131" s="443">
        <v>245895.23</v>
      </c>
      <c r="G131" s="441">
        <f t="shared" si="6"/>
        <v>245895.23</v>
      </c>
      <c r="H131" s="363" t="b">
        <f t="shared" si="7"/>
        <v>1</v>
      </c>
      <c r="I131" s="363">
        <f t="shared" si="5"/>
        <v>0</v>
      </c>
    </row>
    <row r="132" spans="1:9">
      <c r="A132" s="439" t="s">
        <v>450</v>
      </c>
      <c r="B132" s="439" t="s">
        <v>954</v>
      </c>
      <c r="C132" s="441">
        <v>115902.48</v>
      </c>
      <c r="D132" s="442">
        <v>1383615.22</v>
      </c>
      <c r="E132" s="441">
        <v>11486543.01</v>
      </c>
      <c r="F132" s="443">
        <v>12986060.710000001</v>
      </c>
      <c r="G132" s="441">
        <f t="shared" si="6"/>
        <v>14369675.930000002</v>
      </c>
      <c r="H132" s="363" t="b">
        <f t="shared" si="7"/>
        <v>1</v>
      </c>
      <c r="I132" s="363">
        <f t="shared" si="5"/>
        <v>1383615.2200000007</v>
      </c>
    </row>
    <row r="133" spans="1:9">
      <c r="A133" s="439" t="s">
        <v>452</v>
      </c>
      <c r="B133" s="439" t="s">
        <v>955</v>
      </c>
      <c r="E133" s="441">
        <v>265588.53999999998</v>
      </c>
      <c r="F133" s="443">
        <v>265588.53999999998</v>
      </c>
      <c r="G133" s="441">
        <f t="shared" si="6"/>
        <v>265588.53999999998</v>
      </c>
      <c r="H133" s="363" t="b">
        <f t="shared" si="7"/>
        <v>1</v>
      </c>
      <c r="I133" s="363">
        <f t="shared" ref="I133:I196" si="8">G133-F133</f>
        <v>0</v>
      </c>
    </row>
    <row r="134" spans="1:9">
      <c r="A134" s="439" t="s">
        <v>454</v>
      </c>
      <c r="B134" s="439" t="s">
        <v>956</v>
      </c>
      <c r="C134" s="441">
        <v>9860.86</v>
      </c>
      <c r="E134" s="441">
        <v>722190.53</v>
      </c>
      <c r="F134" s="443">
        <v>732051.39</v>
      </c>
      <c r="G134" s="441">
        <f t="shared" si="6"/>
        <v>732051.39</v>
      </c>
      <c r="H134" s="363" t="b">
        <f t="shared" si="7"/>
        <v>1</v>
      </c>
      <c r="I134" s="363">
        <f t="shared" si="8"/>
        <v>0</v>
      </c>
    </row>
    <row r="135" spans="1:9">
      <c r="A135" s="439" t="s">
        <v>456</v>
      </c>
      <c r="B135" s="439" t="s">
        <v>1279</v>
      </c>
      <c r="D135" s="442">
        <v>9600</v>
      </c>
      <c r="E135" s="441">
        <v>75088.27</v>
      </c>
      <c r="F135" s="443">
        <v>84688.27</v>
      </c>
      <c r="G135" s="441">
        <f t="shared" ref="G135:G198" si="9">D135+F135</f>
        <v>94288.27</v>
      </c>
      <c r="H135" s="363" t="b">
        <f t="shared" si="7"/>
        <v>1</v>
      </c>
      <c r="I135" s="363">
        <f t="shared" si="8"/>
        <v>9600</v>
      </c>
    </row>
    <row r="136" spans="1:9">
      <c r="A136" s="439" t="s">
        <v>1319</v>
      </c>
      <c r="B136" s="439" t="s">
        <v>1320</v>
      </c>
      <c r="E136" s="441">
        <v>864016.23</v>
      </c>
      <c r="F136" s="443">
        <v>864016.23</v>
      </c>
      <c r="G136" s="441">
        <f t="shared" si="9"/>
        <v>864016.23</v>
      </c>
      <c r="H136" s="363" t="b">
        <f t="shared" si="7"/>
        <v>1</v>
      </c>
      <c r="I136" s="363">
        <f t="shared" si="8"/>
        <v>0</v>
      </c>
    </row>
    <row r="137" spans="1:9">
      <c r="A137" s="439" t="s">
        <v>457</v>
      </c>
      <c r="B137" s="439" t="s">
        <v>957</v>
      </c>
      <c r="E137" s="441">
        <v>394620.45</v>
      </c>
      <c r="F137" s="443">
        <v>394620.45</v>
      </c>
      <c r="G137" s="441">
        <f t="shared" si="9"/>
        <v>394620.45</v>
      </c>
      <c r="H137" s="363" t="b">
        <f t="shared" si="7"/>
        <v>1</v>
      </c>
      <c r="I137" s="363">
        <f t="shared" si="8"/>
        <v>0</v>
      </c>
    </row>
    <row r="138" spans="1:9">
      <c r="A138" s="439" t="s">
        <v>459</v>
      </c>
      <c r="B138" s="439" t="s">
        <v>958</v>
      </c>
      <c r="C138" s="441">
        <v>103419.12</v>
      </c>
      <c r="D138" s="442">
        <v>500000</v>
      </c>
      <c r="E138" s="441">
        <v>6696496.3499999996</v>
      </c>
      <c r="F138" s="443">
        <v>7299915.4699999997</v>
      </c>
      <c r="G138" s="441">
        <f t="shared" si="9"/>
        <v>7799915.4699999997</v>
      </c>
      <c r="H138" s="363" t="b">
        <f t="shared" si="7"/>
        <v>1</v>
      </c>
      <c r="I138" s="363">
        <f t="shared" si="8"/>
        <v>500000</v>
      </c>
    </row>
    <row r="139" spans="1:9">
      <c r="A139" s="439" t="s">
        <v>461</v>
      </c>
      <c r="B139" s="439" t="s">
        <v>959</v>
      </c>
      <c r="E139" s="441">
        <v>834437.66</v>
      </c>
      <c r="F139" s="443">
        <v>834437.66</v>
      </c>
      <c r="G139" s="441">
        <f t="shared" si="9"/>
        <v>834437.66</v>
      </c>
      <c r="H139" s="363" t="b">
        <f t="shared" si="7"/>
        <v>1</v>
      </c>
      <c r="I139" s="363">
        <f t="shared" si="8"/>
        <v>0</v>
      </c>
    </row>
    <row r="140" spans="1:9">
      <c r="A140" s="439" t="s">
        <v>463</v>
      </c>
      <c r="B140" s="439" t="s">
        <v>960</v>
      </c>
      <c r="D140" s="442">
        <v>17498.89</v>
      </c>
      <c r="E140" s="441">
        <v>93611.37</v>
      </c>
      <c r="F140" s="443">
        <v>111110.26</v>
      </c>
      <c r="G140" s="441">
        <f t="shared" si="9"/>
        <v>128609.15</v>
      </c>
      <c r="H140" s="363" t="b">
        <f t="shared" si="7"/>
        <v>1</v>
      </c>
      <c r="I140" s="363">
        <f t="shared" si="8"/>
        <v>17498.89</v>
      </c>
    </row>
    <row r="141" spans="1:9">
      <c r="A141" s="439" t="s">
        <v>465</v>
      </c>
      <c r="B141" s="439" t="s">
        <v>961</v>
      </c>
      <c r="D141" s="442">
        <v>59016.43</v>
      </c>
      <c r="E141" s="441">
        <v>772722.92</v>
      </c>
      <c r="F141" s="443">
        <v>831739.35</v>
      </c>
      <c r="G141" s="441">
        <f t="shared" si="9"/>
        <v>890755.78</v>
      </c>
      <c r="H141" s="363" t="b">
        <f t="shared" si="7"/>
        <v>1</v>
      </c>
      <c r="I141" s="363">
        <f t="shared" si="8"/>
        <v>59016.430000000051</v>
      </c>
    </row>
    <row r="142" spans="1:9">
      <c r="A142" s="439" t="s">
        <v>467</v>
      </c>
      <c r="B142" s="439" t="s">
        <v>962</v>
      </c>
      <c r="E142" s="441">
        <v>1707691.13</v>
      </c>
      <c r="F142" s="443">
        <v>1707691.13</v>
      </c>
      <c r="G142" s="441">
        <f t="shared" si="9"/>
        <v>1707691.13</v>
      </c>
      <c r="H142" s="363" t="b">
        <f t="shared" si="7"/>
        <v>1</v>
      </c>
      <c r="I142" s="363">
        <f t="shared" si="8"/>
        <v>0</v>
      </c>
    </row>
    <row r="143" spans="1:9">
      <c r="A143" s="439" t="s">
        <v>469</v>
      </c>
      <c r="B143" s="439" t="s">
        <v>963</v>
      </c>
      <c r="D143" s="442">
        <v>700</v>
      </c>
      <c r="E143" s="441">
        <v>526084.93999999994</v>
      </c>
      <c r="F143" s="443">
        <v>526784.93999999994</v>
      </c>
      <c r="G143" s="441">
        <f t="shared" si="9"/>
        <v>527484.93999999994</v>
      </c>
      <c r="H143" s="363" t="b">
        <f t="shared" si="7"/>
        <v>1</v>
      </c>
      <c r="I143" s="363">
        <f t="shared" si="8"/>
        <v>700</v>
      </c>
    </row>
    <row r="144" spans="1:9">
      <c r="A144" s="439" t="s">
        <v>471</v>
      </c>
      <c r="B144" s="439" t="s">
        <v>964</v>
      </c>
      <c r="C144" s="441">
        <v>149960.57999999999</v>
      </c>
      <c r="E144" s="441">
        <v>25578647.300000001</v>
      </c>
      <c r="F144" s="443">
        <v>25728607.879999999</v>
      </c>
      <c r="G144" s="441">
        <f t="shared" si="9"/>
        <v>25728607.879999999</v>
      </c>
      <c r="H144" s="363" t="b">
        <f t="shared" si="7"/>
        <v>1</v>
      </c>
      <c r="I144" s="363">
        <f t="shared" si="8"/>
        <v>0</v>
      </c>
    </row>
    <row r="145" spans="1:9">
      <c r="A145" s="439" t="s">
        <v>473</v>
      </c>
      <c r="B145" s="439" t="s">
        <v>1321</v>
      </c>
      <c r="E145" s="441">
        <v>737918.47</v>
      </c>
      <c r="F145" s="443">
        <v>737918.47</v>
      </c>
      <c r="G145" s="441">
        <f t="shared" si="9"/>
        <v>737918.47</v>
      </c>
      <c r="H145" s="363" t="b">
        <f t="shared" si="7"/>
        <v>1</v>
      </c>
      <c r="I145" s="363">
        <f t="shared" si="8"/>
        <v>0</v>
      </c>
    </row>
    <row r="146" spans="1:9">
      <c r="A146" s="439" t="s">
        <v>475</v>
      </c>
      <c r="B146" s="439" t="s">
        <v>966</v>
      </c>
      <c r="D146" s="442">
        <v>306210.32</v>
      </c>
      <c r="E146" s="441">
        <v>17747522.149999999</v>
      </c>
      <c r="F146" s="443">
        <v>18053732.469999999</v>
      </c>
      <c r="G146" s="441">
        <f t="shared" si="9"/>
        <v>18359942.789999999</v>
      </c>
      <c r="H146" s="363" t="b">
        <f t="shared" ref="H146:H209" si="10">(D146+F146)=G146</f>
        <v>1</v>
      </c>
      <c r="I146" s="363">
        <f t="shared" si="8"/>
        <v>306210.3200000003</v>
      </c>
    </row>
    <row r="147" spans="1:9">
      <c r="A147" s="439" t="s">
        <v>477</v>
      </c>
      <c r="B147" s="439" t="s">
        <v>967</v>
      </c>
      <c r="C147" s="441">
        <v>15638.7</v>
      </c>
      <c r="E147" s="441">
        <v>2656672.02</v>
      </c>
      <c r="F147" s="443">
        <v>2672310.7200000002</v>
      </c>
      <c r="G147" s="441">
        <f t="shared" si="9"/>
        <v>2672310.7200000002</v>
      </c>
      <c r="H147" s="363" t="b">
        <f t="shared" si="10"/>
        <v>1</v>
      </c>
      <c r="I147" s="363">
        <f t="shared" si="8"/>
        <v>0</v>
      </c>
    </row>
    <row r="148" spans="1:9">
      <c r="A148" s="439" t="s">
        <v>479</v>
      </c>
      <c r="B148" s="439" t="s">
        <v>968</v>
      </c>
      <c r="D148" s="442">
        <v>4310769.83</v>
      </c>
      <c r="E148" s="441">
        <v>6107688.2199999997</v>
      </c>
      <c r="F148" s="443">
        <v>10418458.050000001</v>
      </c>
      <c r="G148" s="441">
        <f t="shared" si="9"/>
        <v>14729227.880000001</v>
      </c>
      <c r="H148" s="363" t="b">
        <f t="shared" si="10"/>
        <v>1</v>
      </c>
      <c r="I148" s="363">
        <f t="shared" si="8"/>
        <v>4310769.83</v>
      </c>
    </row>
    <row r="149" spans="1:9">
      <c r="A149" s="439" t="s">
        <v>481</v>
      </c>
      <c r="B149" s="439" t="s">
        <v>969</v>
      </c>
      <c r="E149" s="441">
        <v>3120520.56</v>
      </c>
      <c r="F149" s="443">
        <v>3120520.56</v>
      </c>
      <c r="G149" s="441">
        <f t="shared" si="9"/>
        <v>3120520.56</v>
      </c>
      <c r="H149" s="363" t="b">
        <f t="shared" si="10"/>
        <v>1</v>
      </c>
      <c r="I149" s="363">
        <f t="shared" si="8"/>
        <v>0</v>
      </c>
    </row>
    <row r="150" spans="1:9">
      <c r="A150" s="439" t="s">
        <v>483</v>
      </c>
      <c r="B150" s="439" t="s">
        <v>970</v>
      </c>
      <c r="E150" s="441">
        <v>790090.73</v>
      </c>
      <c r="F150" s="443">
        <v>790090.73</v>
      </c>
      <c r="G150" s="441">
        <f t="shared" si="9"/>
        <v>790090.73</v>
      </c>
      <c r="H150" s="363" t="b">
        <f t="shared" si="10"/>
        <v>1</v>
      </c>
      <c r="I150" s="363">
        <f t="shared" si="8"/>
        <v>0</v>
      </c>
    </row>
    <row r="151" spans="1:9">
      <c r="A151" s="439" t="s">
        <v>485</v>
      </c>
      <c r="B151" s="439" t="s">
        <v>971</v>
      </c>
      <c r="E151" s="441">
        <v>49519.17</v>
      </c>
      <c r="F151" s="443">
        <v>49519.17</v>
      </c>
      <c r="G151" s="441">
        <f t="shared" si="9"/>
        <v>49519.17</v>
      </c>
      <c r="H151" s="363" t="b">
        <f t="shared" si="10"/>
        <v>1</v>
      </c>
      <c r="I151" s="363">
        <f t="shared" si="8"/>
        <v>0</v>
      </c>
    </row>
    <row r="152" spans="1:9">
      <c r="A152" s="439" t="s">
        <v>487</v>
      </c>
      <c r="B152" s="439" t="s">
        <v>972</v>
      </c>
      <c r="C152" s="441">
        <v>10077.98</v>
      </c>
      <c r="D152" s="442">
        <v>390410.91</v>
      </c>
      <c r="E152" s="441">
        <v>12104034.609999999</v>
      </c>
      <c r="F152" s="443">
        <v>12504523.5</v>
      </c>
      <c r="G152" s="441">
        <f t="shared" si="9"/>
        <v>12894934.41</v>
      </c>
      <c r="H152" s="363" t="b">
        <f t="shared" si="10"/>
        <v>1</v>
      </c>
      <c r="I152" s="363">
        <f t="shared" si="8"/>
        <v>390410.91000000015</v>
      </c>
    </row>
    <row r="153" spans="1:9">
      <c r="A153" s="439" t="s">
        <v>489</v>
      </c>
      <c r="B153" s="439" t="s">
        <v>973</v>
      </c>
      <c r="C153" s="441">
        <v>41081.440000000002</v>
      </c>
      <c r="E153" s="441">
        <v>2629408.61</v>
      </c>
      <c r="F153" s="443">
        <v>2670490.0499999998</v>
      </c>
      <c r="G153" s="441">
        <f t="shared" si="9"/>
        <v>2670490.0499999998</v>
      </c>
      <c r="H153" s="363" t="b">
        <f t="shared" si="10"/>
        <v>1</v>
      </c>
      <c r="I153" s="363">
        <f t="shared" si="8"/>
        <v>0</v>
      </c>
    </row>
    <row r="154" spans="1:9">
      <c r="A154" s="439" t="s">
        <v>491</v>
      </c>
      <c r="B154" s="439" t="s">
        <v>974</v>
      </c>
      <c r="C154" s="441">
        <v>813.51</v>
      </c>
      <c r="D154" s="442">
        <v>134152.26</v>
      </c>
      <c r="E154" s="441">
        <v>725674.5</v>
      </c>
      <c r="F154" s="443">
        <v>860640.27</v>
      </c>
      <c r="G154" s="441">
        <f t="shared" si="9"/>
        <v>994792.53</v>
      </c>
      <c r="H154" s="363" t="b">
        <f t="shared" si="10"/>
        <v>1</v>
      </c>
      <c r="I154" s="363">
        <f t="shared" si="8"/>
        <v>134152.26</v>
      </c>
    </row>
    <row r="155" spans="1:9">
      <c r="A155" s="439" t="s">
        <v>493</v>
      </c>
      <c r="B155" s="439" t="s">
        <v>975</v>
      </c>
      <c r="D155" s="442">
        <v>1338203.05</v>
      </c>
      <c r="E155" s="441">
        <v>13386450.529999999</v>
      </c>
      <c r="F155" s="443">
        <v>14724653.58</v>
      </c>
      <c r="G155" s="441">
        <f t="shared" si="9"/>
        <v>16062856.630000001</v>
      </c>
      <c r="H155" s="363" t="b">
        <f t="shared" si="10"/>
        <v>1</v>
      </c>
      <c r="I155" s="363">
        <f t="shared" si="8"/>
        <v>1338203.0500000007</v>
      </c>
    </row>
    <row r="156" spans="1:9">
      <c r="A156" s="439" t="s">
        <v>495</v>
      </c>
      <c r="B156" s="439" t="s">
        <v>976</v>
      </c>
      <c r="C156" s="441">
        <v>4709.5200000000004</v>
      </c>
      <c r="D156" s="442">
        <v>67922.23</v>
      </c>
      <c r="E156" s="441">
        <v>1059796.1499999999</v>
      </c>
      <c r="F156" s="443">
        <v>1132427.8999999999</v>
      </c>
      <c r="G156" s="441">
        <f t="shared" si="9"/>
        <v>1200350.1299999999</v>
      </c>
      <c r="H156" s="363" t="b">
        <f t="shared" si="10"/>
        <v>1</v>
      </c>
      <c r="I156" s="363">
        <f t="shared" si="8"/>
        <v>67922.229999999981</v>
      </c>
    </row>
    <row r="157" spans="1:9">
      <c r="A157" s="439" t="s">
        <v>497</v>
      </c>
      <c r="B157" s="439" t="s">
        <v>977</v>
      </c>
      <c r="E157" s="441">
        <v>1344889.6</v>
      </c>
      <c r="F157" s="443">
        <v>1344889.6</v>
      </c>
      <c r="G157" s="441">
        <f t="shared" si="9"/>
        <v>1344889.6</v>
      </c>
      <c r="H157" s="363" t="b">
        <f t="shared" si="10"/>
        <v>1</v>
      </c>
      <c r="I157" s="363">
        <f t="shared" si="8"/>
        <v>0</v>
      </c>
    </row>
    <row r="158" spans="1:9">
      <c r="A158" s="439" t="s">
        <v>499</v>
      </c>
      <c r="B158" s="439" t="s">
        <v>978</v>
      </c>
      <c r="C158" s="441">
        <v>101175.1</v>
      </c>
      <c r="E158" s="441">
        <v>4063540.77</v>
      </c>
      <c r="F158" s="443">
        <v>4164715.87</v>
      </c>
      <c r="G158" s="441">
        <f t="shared" si="9"/>
        <v>4164715.87</v>
      </c>
      <c r="H158" s="363" t="b">
        <f t="shared" si="10"/>
        <v>1</v>
      </c>
      <c r="I158" s="363">
        <f t="shared" si="8"/>
        <v>0</v>
      </c>
    </row>
    <row r="159" spans="1:9">
      <c r="A159" s="439" t="s">
        <v>501</v>
      </c>
      <c r="B159" s="439" t="s">
        <v>979</v>
      </c>
      <c r="E159" s="441">
        <v>43449.8</v>
      </c>
      <c r="F159" s="443">
        <v>43449.8</v>
      </c>
      <c r="G159" s="441">
        <f t="shared" si="9"/>
        <v>43449.8</v>
      </c>
      <c r="H159" s="363" t="b">
        <f t="shared" si="10"/>
        <v>1</v>
      </c>
      <c r="I159" s="363">
        <f t="shared" si="8"/>
        <v>0</v>
      </c>
    </row>
    <row r="160" spans="1:9">
      <c r="A160" s="439" t="s">
        <v>503</v>
      </c>
      <c r="B160" s="439" t="s">
        <v>1322</v>
      </c>
      <c r="C160" s="441">
        <v>176424.24</v>
      </c>
      <c r="D160" s="442">
        <v>4162483.84</v>
      </c>
      <c r="E160" s="441">
        <v>11889294.210000001</v>
      </c>
      <c r="F160" s="443">
        <v>16228202.289999999</v>
      </c>
      <c r="G160" s="441">
        <f t="shared" si="9"/>
        <v>20390686.129999999</v>
      </c>
      <c r="H160" s="363" t="b">
        <f t="shared" si="10"/>
        <v>1</v>
      </c>
      <c r="I160" s="363">
        <f t="shared" si="8"/>
        <v>4162483.84</v>
      </c>
    </row>
    <row r="161" spans="1:9">
      <c r="A161" s="439" t="s">
        <v>505</v>
      </c>
      <c r="B161" s="439" t="s">
        <v>981</v>
      </c>
      <c r="D161" s="442">
        <v>9472483.5199999996</v>
      </c>
      <c r="E161" s="441">
        <v>28103257.890000001</v>
      </c>
      <c r="F161" s="443">
        <v>37575741.409999996</v>
      </c>
      <c r="G161" s="441">
        <f t="shared" si="9"/>
        <v>47048224.929999992</v>
      </c>
      <c r="H161" s="363" t="b">
        <f t="shared" si="10"/>
        <v>1</v>
      </c>
      <c r="I161" s="363">
        <f t="shared" si="8"/>
        <v>9472483.5199999958</v>
      </c>
    </row>
    <row r="162" spans="1:9">
      <c r="A162" s="439" t="s">
        <v>507</v>
      </c>
      <c r="B162" s="439" t="s">
        <v>982</v>
      </c>
      <c r="E162" s="441">
        <v>1576504.45</v>
      </c>
      <c r="F162" s="443">
        <v>1576504.45</v>
      </c>
      <c r="G162" s="441">
        <f t="shared" si="9"/>
        <v>1576504.45</v>
      </c>
      <c r="H162" s="363" t="b">
        <f t="shared" si="10"/>
        <v>1</v>
      </c>
      <c r="I162" s="363">
        <f t="shared" si="8"/>
        <v>0</v>
      </c>
    </row>
    <row r="163" spans="1:9">
      <c r="A163" s="439" t="s">
        <v>509</v>
      </c>
      <c r="B163" s="439" t="s">
        <v>983</v>
      </c>
      <c r="C163" s="441">
        <v>4762.8900000000003</v>
      </c>
      <c r="E163" s="441">
        <v>1344097.65</v>
      </c>
      <c r="F163" s="443">
        <v>1348860.54</v>
      </c>
      <c r="G163" s="441">
        <f t="shared" si="9"/>
        <v>1348860.54</v>
      </c>
      <c r="H163" s="363" t="b">
        <f t="shared" si="10"/>
        <v>1</v>
      </c>
      <c r="I163" s="363">
        <f t="shared" si="8"/>
        <v>0</v>
      </c>
    </row>
    <row r="164" spans="1:9" s="361" customFormat="1">
      <c r="A164" s="440" t="s">
        <v>511</v>
      </c>
      <c r="B164" s="440" t="s">
        <v>1323</v>
      </c>
      <c r="D164" s="444"/>
      <c r="E164" s="445">
        <v>397271.53</v>
      </c>
      <c r="F164" s="446">
        <v>397271.53</v>
      </c>
      <c r="G164" s="441">
        <f t="shared" si="9"/>
        <v>397271.53</v>
      </c>
      <c r="H164" s="363" t="b">
        <f t="shared" si="10"/>
        <v>1</v>
      </c>
      <c r="I164" s="361">
        <f t="shared" si="8"/>
        <v>0</v>
      </c>
    </row>
    <row r="165" spans="1:9">
      <c r="A165" s="439" t="s">
        <v>513</v>
      </c>
      <c r="B165" s="439" t="s">
        <v>985</v>
      </c>
      <c r="E165" s="441">
        <v>157280.07999999999</v>
      </c>
      <c r="F165" s="443">
        <v>157280.07999999999</v>
      </c>
      <c r="G165" s="441">
        <f t="shared" si="9"/>
        <v>157280.07999999999</v>
      </c>
      <c r="H165" s="363" t="b">
        <f t="shared" si="10"/>
        <v>1</v>
      </c>
      <c r="I165" s="363">
        <f t="shared" si="8"/>
        <v>0</v>
      </c>
    </row>
    <row r="166" spans="1:9">
      <c r="A166" s="439" t="s">
        <v>515</v>
      </c>
      <c r="B166" s="439" t="s">
        <v>986</v>
      </c>
      <c r="E166" s="441">
        <v>1998513.78</v>
      </c>
      <c r="F166" s="443">
        <v>1998513.78</v>
      </c>
      <c r="G166" s="441">
        <f t="shared" si="9"/>
        <v>1998513.78</v>
      </c>
      <c r="H166" s="363" t="b">
        <f t="shared" si="10"/>
        <v>1</v>
      </c>
      <c r="I166" s="363">
        <f t="shared" si="8"/>
        <v>0</v>
      </c>
    </row>
    <row r="167" spans="1:9">
      <c r="A167" s="439" t="s">
        <v>517</v>
      </c>
      <c r="B167" s="439" t="s">
        <v>987</v>
      </c>
      <c r="E167" s="441">
        <v>1878549.21</v>
      </c>
      <c r="F167" s="443">
        <v>1878549.21</v>
      </c>
      <c r="G167" s="441">
        <f t="shared" si="9"/>
        <v>1878549.21</v>
      </c>
      <c r="H167" s="363" t="b">
        <f t="shared" si="10"/>
        <v>1</v>
      </c>
      <c r="I167" s="363">
        <f t="shared" si="8"/>
        <v>0</v>
      </c>
    </row>
    <row r="168" spans="1:9">
      <c r="A168" s="439" t="s">
        <v>519</v>
      </c>
      <c r="B168" s="439" t="s">
        <v>988</v>
      </c>
      <c r="C168" s="441">
        <v>40855.699999999997</v>
      </c>
      <c r="E168" s="441">
        <v>3337088.94</v>
      </c>
      <c r="F168" s="443">
        <v>3377944.64</v>
      </c>
      <c r="G168" s="441">
        <f t="shared" si="9"/>
        <v>3377944.64</v>
      </c>
      <c r="H168" s="363" t="b">
        <f t="shared" si="10"/>
        <v>1</v>
      </c>
      <c r="I168" s="363">
        <f t="shared" si="8"/>
        <v>0</v>
      </c>
    </row>
    <row r="169" spans="1:9">
      <c r="A169" s="439" t="s">
        <v>521</v>
      </c>
      <c r="B169" s="439" t="s">
        <v>989</v>
      </c>
      <c r="D169" s="442">
        <v>225376.51</v>
      </c>
      <c r="E169" s="441">
        <v>1512646.66</v>
      </c>
      <c r="F169" s="443">
        <v>1738023.17</v>
      </c>
      <c r="G169" s="441">
        <f t="shared" si="9"/>
        <v>1963399.68</v>
      </c>
      <c r="H169" s="363" t="b">
        <f t="shared" si="10"/>
        <v>1</v>
      </c>
      <c r="I169" s="363">
        <f t="shared" si="8"/>
        <v>225376.51</v>
      </c>
    </row>
    <row r="170" spans="1:9">
      <c r="A170" s="439" t="s">
        <v>523</v>
      </c>
      <c r="B170" s="439" t="s">
        <v>990</v>
      </c>
      <c r="C170" s="441">
        <v>28465.97</v>
      </c>
      <c r="E170" s="441">
        <v>3074610.04</v>
      </c>
      <c r="F170" s="443">
        <v>3103076.01</v>
      </c>
      <c r="G170" s="441">
        <f t="shared" si="9"/>
        <v>3103076.01</v>
      </c>
      <c r="H170" s="363" t="b">
        <f t="shared" si="10"/>
        <v>1</v>
      </c>
      <c r="I170" s="363">
        <f t="shared" si="8"/>
        <v>0</v>
      </c>
    </row>
    <row r="171" spans="1:9">
      <c r="A171" s="439" t="s">
        <v>525</v>
      </c>
      <c r="B171" s="439" t="s">
        <v>991</v>
      </c>
      <c r="D171" s="442">
        <v>2766051.09</v>
      </c>
      <c r="E171" s="441">
        <v>9918762.1400000006</v>
      </c>
      <c r="F171" s="443">
        <v>12684813.23</v>
      </c>
      <c r="G171" s="441">
        <f t="shared" si="9"/>
        <v>15450864.32</v>
      </c>
      <c r="H171" s="363" t="b">
        <f t="shared" si="10"/>
        <v>1</v>
      </c>
      <c r="I171" s="363">
        <f t="shared" si="8"/>
        <v>2766051.09</v>
      </c>
    </row>
    <row r="172" spans="1:9">
      <c r="A172" s="439" t="s">
        <v>527</v>
      </c>
      <c r="B172" s="439" t="s">
        <v>992</v>
      </c>
      <c r="D172" s="442">
        <v>182810.25</v>
      </c>
      <c r="E172" s="441">
        <v>3683471.24</v>
      </c>
      <c r="F172" s="443">
        <v>3866281.49</v>
      </c>
      <c r="G172" s="441">
        <f t="shared" si="9"/>
        <v>4049091.74</v>
      </c>
      <c r="H172" s="363" t="b">
        <f t="shared" si="10"/>
        <v>1</v>
      </c>
      <c r="I172" s="363">
        <f t="shared" si="8"/>
        <v>182810.25</v>
      </c>
    </row>
    <row r="173" spans="1:9">
      <c r="A173" s="439" t="s">
        <v>529</v>
      </c>
      <c r="B173" s="439" t="s">
        <v>993</v>
      </c>
      <c r="E173" s="441">
        <v>123529.58</v>
      </c>
      <c r="F173" s="443">
        <v>123529.58</v>
      </c>
      <c r="G173" s="441">
        <f t="shared" si="9"/>
        <v>123529.58</v>
      </c>
      <c r="H173" s="363" t="b">
        <f t="shared" si="10"/>
        <v>1</v>
      </c>
      <c r="I173" s="363">
        <f t="shared" si="8"/>
        <v>0</v>
      </c>
    </row>
    <row r="174" spans="1:9">
      <c r="A174" s="439" t="s">
        <v>531</v>
      </c>
      <c r="B174" s="439" t="s">
        <v>994</v>
      </c>
      <c r="C174" s="441">
        <v>127772.32</v>
      </c>
      <c r="D174" s="442">
        <v>8701352.5800000001</v>
      </c>
      <c r="E174" s="441">
        <v>27522027.41</v>
      </c>
      <c r="F174" s="443">
        <v>36351152.310000002</v>
      </c>
      <c r="G174" s="441">
        <f t="shared" si="9"/>
        <v>45052504.890000001</v>
      </c>
      <c r="H174" s="363" t="b">
        <f t="shared" si="10"/>
        <v>1</v>
      </c>
      <c r="I174" s="363">
        <f t="shared" si="8"/>
        <v>8701352.5799999982</v>
      </c>
    </row>
    <row r="175" spans="1:9">
      <c r="A175" s="439" t="s">
        <v>533</v>
      </c>
      <c r="B175" s="439" t="s">
        <v>995</v>
      </c>
      <c r="D175" s="442">
        <v>82000</v>
      </c>
      <c r="E175" s="441">
        <v>235405.31</v>
      </c>
      <c r="F175" s="443">
        <v>317405.31</v>
      </c>
      <c r="G175" s="441">
        <f t="shared" si="9"/>
        <v>399405.31</v>
      </c>
      <c r="H175" s="363" t="b">
        <f t="shared" si="10"/>
        <v>1</v>
      </c>
      <c r="I175" s="363">
        <f t="shared" si="8"/>
        <v>82000</v>
      </c>
    </row>
    <row r="176" spans="1:9">
      <c r="A176" s="439" t="s">
        <v>535</v>
      </c>
      <c r="B176" s="439" t="s">
        <v>996</v>
      </c>
      <c r="C176" s="441">
        <v>71599.64</v>
      </c>
      <c r="D176" s="442">
        <v>23642796.629999999</v>
      </c>
      <c r="E176" s="441">
        <v>39675925.57</v>
      </c>
      <c r="F176" s="443">
        <v>63390321.840000004</v>
      </c>
      <c r="G176" s="441">
        <f t="shared" si="9"/>
        <v>87033118.469999999</v>
      </c>
      <c r="H176" s="363" t="b">
        <f t="shared" si="10"/>
        <v>1</v>
      </c>
      <c r="I176" s="363">
        <f t="shared" si="8"/>
        <v>23642796.629999995</v>
      </c>
    </row>
    <row r="177" spans="1:9">
      <c r="A177" s="439" t="s">
        <v>537</v>
      </c>
      <c r="B177" s="439" t="s">
        <v>997</v>
      </c>
      <c r="C177" s="441">
        <v>3310038.89</v>
      </c>
      <c r="D177" s="442">
        <v>641894.31000000006</v>
      </c>
      <c r="E177" s="441">
        <v>12524559.49</v>
      </c>
      <c r="F177" s="443">
        <v>16476492.689999999</v>
      </c>
      <c r="G177" s="441">
        <f t="shared" si="9"/>
        <v>17118387</v>
      </c>
      <c r="H177" s="363" t="b">
        <f t="shared" si="10"/>
        <v>1</v>
      </c>
      <c r="I177" s="363">
        <f t="shared" si="8"/>
        <v>641894.31000000052</v>
      </c>
    </row>
    <row r="178" spans="1:9">
      <c r="A178" s="439" t="s">
        <v>539</v>
      </c>
      <c r="B178" s="439" t="s">
        <v>998</v>
      </c>
      <c r="E178" s="441">
        <v>190408.99</v>
      </c>
      <c r="F178" s="443">
        <v>190408.99</v>
      </c>
      <c r="G178" s="441">
        <f t="shared" si="9"/>
        <v>190408.99</v>
      </c>
      <c r="H178" s="363" t="b">
        <f t="shared" si="10"/>
        <v>1</v>
      </c>
      <c r="I178" s="363">
        <f t="shared" si="8"/>
        <v>0</v>
      </c>
    </row>
    <row r="179" spans="1:9">
      <c r="A179" s="439" t="s">
        <v>541</v>
      </c>
      <c r="B179" s="439" t="s">
        <v>999</v>
      </c>
      <c r="E179" s="441">
        <v>565543.75</v>
      </c>
      <c r="F179" s="443">
        <v>565543.75</v>
      </c>
      <c r="G179" s="441">
        <f t="shared" si="9"/>
        <v>565543.75</v>
      </c>
      <c r="H179" s="363" t="b">
        <f t="shared" si="10"/>
        <v>1</v>
      </c>
      <c r="I179" s="363">
        <f t="shared" si="8"/>
        <v>0</v>
      </c>
    </row>
    <row r="180" spans="1:9">
      <c r="A180" s="439" t="s">
        <v>543</v>
      </c>
      <c r="B180" s="439" t="s">
        <v>1000</v>
      </c>
      <c r="E180" s="441">
        <v>2211216.94</v>
      </c>
      <c r="F180" s="443">
        <v>2211216.94</v>
      </c>
      <c r="G180" s="441">
        <f t="shared" si="9"/>
        <v>2211216.94</v>
      </c>
      <c r="H180" s="363" t="b">
        <f t="shared" si="10"/>
        <v>1</v>
      </c>
      <c r="I180" s="363">
        <f t="shared" si="8"/>
        <v>0</v>
      </c>
    </row>
    <row r="181" spans="1:9">
      <c r="A181" s="439" t="s">
        <v>545</v>
      </c>
      <c r="B181" s="439" t="s">
        <v>1001</v>
      </c>
      <c r="E181" s="441">
        <v>804001</v>
      </c>
      <c r="F181" s="443">
        <v>804001</v>
      </c>
      <c r="G181" s="441">
        <f t="shared" si="9"/>
        <v>804001</v>
      </c>
      <c r="H181" s="363" t="b">
        <f t="shared" si="10"/>
        <v>1</v>
      </c>
      <c r="I181" s="363">
        <f t="shared" si="8"/>
        <v>0</v>
      </c>
    </row>
    <row r="182" spans="1:9">
      <c r="A182" s="439" t="s">
        <v>547</v>
      </c>
      <c r="B182" s="439" t="s">
        <v>1002</v>
      </c>
      <c r="E182" s="441">
        <v>314601.73</v>
      </c>
      <c r="F182" s="443">
        <v>314601.73</v>
      </c>
      <c r="G182" s="441">
        <f t="shared" si="9"/>
        <v>314601.73</v>
      </c>
      <c r="H182" s="363" t="b">
        <f t="shared" si="10"/>
        <v>1</v>
      </c>
      <c r="I182" s="363">
        <f t="shared" si="8"/>
        <v>0</v>
      </c>
    </row>
    <row r="183" spans="1:9">
      <c r="A183" s="439" t="s">
        <v>549</v>
      </c>
      <c r="B183" s="439" t="s">
        <v>1003</v>
      </c>
      <c r="E183" s="441">
        <v>1827388.1</v>
      </c>
      <c r="F183" s="443">
        <v>1827388.1</v>
      </c>
      <c r="G183" s="441">
        <f t="shared" si="9"/>
        <v>1827388.1</v>
      </c>
      <c r="H183" s="363" t="b">
        <f t="shared" si="10"/>
        <v>1</v>
      </c>
      <c r="I183" s="363">
        <f t="shared" si="8"/>
        <v>0</v>
      </c>
    </row>
    <row r="184" spans="1:9">
      <c r="A184" s="439" t="s">
        <v>551</v>
      </c>
      <c r="B184" s="439" t="s">
        <v>1004</v>
      </c>
      <c r="C184" s="441">
        <v>14810.46</v>
      </c>
      <c r="D184" s="442">
        <v>7495716.3600000003</v>
      </c>
      <c r="E184" s="441">
        <v>16723694.609999999</v>
      </c>
      <c r="F184" s="443">
        <v>24234221.43</v>
      </c>
      <c r="G184" s="441">
        <f t="shared" si="9"/>
        <v>31729937.789999999</v>
      </c>
      <c r="H184" s="363" t="b">
        <f t="shared" si="10"/>
        <v>1</v>
      </c>
      <c r="I184" s="363">
        <f t="shared" si="8"/>
        <v>7495716.3599999994</v>
      </c>
    </row>
    <row r="185" spans="1:9">
      <c r="A185" s="439" t="s">
        <v>553</v>
      </c>
      <c r="B185" s="439" t="s">
        <v>1005</v>
      </c>
      <c r="D185" s="442">
        <v>40000</v>
      </c>
      <c r="E185" s="441">
        <v>8675628.3200000003</v>
      </c>
      <c r="F185" s="443">
        <v>8715628.3200000003</v>
      </c>
      <c r="G185" s="441">
        <f t="shared" si="9"/>
        <v>8755628.3200000003</v>
      </c>
      <c r="H185" s="363" t="b">
        <f t="shared" si="10"/>
        <v>1</v>
      </c>
      <c r="I185" s="363">
        <f t="shared" si="8"/>
        <v>40000</v>
      </c>
    </row>
    <row r="186" spans="1:9">
      <c r="A186" s="439" t="s">
        <v>555</v>
      </c>
      <c r="B186" s="439" t="s">
        <v>1006</v>
      </c>
      <c r="C186" s="441">
        <v>4721.8</v>
      </c>
      <c r="D186" s="442">
        <v>203786.21</v>
      </c>
      <c r="E186" s="441">
        <v>1267975.3999999999</v>
      </c>
      <c r="F186" s="443">
        <v>1476483.41</v>
      </c>
      <c r="G186" s="441">
        <f t="shared" si="9"/>
        <v>1680269.6199999999</v>
      </c>
      <c r="H186" s="363" t="b">
        <f t="shared" si="10"/>
        <v>1</v>
      </c>
      <c r="I186" s="363">
        <f t="shared" si="8"/>
        <v>203786.20999999996</v>
      </c>
    </row>
    <row r="187" spans="1:9">
      <c r="A187" s="439" t="s">
        <v>557</v>
      </c>
      <c r="B187" s="439" t="s">
        <v>1007</v>
      </c>
      <c r="E187" s="441">
        <v>42825.15</v>
      </c>
      <c r="F187" s="443">
        <v>42825.15</v>
      </c>
      <c r="G187" s="441">
        <f t="shared" si="9"/>
        <v>42825.15</v>
      </c>
      <c r="H187" s="363" t="b">
        <f t="shared" si="10"/>
        <v>1</v>
      </c>
      <c r="I187" s="363">
        <f t="shared" si="8"/>
        <v>0</v>
      </c>
    </row>
    <row r="188" spans="1:9">
      <c r="A188" s="439" t="s">
        <v>559</v>
      </c>
      <c r="B188" s="439" t="s">
        <v>1324</v>
      </c>
      <c r="C188" s="441">
        <v>9094.42</v>
      </c>
      <c r="E188" s="441">
        <v>1269884.75</v>
      </c>
      <c r="F188" s="443">
        <v>1278979.17</v>
      </c>
      <c r="G188" s="441">
        <f t="shared" si="9"/>
        <v>1278979.17</v>
      </c>
      <c r="H188" s="363" t="b">
        <f t="shared" si="10"/>
        <v>1</v>
      </c>
      <c r="I188" s="363">
        <f t="shared" si="8"/>
        <v>0</v>
      </c>
    </row>
    <row r="189" spans="1:9">
      <c r="A189" s="439" t="s">
        <v>561</v>
      </c>
      <c r="B189" s="439" t="s">
        <v>1009</v>
      </c>
      <c r="E189" s="441">
        <v>91110.69</v>
      </c>
      <c r="F189" s="443">
        <v>91110.69</v>
      </c>
      <c r="G189" s="441">
        <f t="shared" si="9"/>
        <v>91110.69</v>
      </c>
      <c r="H189" s="363" t="b">
        <f t="shared" si="10"/>
        <v>1</v>
      </c>
      <c r="I189" s="363">
        <f t="shared" si="8"/>
        <v>0</v>
      </c>
    </row>
    <row r="190" spans="1:9">
      <c r="A190" s="439" t="s">
        <v>563</v>
      </c>
      <c r="B190" s="439" t="s">
        <v>1010</v>
      </c>
      <c r="E190" s="441">
        <v>91784.54</v>
      </c>
      <c r="F190" s="443">
        <v>91784.54</v>
      </c>
      <c r="G190" s="441">
        <f t="shared" si="9"/>
        <v>91784.54</v>
      </c>
      <c r="H190" s="363" t="b">
        <f t="shared" si="10"/>
        <v>1</v>
      </c>
      <c r="I190" s="363">
        <f t="shared" si="8"/>
        <v>0</v>
      </c>
    </row>
    <row r="191" spans="1:9">
      <c r="A191" s="439" t="s">
        <v>565</v>
      </c>
      <c r="B191" s="439" t="s">
        <v>1011</v>
      </c>
      <c r="E191" s="441">
        <v>153288.82999999999</v>
      </c>
      <c r="F191" s="443">
        <v>153288.82999999999</v>
      </c>
      <c r="G191" s="441">
        <f t="shared" si="9"/>
        <v>153288.82999999999</v>
      </c>
      <c r="H191" s="363" t="b">
        <f t="shared" si="10"/>
        <v>1</v>
      </c>
      <c r="I191" s="363">
        <f t="shared" si="8"/>
        <v>0</v>
      </c>
    </row>
    <row r="192" spans="1:9">
      <c r="A192" s="439" t="s">
        <v>567</v>
      </c>
      <c r="B192" s="439" t="s">
        <v>1012</v>
      </c>
      <c r="D192" s="442">
        <v>3862.25</v>
      </c>
      <c r="E192" s="441">
        <v>684746.78</v>
      </c>
      <c r="F192" s="443">
        <v>688609.03</v>
      </c>
      <c r="G192" s="441">
        <f t="shared" si="9"/>
        <v>692471.28</v>
      </c>
      <c r="H192" s="363" t="b">
        <f t="shared" si="10"/>
        <v>1</v>
      </c>
      <c r="I192" s="363">
        <f t="shared" si="8"/>
        <v>3862.25</v>
      </c>
    </row>
    <row r="193" spans="1:9">
      <c r="A193" s="439" t="s">
        <v>569</v>
      </c>
      <c r="B193" s="439" t="s">
        <v>1013</v>
      </c>
      <c r="C193" s="441">
        <v>15251.07</v>
      </c>
      <c r="D193" s="442">
        <v>445454.98</v>
      </c>
      <c r="E193" s="441">
        <v>6272429.7800000003</v>
      </c>
      <c r="F193" s="443">
        <v>6733135.8300000001</v>
      </c>
      <c r="G193" s="441">
        <f t="shared" si="9"/>
        <v>7178590.8100000005</v>
      </c>
      <c r="H193" s="363" t="b">
        <f t="shared" si="10"/>
        <v>1</v>
      </c>
      <c r="I193" s="363">
        <f t="shared" si="8"/>
        <v>445454.98000000045</v>
      </c>
    </row>
    <row r="194" spans="1:9">
      <c r="A194" s="439" t="s">
        <v>571</v>
      </c>
      <c r="B194" s="439" t="s">
        <v>1014</v>
      </c>
      <c r="C194" s="441">
        <v>51171.42</v>
      </c>
      <c r="E194" s="441">
        <v>5500283.8899999997</v>
      </c>
      <c r="F194" s="443">
        <v>5551455.3099999996</v>
      </c>
      <c r="G194" s="441">
        <f t="shared" si="9"/>
        <v>5551455.3099999996</v>
      </c>
      <c r="H194" s="363" t="b">
        <f t="shared" si="10"/>
        <v>1</v>
      </c>
      <c r="I194" s="363">
        <f t="shared" si="8"/>
        <v>0</v>
      </c>
    </row>
    <row r="195" spans="1:9">
      <c r="A195" s="439" t="s">
        <v>573</v>
      </c>
      <c r="B195" s="439" t="s">
        <v>1015</v>
      </c>
      <c r="E195" s="441">
        <v>32783.64</v>
      </c>
      <c r="F195" s="443">
        <v>32783.64</v>
      </c>
      <c r="G195" s="441">
        <f t="shared" si="9"/>
        <v>32783.64</v>
      </c>
      <c r="H195" s="363" t="b">
        <f t="shared" si="10"/>
        <v>1</v>
      </c>
      <c r="I195" s="363">
        <f t="shared" si="8"/>
        <v>0</v>
      </c>
    </row>
    <row r="196" spans="1:9">
      <c r="A196" s="439" t="s">
        <v>575</v>
      </c>
      <c r="B196" s="439" t="s">
        <v>1016</v>
      </c>
      <c r="D196" s="442">
        <v>384.92</v>
      </c>
      <c r="E196" s="441">
        <v>222294.54</v>
      </c>
      <c r="F196" s="443">
        <v>222679.46</v>
      </c>
      <c r="G196" s="441">
        <f t="shared" si="9"/>
        <v>223064.38</v>
      </c>
      <c r="H196" s="363" t="b">
        <f t="shared" si="10"/>
        <v>1</v>
      </c>
      <c r="I196" s="363">
        <f t="shared" si="8"/>
        <v>384.92000000001281</v>
      </c>
    </row>
    <row r="197" spans="1:9">
      <c r="A197" s="439" t="s">
        <v>577</v>
      </c>
      <c r="B197" s="439" t="s">
        <v>1017</v>
      </c>
      <c r="C197" s="441">
        <v>355600.75</v>
      </c>
      <c r="D197" s="442">
        <v>1181721.48</v>
      </c>
      <c r="E197" s="441">
        <v>26286705.84</v>
      </c>
      <c r="F197" s="443">
        <v>27824028.07</v>
      </c>
      <c r="G197" s="441">
        <f t="shared" si="9"/>
        <v>29005749.550000001</v>
      </c>
      <c r="H197" s="363" t="b">
        <f t="shared" si="10"/>
        <v>1</v>
      </c>
      <c r="I197" s="363">
        <f t="shared" ref="I197:I260" si="11">G197-F197</f>
        <v>1181721.4800000004</v>
      </c>
    </row>
    <row r="198" spans="1:9">
      <c r="A198" s="439" t="s">
        <v>579</v>
      </c>
      <c r="B198" s="439" t="s">
        <v>1018</v>
      </c>
      <c r="D198" s="442">
        <v>20807.2</v>
      </c>
      <c r="E198" s="441">
        <v>429920.72</v>
      </c>
      <c r="F198" s="443">
        <v>450727.92</v>
      </c>
      <c r="G198" s="441">
        <f t="shared" si="9"/>
        <v>471535.12</v>
      </c>
      <c r="H198" s="363" t="b">
        <f t="shared" si="10"/>
        <v>1</v>
      </c>
      <c r="I198" s="363">
        <f t="shared" si="11"/>
        <v>20807.200000000012</v>
      </c>
    </row>
    <row r="199" spans="1:9">
      <c r="A199" s="439" t="s">
        <v>581</v>
      </c>
      <c r="B199" s="439" t="s">
        <v>1143</v>
      </c>
      <c r="E199" s="441">
        <v>157706.95000000001</v>
      </c>
      <c r="F199" s="443">
        <v>157706.95000000001</v>
      </c>
      <c r="G199" s="441">
        <f t="shared" ref="G199:G262" si="12">D199+F199</f>
        <v>157706.95000000001</v>
      </c>
      <c r="H199" s="363" t="b">
        <f t="shared" si="10"/>
        <v>1</v>
      </c>
      <c r="I199" s="363">
        <f t="shared" si="11"/>
        <v>0</v>
      </c>
    </row>
    <row r="200" spans="1:9">
      <c r="A200" s="439" t="s">
        <v>583</v>
      </c>
      <c r="B200" s="439" t="s">
        <v>1019</v>
      </c>
      <c r="C200" s="441">
        <v>1411.13</v>
      </c>
      <c r="E200" s="441">
        <v>471210.14</v>
      </c>
      <c r="F200" s="443">
        <v>472621.27</v>
      </c>
      <c r="G200" s="441">
        <f t="shared" si="12"/>
        <v>472621.27</v>
      </c>
      <c r="H200" s="363" t="b">
        <f t="shared" si="10"/>
        <v>1</v>
      </c>
      <c r="I200" s="363">
        <f t="shared" si="11"/>
        <v>0</v>
      </c>
    </row>
    <row r="201" spans="1:9">
      <c r="A201" s="439" t="s">
        <v>585</v>
      </c>
      <c r="B201" s="439" t="s">
        <v>1020</v>
      </c>
      <c r="E201" s="441">
        <v>18787994.59</v>
      </c>
      <c r="F201" s="443">
        <v>18787994.59</v>
      </c>
      <c r="G201" s="441">
        <f t="shared" si="12"/>
        <v>18787994.59</v>
      </c>
      <c r="H201" s="363" t="b">
        <f t="shared" si="10"/>
        <v>1</v>
      </c>
      <c r="I201" s="363">
        <f t="shared" si="11"/>
        <v>0</v>
      </c>
    </row>
    <row r="202" spans="1:9">
      <c r="A202" s="439" t="s">
        <v>1164</v>
      </c>
      <c r="B202" s="439" t="s">
        <v>1325</v>
      </c>
      <c r="E202" s="441">
        <v>133832.04999999999</v>
      </c>
      <c r="F202" s="443">
        <v>133832.04999999999</v>
      </c>
      <c r="G202" s="441">
        <f t="shared" si="12"/>
        <v>133832.04999999999</v>
      </c>
      <c r="H202" s="363" t="b">
        <f t="shared" si="10"/>
        <v>1</v>
      </c>
      <c r="I202" s="363">
        <f t="shared" si="11"/>
        <v>0</v>
      </c>
    </row>
    <row r="203" spans="1:9">
      <c r="A203" s="439" t="s">
        <v>587</v>
      </c>
      <c r="B203" s="439" t="s">
        <v>1021</v>
      </c>
      <c r="D203" s="442">
        <v>421646</v>
      </c>
      <c r="E203" s="441">
        <v>1182012.93</v>
      </c>
      <c r="F203" s="443">
        <v>1603658.93</v>
      </c>
      <c r="G203" s="441">
        <f t="shared" si="12"/>
        <v>2025304.93</v>
      </c>
      <c r="H203" s="363" t="b">
        <f t="shared" si="10"/>
        <v>1</v>
      </c>
      <c r="I203" s="363">
        <f t="shared" si="11"/>
        <v>421646</v>
      </c>
    </row>
    <row r="204" spans="1:9">
      <c r="A204" s="439" t="s">
        <v>589</v>
      </c>
      <c r="B204" s="439" t="s">
        <v>1022</v>
      </c>
      <c r="E204" s="441">
        <v>527611.34</v>
      </c>
      <c r="F204" s="443">
        <v>527611.34</v>
      </c>
      <c r="G204" s="441">
        <f t="shared" si="12"/>
        <v>527611.34</v>
      </c>
      <c r="H204" s="363" t="b">
        <f t="shared" si="10"/>
        <v>1</v>
      </c>
      <c r="I204" s="363">
        <f t="shared" si="11"/>
        <v>0</v>
      </c>
    </row>
    <row r="205" spans="1:9">
      <c r="A205" s="439" t="s">
        <v>591</v>
      </c>
      <c r="B205" s="439" t="s">
        <v>1023</v>
      </c>
      <c r="C205" s="441">
        <v>121032.31</v>
      </c>
      <c r="D205" s="442">
        <v>1622809.4</v>
      </c>
      <c r="E205" s="441">
        <v>5813340.3200000003</v>
      </c>
      <c r="F205" s="443">
        <v>7557182.0300000003</v>
      </c>
      <c r="G205" s="441">
        <f t="shared" si="12"/>
        <v>9179991.4299999997</v>
      </c>
      <c r="H205" s="363" t="b">
        <f t="shared" si="10"/>
        <v>1</v>
      </c>
      <c r="I205" s="363">
        <f t="shared" si="11"/>
        <v>1622809.3999999994</v>
      </c>
    </row>
    <row r="206" spans="1:9">
      <c r="A206" s="439" t="s">
        <v>593</v>
      </c>
      <c r="B206" s="439" t="s">
        <v>1024</v>
      </c>
      <c r="C206" s="441">
        <v>19081.75</v>
      </c>
      <c r="E206" s="441">
        <v>2536963.1800000002</v>
      </c>
      <c r="F206" s="443">
        <v>2556044.9300000002</v>
      </c>
      <c r="G206" s="441">
        <f t="shared" si="12"/>
        <v>2556044.9300000002</v>
      </c>
      <c r="H206" s="363" t="b">
        <f t="shared" si="10"/>
        <v>1</v>
      </c>
      <c r="I206" s="363">
        <f t="shared" si="11"/>
        <v>0</v>
      </c>
    </row>
    <row r="207" spans="1:9">
      <c r="A207" s="439" t="s">
        <v>595</v>
      </c>
      <c r="B207" s="439" t="s">
        <v>1025</v>
      </c>
      <c r="D207" s="442">
        <v>1646.34</v>
      </c>
      <c r="E207" s="441">
        <v>379419.1</v>
      </c>
      <c r="F207" s="443">
        <v>381065.44</v>
      </c>
      <c r="G207" s="441">
        <f t="shared" si="12"/>
        <v>382711.78</v>
      </c>
      <c r="H207" s="363" t="b">
        <f t="shared" si="10"/>
        <v>1</v>
      </c>
      <c r="I207" s="363">
        <f t="shared" si="11"/>
        <v>1646.3400000000256</v>
      </c>
    </row>
    <row r="208" spans="1:9">
      <c r="A208" s="439" t="s">
        <v>597</v>
      </c>
      <c r="B208" s="439" t="s">
        <v>1326</v>
      </c>
      <c r="E208" s="441">
        <v>721482.86</v>
      </c>
      <c r="F208" s="443">
        <v>721482.86</v>
      </c>
      <c r="G208" s="441">
        <f t="shared" si="12"/>
        <v>721482.86</v>
      </c>
      <c r="H208" s="363" t="b">
        <f t="shared" si="10"/>
        <v>1</v>
      </c>
      <c r="I208" s="363">
        <f t="shared" si="11"/>
        <v>0</v>
      </c>
    </row>
    <row r="209" spans="1:9">
      <c r="A209" s="439" t="s">
        <v>599</v>
      </c>
      <c r="B209" s="439" t="s">
        <v>1027</v>
      </c>
      <c r="C209" s="441">
        <v>2650.7</v>
      </c>
      <c r="D209" s="442">
        <v>130756.61</v>
      </c>
      <c r="E209" s="441">
        <v>3502555.14</v>
      </c>
      <c r="F209" s="443">
        <v>3635962.45</v>
      </c>
      <c r="G209" s="441">
        <f t="shared" si="12"/>
        <v>3766719.06</v>
      </c>
      <c r="H209" s="363" t="b">
        <f t="shared" si="10"/>
        <v>1</v>
      </c>
      <c r="I209" s="363">
        <f t="shared" si="11"/>
        <v>130756.60999999987</v>
      </c>
    </row>
    <row r="210" spans="1:9">
      <c r="A210" s="439" t="s">
        <v>601</v>
      </c>
      <c r="B210" s="439" t="s">
        <v>1028</v>
      </c>
      <c r="C210" s="441">
        <v>56503.94</v>
      </c>
      <c r="E210" s="441">
        <v>3566178.28</v>
      </c>
      <c r="F210" s="443">
        <v>3622682.22</v>
      </c>
      <c r="G210" s="441">
        <f t="shared" si="12"/>
        <v>3622682.22</v>
      </c>
      <c r="H210" s="363" t="b">
        <f t="shared" ref="H210:H273" si="13">(D210+F210)=G210</f>
        <v>1</v>
      </c>
      <c r="I210" s="363">
        <f t="shared" si="11"/>
        <v>0</v>
      </c>
    </row>
    <row r="211" spans="1:9">
      <c r="A211" s="439" t="s">
        <v>1166</v>
      </c>
      <c r="B211" s="439" t="s">
        <v>1327</v>
      </c>
      <c r="E211" s="441">
        <v>117961.72</v>
      </c>
      <c r="F211" s="443">
        <v>117961.72</v>
      </c>
      <c r="G211" s="441">
        <f t="shared" si="12"/>
        <v>117961.72</v>
      </c>
      <c r="H211" s="363" t="b">
        <f t="shared" si="13"/>
        <v>1</v>
      </c>
      <c r="I211" s="363">
        <f t="shared" si="11"/>
        <v>0</v>
      </c>
    </row>
    <row r="212" spans="1:9">
      <c r="A212" s="439" t="s">
        <v>603</v>
      </c>
      <c r="B212" s="439" t="s">
        <v>1029</v>
      </c>
      <c r="C212" s="441">
        <v>285518.14</v>
      </c>
      <c r="D212" s="442">
        <v>6835690.2400000002</v>
      </c>
      <c r="E212" s="441">
        <v>33516725.98</v>
      </c>
      <c r="F212" s="443">
        <v>40637934.359999999</v>
      </c>
      <c r="G212" s="441">
        <f t="shared" si="12"/>
        <v>47473624.600000001</v>
      </c>
      <c r="H212" s="363" t="b">
        <f t="shared" si="13"/>
        <v>1</v>
      </c>
      <c r="I212" s="363">
        <f t="shared" si="11"/>
        <v>6835690.2400000021</v>
      </c>
    </row>
    <row r="213" spans="1:9">
      <c r="A213" s="439" t="s">
        <v>605</v>
      </c>
      <c r="B213" s="439" t="s">
        <v>1030</v>
      </c>
      <c r="D213" s="442">
        <v>27540.38</v>
      </c>
      <c r="E213" s="441">
        <v>76304.36</v>
      </c>
      <c r="F213" s="443">
        <v>103844.74</v>
      </c>
      <c r="G213" s="441">
        <f t="shared" si="12"/>
        <v>131385.12</v>
      </c>
      <c r="H213" s="363" t="b">
        <f t="shared" si="13"/>
        <v>1</v>
      </c>
      <c r="I213" s="363">
        <f t="shared" si="11"/>
        <v>27540.37999999999</v>
      </c>
    </row>
    <row r="214" spans="1:9">
      <c r="A214" s="439" t="s">
        <v>607</v>
      </c>
      <c r="B214" s="439" t="s">
        <v>1031</v>
      </c>
      <c r="E214" s="441">
        <v>806732.91</v>
      </c>
      <c r="F214" s="443">
        <v>806732.91</v>
      </c>
      <c r="G214" s="441">
        <f t="shared" si="12"/>
        <v>806732.91</v>
      </c>
      <c r="H214" s="363" t="b">
        <f t="shared" si="13"/>
        <v>1</v>
      </c>
      <c r="I214" s="363">
        <f t="shared" si="11"/>
        <v>0</v>
      </c>
    </row>
    <row r="215" spans="1:9">
      <c r="A215" s="439" t="s">
        <v>609</v>
      </c>
      <c r="B215" s="439" t="s">
        <v>1328</v>
      </c>
      <c r="E215" s="441">
        <v>272304.90999999997</v>
      </c>
      <c r="F215" s="443">
        <v>272304.90999999997</v>
      </c>
      <c r="G215" s="441">
        <f t="shared" si="12"/>
        <v>272304.90999999997</v>
      </c>
      <c r="H215" s="363" t="b">
        <f t="shared" si="13"/>
        <v>1</v>
      </c>
      <c r="I215" s="363">
        <f t="shared" si="11"/>
        <v>0</v>
      </c>
    </row>
    <row r="216" spans="1:9">
      <c r="A216" s="439" t="s">
        <v>611</v>
      </c>
      <c r="B216" s="439" t="s">
        <v>1032</v>
      </c>
      <c r="E216" s="441">
        <v>5012344.3</v>
      </c>
      <c r="F216" s="443">
        <v>5012344.3</v>
      </c>
      <c r="G216" s="441">
        <f t="shared" si="12"/>
        <v>5012344.3</v>
      </c>
      <c r="H216" s="363" t="b">
        <f t="shared" si="13"/>
        <v>1</v>
      </c>
      <c r="I216" s="363">
        <f t="shared" si="11"/>
        <v>0</v>
      </c>
    </row>
    <row r="217" spans="1:9">
      <c r="A217" s="439" t="s">
        <v>436</v>
      </c>
      <c r="B217" s="439" t="s">
        <v>1142</v>
      </c>
      <c r="E217" s="441">
        <v>318397.19</v>
      </c>
      <c r="F217" s="443">
        <v>318397.19</v>
      </c>
      <c r="G217" s="441">
        <f t="shared" si="12"/>
        <v>318397.19</v>
      </c>
      <c r="H217" s="363" t="b">
        <f t="shared" si="13"/>
        <v>1</v>
      </c>
      <c r="I217" s="363">
        <f t="shared" si="11"/>
        <v>0</v>
      </c>
    </row>
    <row r="218" spans="1:9">
      <c r="A218" s="439" t="s">
        <v>613</v>
      </c>
      <c r="B218" s="439" t="s">
        <v>1033</v>
      </c>
      <c r="D218" s="442">
        <v>154640.04</v>
      </c>
      <c r="E218" s="441">
        <v>4563582.3899999997</v>
      </c>
      <c r="F218" s="443">
        <v>4718222.43</v>
      </c>
      <c r="G218" s="441">
        <f t="shared" si="12"/>
        <v>4872862.47</v>
      </c>
      <c r="H218" s="363" t="b">
        <f t="shared" si="13"/>
        <v>1</v>
      </c>
      <c r="I218" s="363">
        <f t="shared" si="11"/>
        <v>154640.04000000004</v>
      </c>
    </row>
    <row r="219" spans="1:9">
      <c r="A219" s="439" t="s">
        <v>615</v>
      </c>
      <c r="B219" s="439" t="s">
        <v>1034</v>
      </c>
      <c r="C219" s="441">
        <v>200</v>
      </c>
      <c r="E219" s="441">
        <v>1270656.8400000001</v>
      </c>
      <c r="F219" s="443">
        <v>1270856.8400000001</v>
      </c>
      <c r="G219" s="441">
        <f t="shared" si="12"/>
        <v>1270856.8400000001</v>
      </c>
      <c r="H219" s="363" t="b">
        <f t="shared" si="13"/>
        <v>1</v>
      </c>
      <c r="I219" s="363">
        <f t="shared" si="11"/>
        <v>0</v>
      </c>
    </row>
    <row r="220" spans="1:9">
      <c r="A220" s="439" t="s">
        <v>617</v>
      </c>
      <c r="B220" s="439" t="s">
        <v>1329</v>
      </c>
      <c r="E220" s="441">
        <v>213707.34</v>
      </c>
      <c r="F220" s="443">
        <v>460791.13</v>
      </c>
      <c r="G220" s="441">
        <f t="shared" si="12"/>
        <v>460791.13</v>
      </c>
      <c r="H220" s="363" t="b">
        <f t="shared" si="13"/>
        <v>1</v>
      </c>
      <c r="I220" s="363">
        <f t="shared" si="11"/>
        <v>0</v>
      </c>
    </row>
    <row r="221" spans="1:9">
      <c r="A221" s="439" t="s">
        <v>620</v>
      </c>
      <c r="B221" s="439" t="s">
        <v>1267</v>
      </c>
      <c r="E221" s="441">
        <v>675730.1</v>
      </c>
      <c r="F221" s="443">
        <v>675730.1</v>
      </c>
      <c r="G221" s="441">
        <f t="shared" si="12"/>
        <v>675730.1</v>
      </c>
      <c r="H221" s="363" t="b">
        <f t="shared" si="13"/>
        <v>1</v>
      </c>
      <c r="I221" s="363">
        <f t="shared" si="11"/>
        <v>0</v>
      </c>
    </row>
    <row r="222" spans="1:9">
      <c r="A222" s="439" t="s">
        <v>622</v>
      </c>
      <c r="B222" s="439" t="s">
        <v>1330</v>
      </c>
      <c r="E222" s="441">
        <v>728357.83</v>
      </c>
      <c r="F222" s="443">
        <v>728357.83</v>
      </c>
      <c r="G222" s="441">
        <f t="shared" si="12"/>
        <v>728357.83</v>
      </c>
      <c r="H222" s="363" t="b">
        <f t="shared" si="13"/>
        <v>1</v>
      </c>
      <c r="I222" s="363">
        <f t="shared" si="11"/>
        <v>0</v>
      </c>
    </row>
    <row r="223" spans="1:9">
      <c r="A223" s="439" t="s">
        <v>624</v>
      </c>
      <c r="B223" s="439" t="s">
        <v>1037</v>
      </c>
      <c r="D223" s="442">
        <v>9567951.5600000005</v>
      </c>
      <c r="E223" s="441">
        <v>29728182.66</v>
      </c>
      <c r="F223" s="443">
        <v>39296134.219999999</v>
      </c>
      <c r="G223" s="441">
        <f t="shared" si="12"/>
        <v>48864085.780000001</v>
      </c>
      <c r="H223" s="363" t="b">
        <f t="shared" si="13"/>
        <v>1</v>
      </c>
      <c r="I223" s="363">
        <f t="shared" si="11"/>
        <v>9567951.5600000024</v>
      </c>
    </row>
    <row r="224" spans="1:9">
      <c r="A224" s="439" t="s">
        <v>626</v>
      </c>
      <c r="B224" s="439" t="s">
        <v>1038</v>
      </c>
      <c r="E224" s="441">
        <v>439668.28</v>
      </c>
      <c r="F224" s="443">
        <v>439668.28</v>
      </c>
      <c r="G224" s="441">
        <f t="shared" si="12"/>
        <v>439668.28</v>
      </c>
      <c r="H224" s="363" t="b">
        <f t="shared" si="13"/>
        <v>1</v>
      </c>
      <c r="I224" s="363">
        <f t="shared" si="11"/>
        <v>0</v>
      </c>
    </row>
    <row r="225" spans="1:9">
      <c r="A225" s="439" t="s">
        <v>628</v>
      </c>
      <c r="B225" s="439" t="s">
        <v>1039</v>
      </c>
      <c r="D225" s="442">
        <v>3037079.73</v>
      </c>
      <c r="E225" s="441">
        <v>20034477.800000001</v>
      </c>
      <c r="F225" s="443">
        <v>23071557.530000001</v>
      </c>
      <c r="G225" s="441">
        <f t="shared" si="12"/>
        <v>26108637.260000002</v>
      </c>
      <c r="H225" s="363" t="b">
        <f t="shared" si="13"/>
        <v>1</v>
      </c>
      <c r="I225" s="363">
        <f t="shared" si="11"/>
        <v>3037079.7300000004</v>
      </c>
    </row>
    <row r="226" spans="1:9">
      <c r="A226" s="439" t="s">
        <v>630</v>
      </c>
      <c r="B226" s="439" t="s">
        <v>1040</v>
      </c>
      <c r="C226" s="441">
        <v>9638.67</v>
      </c>
      <c r="D226" s="442">
        <v>485594.08</v>
      </c>
      <c r="E226" s="441">
        <v>4580706.3099999996</v>
      </c>
      <c r="F226" s="443">
        <v>5075939.0599999996</v>
      </c>
      <c r="G226" s="441">
        <f t="shared" si="12"/>
        <v>5561533.1399999997</v>
      </c>
      <c r="H226" s="363" t="b">
        <f t="shared" si="13"/>
        <v>1</v>
      </c>
      <c r="I226" s="363">
        <f t="shared" si="11"/>
        <v>485594.08000000007</v>
      </c>
    </row>
    <row r="227" spans="1:9">
      <c r="A227" s="439" t="s">
        <v>632</v>
      </c>
      <c r="B227" s="439" t="s">
        <v>1041</v>
      </c>
      <c r="D227" s="442">
        <v>61193.95</v>
      </c>
      <c r="E227" s="441">
        <v>279262.40999999997</v>
      </c>
      <c r="F227" s="443">
        <v>340456.36</v>
      </c>
      <c r="G227" s="441">
        <f t="shared" si="12"/>
        <v>401650.31</v>
      </c>
      <c r="H227" s="363" t="b">
        <f t="shared" si="13"/>
        <v>1</v>
      </c>
      <c r="I227" s="363">
        <f t="shared" si="11"/>
        <v>61193.950000000012</v>
      </c>
    </row>
    <row r="228" spans="1:9">
      <c r="A228" s="439" t="s">
        <v>634</v>
      </c>
      <c r="B228" s="439" t="s">
        <v>1042</v>
      </c>
      <c r="E228" s="441">
        <v>2101961.7200000002</v>
      </c>
      <c r="F228" s="443">
        <v>2101961.7200000002</v>
      </c>
      <c r="G228" s="441">
        <f t="shared" si="12"/>
        <v>2101961.7200000002</v>
      </c>
      <c r="H228" s="363" t="b">
        <f t="shared" si="13"/>
        <v>1</v>
      </c>
      <c r="I228" s="363">
        <f t="shared" si="11"/>
        <v>0</v>
      </c>
    </row>
    <row r="229" spans="1:9">
      <c r="A229" s="439" t="s">
        <v>636</v>
      </c>
      <c r="B229" s="439" t="s">
        <v>1043</v>
      </c>
      <c r="D229" s="442">
        <v>768515.05</v>
      </c>
      <c r="E229" s="441">
        <v>3949255.09</v>
      </c>
      <c r="F229" s="443">
        <v>4717770.1399999997</v>
      </c>
      <c r="G229" s="441">
        <f t="shared" si="12"/>
        <v>5486285.1899999995</v>
      </c>
      <c r="H229" s="363" t="b">
        <f t="shared" si="13"/>
        <v>1</v>
      </c>
      <c r="I229" s="363">
        <f t="shared" si="11"/>
        <v>768515.04999999981</v>
      </c>
    </row>
    <row r="230" spans="1:9">
      <c r="A230" s="439" t="s">
        <v>638</v>
      </c>
      <c r="B230" s="439" t="s">
        <v>1044</v>
      </c>
      <c r="C230" s="441">
        <v>42016.959999999999</v>
      </c>
      <c r="D230" s="442">
        <v>1150294.48</v>
      </c>
      <c r="E230" s="441">
        <v>3379051.67</v>
      </c>
      <c r="F230" s="443">
        <v>4571363.1100000003</v>
      </c>
      <c r="G230" s="441">
        <f t="shared" si="12"/>
        <v>5721657.5899999999</v>
      </c>
      <c r="H230" s="363" t="b">
        <f t="shared" si="13"/>
        <v>1</v>
      </c>
      <c r="I230" s="363">
        <f t="shared" si="11"/>
        <v>1150294.4799999995</v>
      </c>
    </row>
    <row r="231" spans="1:9">
      <c r="A231" s="439" t="s">
        <v>640</v>
      </c>
      <c r="B231" s="439" t="s">
        <v>1045</v>
      </c>
      <c r="E231" s="441">
        <v>52937.56</v>
      </c>
      <c r="F231" s="443">
        <v>52937.56</v>
      </c>
      <c r="G231" s="441">
        <f t="shared" si="12"/>
        <v>52937.56</v>
      </c>
      <c r="H231" s="363" t="b">
        <f t="shared" si="13"/>
        <v>1</v>
      </c>
      <c r="I231" s="363">
        <f t="shared" si="11"/>
        <v>0</v>
      </c>
    </row>
    <row r="232" spans="1:9">
      <c r="A232" s="439" t="s">
        <v>642</v>
      </c>
      <c r="B232" s="439" t="s">
        <v>1046</v>
      </c>
      <c r="E232" s="441">
        <v>251143.99</v>
      </c>
      <c r="F232" s="443">
        <v>251143.99</v>
      </c>
      <c r="G232" s="441">
        <f t="shared" si="12"/>
        <v>251143.99</v>
      </c>
      <c r="H232" s="363" t="b">
        <f t="shared" si="13"/>
        <v>1</v>
      </c>
      <c r="I232" s="363">
        <f t="shared" si="11"/>
        <v>0</v>
      </c>
    </row>
    <row r="233" spans="1:9">
      <c r="A233" s="439" t="s">
        <v>644</v>
      </c>
      <c r="B233" s="439" t="s">
        <v>1047</v>
      </c>
      <c r="E233" s="441">
        <v>2139684.0499999998</v>
      </c>
      <c r="F233" s="443">
        <v>2139684.0499999998</v>
      </c>
      <c r="G233" s="441">
        <f t="shared" si="12"/>
        <v>2139684.0499999998</v>
      </c>
      <c r="H233" s="363" t="b">
        <f t="shared" si="13"/>
        <v>1</v>
      </c>
      <c r="I233" s="363">
        <f t="shared" si="11"/>
        <v>0</v>
      </c>
    </row>
    <row r="234" spans="1:9">
      <c r="A234" s="439" t="s">
        <v>619</v>
      </c>
      <c r="B234" s="439" t="s">
        <v>1331</v>
      </c>
      <c r="E234" s="441">
        <v>487519.56</v>
      </c>
      <c r="F234" s="443">
        <v>487519.56</v>
      </c>
      <c r="G234" s="441">
        <f t="shared" si="12"/>
        <v>487519.56</v>
      </c>
      <c r="H234" s="363" t="b">
        <f t="shared" si="13"/>
        <v>1</v>
      </c>
      <c r="I234" s="363">
        <f t="shared" si="11"/>
        <v>0</v>
      </c>
    </row>
    <row r="235" spans="1:9">
      <c r="A235" s="439" t="s">
        <v>646</v>
      </c>
      <c r="B235" s="439" t="s">
        <v>1048</v>
      </c>
      <c r="C235" s="441">
        <v>5623.29</v>
      </c>
      <c r="D235" s="442">
        <v>2616.4499999999998</v>
      </c>
      <c r="E235" s="441">
        <v>1871069.13</v>
      </c>
      <c r="F235" s="443">
        <v>1879308.87</v>
      </c>
      <c r="G235" s="441">
        <f t="shared" si="12"/>
        <v>1881925.32</v>
      </c>
      <c r="H235" s="363" t="b">
        <f t="shared" si="13"/>
        <v>1</v>
      </c>
      <c r="I235" s="363">
        <f t="shared" si="11"/>
        <v>2616.4499999999534</v>
      </c>
    </row>
    <row r="236" spans="1:9">
      <c r="A236" s="439" t="s">
        <v>648</v>
      </c>
      <c r="B236" s="439" t="s">
        <v>1049</v>
      </c>
      <c r="E236" s="441">
        <v>88341.9</v>
      </c>
      <c r="F236" s="443">
        <v>88341.9</v>
      </c>
      <c r="G236" s="441">
        <f t="shared" si="12"/>
        <v>88341.9</v>
      </c>
      <c r="H236" s="363" t="b">
        <f t="shared" si="13"/>
        <v>1</v>
      </c>
      <c r="I236" s="363">
        <f t="shared" si="11"/>
        <v>0</v>
      </c>
    </row>
    <row r="237" spans="1:9">
      <c r="A237" s="439" t="s">
        <v>654</v>
      </c>
      <c r="B237" s="439" t="s">
        <v>1050</v>
      </c>
      <c r="C237" s="441">
        <v>212441.93</v>
      </c>
      <c r="D237" s="442">
        <v>78213770.769999996</v>
      </c>
      <c r="E237" s="441">
        <v>95826689.569999993</v>
      </c>
      <c r="F237" s="443">
        <v>174252902.27000001</v>
      </c>
      <c r="G237" s="441">
        <f t="shared" si="12"/>
        <v>252466673.04000002</v>
      </c>
      <c r="H237" s="363" t="b">
        <f t="shared" si="13"/>
        <v>1</v>
      </c>
      <c r="I237" s="363">
        <f t="shared" si="11"/>
        <v>78213770.770000011</v>
      </c>
    </row>
    <row r="238" spans="1:9">
      <c r="A238" s="439" t="s">
        <v>656</v>
      </c>
      <c r="B238" s="439" t="s">
        <v>1332</v>
      </c>
      <c r="C238" s="441">
        <v>114827.11</v>
      </c>
      <c r="D238" s="442">
        <v>162845.68</v>
      </c>
      <c r="E238" s="441">
        <v>12015127.25</v>
      </c>
      <c r="F238" s="443">
        <v>12292800.039999999</v>
      </c>
      <c r="G238" s="441">
        <f t="shared" si="12"/>
        <v>12455645.719999999</v>
      </c>
      <c r="H238" s="363" t="b">
        <f t="shared" si="13"/>
        <v>1</v>
      </c>
      <c r="I238" s="363">
        <f t="shared" si="11"/>
        <v>162845.6799999997</v>
      </c>
    </row>
    <row r="239" spans="1:9">
      <c r="A239" s="439" t="s">
        <v>658</v>
      </c>
      <c r="B239" s="439" t="s">
        <v>1052</v>
      </c>
      <c r="E239" s="441">
        <v>5091657.2300000004</v>
      </c>
      <c r="F239" s="443">
        <v>5091657.2300000004</v>
      </c>
      <c r="G239" s="441">
        <f t="shared" si="12"/>
        <v>5091657.2300000004</v>
      </c>
      <c r="H239" s="363" t="b">
        <f t="shared" si="13"/>
        <v>1</v>
      </c>
      <c r="I239" s="363">
        <f t="shared" si="11"/>
        <v>0</v>
      </c>
    </row>
    <row r="240" spans="1:9">
      <c r="A240" s="439" t="s">
        <v>660</v>
      </c>
      <c r="B240" s="439" t="s">
        <v>1053</v>
      </c>
      <c r="E240" s="441">
        <v>389013.81</v>
      </c>
      <c r="F240" s="443">
        <v>389013.81</v>
      </c>
      <c r="G240" s="441">
        <f t="shared" si="12"/>
        <v>389013.81</v>
      </c>
      <c r="H240" s="363" t="b">
        <f t="shared" si="13"/>
        <v>1</v>
      </c>
      <c r="I240" s="363">
        <f t="shared" si="11"/>
        <v>0</v>
      </c>
    </row>
    <row r="241" spans="1:9">
      <c r="A241" s="439" t="s">
        <v>662</v>
      </c>
      <c r="B241" s="439" t="s">
        <v>1054</v>
      </c>
      <c r="C241" s="441">
        <v>78698.38</v>
      </c>
      <c r="D241" s="442">
        <v>134295.89000000001</v>
      </c>
      <c r="E241" s="441">
        <v>5304410.82</v>
      </c>
      <c r="F241" s="443">
        <v>5517405.0899999999</v>
      </c>
      <c r="G241" s="441">
        <f t="shared" si="12"/>
        <v>5651700.9799999995</v>
      </c>
      <c r="H241" s="363" t="b">
        <f t="shared" si="13"/>
        <v>1</v>
      </c>
      <c r="I241" s="363">
        <f t="shared" si="11"/>
        <v>134295.88999999966</v>
      </c>
    </row>
    <row r="242" spans="1:9">
      <c r="A242" s="439" t="s">
        <v>666</v>
      </c>
      <c r="B242" s="439" t="s">
        <v>1055</v>
      </c>
      <c r="D242" s="442">
        <v>1211828.17</v>
      </c>
      <c r="E242" s="441">
        <v>6783203.9400000004</v>
      </c>
      <c r="F242" s="443">
        <v>7995032.1100000003</v>
      </c>
      <c r="G242" s="441">
        <f t="shared" si="12"/>
        <v>9206860.2800000012</v>
      </c>
      <c r="H242" s="363" t="b">
        <f t="shared" si="13"/>
        <v>1</v>
      </c>
      <c r="I242" s="363">
        <f t="shared" si="11"/>
        <v>1211828.1700000009</v>
      </c>
    </row>
    <row r="243" spans="1:9">
      <c r="A243" s="439" t="s">
        <v>668</v>
      </c>
      <c r="B243" s="439" t="s">
        <v>1056</v>
      </c>
      <c r="C243" s="441">
        <v>19404.18</v>
      </c>
      <c r="D243" s="442">
        <v>6909025.8700000001</v>
      </c>
      <c r="E243" s="441">
        <v>15165179</v>
      </c>
      <c r="F243" s="443">
        <v>22093609.050000001</v>
      </c>
      <c r="G243" s="441">
        <f t="shared" si="12"/>
        <v>29002634.920000002</v>
      </c>
      <c r="H243" s="363" t="b">
        <f t="shared" si="13"/>
        <v>1</v>
      </c>
      <c r="I243" s="363">
        <f t="shared" si="11"/>
        <v>6909025.870000001</v>
      </c>
    </row>
    <row r="244" spans="1:9">
      <c r="A244" s="439" t="s">
        <v>670</v>
      </c>
      <c r="B244" s="439" t="s">
        <v>1057</v>
      </c>
      <c r="E244" s="441">
        <v>90508.21</v>
      </c>
      <c r="F244" s="443">
        <v>90508.21</v>
      </c>
      <c r="G244" s="441">
        <f t="shared" si="12"/>
        <v>90508.21</v>
      </c>
      <c r="H244" s="363" t="b">
        <f t="shared" si="13"/>
        <v>1</v>
      </c>
      <c r="I244" s="363">
        <f t="shared" si="11"/>
        <v>0</v>
      </c>
    </row>
    <row r="245" spans="1:9">
      <c r="A245" s="439" t="s">
        <v>672</v>
      </c>
      <c r="B245" s="439" t="s">
        <v>1058</v>
      </c>
      <c r="E245" s="441">
        <v>204724.08</v>
      </c>
      <c r="F245" s="443">
        <v>204724.08</v>
      </c>
      <c r="G245" s="441">
        <f t="shared" si="12"/>
        <v>204724.08</v>
      </c>
      <c r="H245" s="363" t="b">
        <f t="shared" si="13"/>
        <v>1</v>
      </c>
      <c r="I245" s="363">
        <f t="shared" si="11"/>
        <v>0</v>
      </c>
    </row>
    <row r="246" spans="1:9">
      <c r="A246" s="439" t="s">
        <v>674</v>
      </c>
      <c r="B246" s="439" t="s">
        <v>1059</v>
      </c>
      <c r="C246" s="441">
        <v>52446.14</v>
      </c>
      <c r="E246" s="441">
        <v>19776758.550000001</v>
      </c>
      <c r="F246" s="443">
        <v>19829204.690000001</v>
      </c>
      <c r="G246" s="441">
        <f t="shared" si="12"/>
        <v>19829204.690000001</v>
      </c>
      <c r="H246" s="363" t="b">
        <f t="shared" si="13"/>
        <v>1</v>
      </c>
      <c r="I246" s="363">
        <f t="shared" si="11"/>
        <v>0</v>
      </c>
    </row>
    <row r="247" spans="1:9">
      <c r="A247" s="439" t="s">
        <v>676</v>
      </c>
      <c r="B247" s="439" t="s">
        <v>1060</v>
      </c>
      <c r="C247" s="441">
        <v>89.96</v>
      </c>
      <c r="D247" s="442">
        <v>3847184.56</v>
      </c>
      <c r="E247" s="441">
        <v>9840151.3399999999</v>
      </c>
      <c r="F247" s="443">
        <v>13687425.859999999</v>
      </c>
      <c r="G247" s="441">
        <f t="shared" si="12"/>
        <v>17534610.419999998</v>
      </c>
      <c r="H247" s="363" t="b">
        <f t="shared" si="13"/>
        <v>1</v>
      </c>
      <c r="I247" s="363">
        <f t="shared" si="11"/>
        <v>3847184.5599999987</v>
      </c>
    </row>
    <row r="248" spans="1:9">
      <c r="A248" s="439" t="s">
        <v>678</v>
      </c>
      <c r="B248" s="439" t="s">
        <v>1061</v>
      </c>
      <c r="D248" s="442">
        <v>88699.44</v>
      </c>
      <c r="E248" s="441">
        <v>769079.25</v>
      </c>
      <c r="F248" s="443">
        <v>857778.69</v>
      </c>
      <c r="G248" s="441">
        <f t="shared" si="12"/>
        <v>946478.12999999989</v>
      </c>
      <c r="H248" s="363" t="b">
        <f t="shared" si="13"/>
        <v>1</v>
      </c>
      <c r="I248" s="363">
        <f t="shared" si="11"/>
        <v>88699.439999999944</v>
      </c>
    </row>
    <row r="249" spans="1:9">
      <c r="A249" s="439" t="s">
        <v>681</v>
      </c>
      <c r="B249" s="439" t="s">
        <v>1062</v>
      </c>
      <c r="D249" s="442">
        <v>17763.759999999998</v>
      </c>
      <c r="E249" s="441">
        <v>860095.09</v>
      </c>
      <c r="F249" s="443">
        <v>877858.85</v>
      </c>
      <c r="G249" s="441">
        <f t="shared" si="12"/>
        <v>895622.61</v>
      </c>
      <c r="H249" s="363" t="b">
        <f t="shared" si="13"/>
        <v>1</v>
      </c>
      <c r="I249" s="363">
        <f t="shared" si="11"/>
        <v>17763.760000000009</v>
      </c>
    </row>
    <row r="250" spans="1:9">
      <c r="A250" s="439" t="s">
        <v>683</v>
      </c>
      <c r="B250" s="439" t="s">
        <v>1063</v>
      </c>
      <c r="D250" s="442">
        <v>5431314</v>
      </c>
      <c r="E250" s="441">
        <v>17907707.350000001</v>
      </c>
      <c r="F250" s="443">
        <v>23339021.350000001</v>
      </c>
      <c r="G250" s="441">
        <f t="shared" si="12"/>
        <v>28770335.350000001</v>
      </c>
      <c r="H250" s="363" t="b">
        <f t="shared" si="13"/>
        <v>1</v>
      </c>
      <c r="I250" s="363">
        <f t="shared" si="11"/>
        <v>5431314</v>
      </c>
    </row>
    <row r="251" spans="1:9">
      <c r="A251" s="439" t="s">
        <v>685</v>
      </c>
      <c r="B251" s="439" t="s">
        <v>1064</v>
      </c>
      <c r="E251" s="441">
        <v>2683531.85</v>
      </c>
      <c r="F251" s="443">
        <v>2683531.85</v>
      </c>
      <c r="G251" s="441">
        <f t="shared" si="12"/>
        <v>2683531.85</v>
      </c>
      <c r="H251" s="363" t="b">
        <f t="shared" si="13"/>
        <v>1</v>
      </c>
      <c r="I251" s="363">
        <f t="shared" si="11"/>
        <v>0</v>
      </c>
    </row>
    <row r="252" spans="1:9">
      <c r="A252" s="439" t="s">
        <v>687</v>
      </c>
      <c r="B252" s="439" t="s">
        <v>1065</v>
      </c>
      <c r="E252" s="441">
        <v>291322.62</v>
      </c>
      <c r="F252" s="443">
        <v>291322.62</v>
      </c>
      <c r="G252" s="441">
        <f t="shared" si="12"/>
        <v>291322.62</v>
      </c>
      <c r="H252" s="363" t="b">
        <f t="shared" si="13"/>
        <v>1</v>
      </c>
      <c r="I252" s="363">
        <f t="shared" si="11"/>
        <v>0</v>
      </c>
    </row>
    <row r="253" spans="1:9">
      <c r="A253" s="439" t="s">
        <v>689</v>
      </c>
      <c r="B253" s="439" t="s">
        <v>1066</v>
      </c>
      <c r="C253" s="441">
        <v>750861.67</v>
      </c>
      <c r="D253" s="442">
        <v>8969202.1899999995</v>
      </c>
      <c r="E253" s="441">
        <v>48313578.159999996</v>
      </c>
      <c r="F253" s="443">
        <v>58033642.020000003</v>
      </c>
      <c r="G253" s="441">
        <f t="shared" si="12"/>
        <v>67002844.210000001</v>
      </c>
      <c r="H253" s="363" t="b">
        <f t="shared" si="13"/>
        <v>1</v>
      </c>
      <c r="I253" s="363">
        <f t="shared" si="11"/>
        <v>8969202.1899999976</v>
      </c>
    </row>
    <row r="254" spans="1:9">
      <c r="A254" s="439" t="s">
        <v>691</v>
      </c>
      <c r="B254" s="439" t="s">
        <v>1333</v>
      </c>
      <c r="E254" s="441">
        <v>678447.87</v>
      </c>
      <c r="F254" s="443">
        <v>678447.87</v>
      </c>
      <c r="G254" s="441">
        <f t="shared" si="12"/>
        <v>678447.87</v>
      </c>
      <c r="H254" s="363" t="b">
        <f t="shared" si="13"/>
        <v>1</v>
      </c>
      <c r="I254" s="363">
        <f t="shared" si="11"/>
        <v>0</v>
      </c>
    </row>
    <row r="255" spans="1:9">
      <c r="A255" s="439" t="s">
        <v>693</v>
      </c>
      <c r="B255" s="439" t="s">
        <v>1068</v>
      </c>
      <c r="E255" s="441">
        <v>166823.67000000001</v>
      </c>
      <c r="F255" s="443">
        <v>166823.67000000001</v>
      </c>
      <c r="G255" s="441">
        <f t="shared" si="12"/>
        <v>166823.67000000001</v>
      </c>
      <c r="H255" s="363" t="b">
        <f t="shared" si="13"/>
        <v>1</v>
      </c>
      <c r="I255" s="363">
        <f t="shared" si="11"/>
        <v>0</v>
      </c>
    </row>
    <row r="256" spans="1:9">
      <c r="A256" s="439" t="s">
        <v>695</v>
      </c>
      <c r="B256" s="439" t="s">
        <v>1069</v>
      </c>
      <c r="E256" s="441">
        <v>170870.33</v>
      </c>
      <c r="F256" s="443">
        <v>170870.33</v>
      </c>
      <c r="G256" s="441">
        <f t="shared" si="12"/>
        <v>170870.33</v>
      </c>
      <c r="H256" s="363" t="b">
        <f t="shared" si="13"/>
        <v>1</v>
      </c>
      <c r="I256" s="363">
        <f t="shared" si="11"/>
        <v>0</v>
      </c>
    </row>
    <row r="257" spans="1:9">
      <c r="A257" s="439" t="s">
        <v>697</v>
      </c>
      <c r="B257" s="439" t="s">
        <v>1334</v>
      </c>
      <c r="E257" s="441">
        <v>12429947.23</v>
      </c>
      <c r="F257" s="443">
        <v>12429947.23</v>
      </c>
      <c r="G257" s="441">
        <f t="shared" si="12"/>
        <v>12429947.23</v>
      </c>
      <c r="H257" s="363" t="b">
        <f t="shared" si="13"/>
        <v>1</v>
      </c>
      <c r="I257" s="363">
        <f t="shared" si="11"/>
        <v>0</v>
      </c>
    </row>
    <row r="258" spans="1:9">
      <c r="A258" s="439" t="s">
        <v>701</v>
      </c>
      <c r="B258" s="439" t="s">
        <v>1071</v>
      </c>
      <c r="E258" s="441">
        <v>271237.99</v>
      </c>
      <c r="F258" s="443">
        <v>271237.99</v>
      </c>
      <c r="G258" s="441">
        <f t="shared" si="12"/>
        <v>271237.99</v>
      </c>
      <c r="H258" s="363" t="b">
        <f t="shared" si="13"/>
        <v>1</v>
      </c>
      <c r="I258" s="363">
        <f t="shared" si="11"/>
        <v>0</v>
      </c>
    </row>
    <row r="259" spans="1:9">
      <c r="A259" s="439" t="s">
        <v>705</v>
      </c>
      <c r="B259" s="439" t="s">
        <v>1072</v>
      </c>
      <c r="C259" s="441">
        <v>20842.36</v>
      </c>
      <c r="D259" s="442">
        <v>964842.95</v>
      </c>
      <c r="E259" s="441">
        <v>4830793</v>
      </c>
      <c r="F259" s="443">
        <v>5816478.3099999996</v>
      </c>
      <c r="G259" s="441">
        <f t="shared" si="12"/>
        <v>6781321.2599999998</v>
      </c>
      <c r="H259" s="363" t="b">
        <f t="shared" si="13"/>
        <v>1</v>
      </c>
      <c r="I259" s="363">
        <f t="shared" si="11"/>
        <v>964842.95000000019</v>
      </c>
    </row>
    <row r="260" spans="1:9">
      <c r="A260" s="439" t="s">
        <v>707</v>
      </c>
      <c r="B260" s="439" t="s">
        <v>1073</v>
      </c>
      <c r="E260" s="441">
        <v>48793.69</v>
      </c>
      <c r="F260" s="443">
        <v>48793.69</v>
      </c>
      <c r="G260" s="441">
        <f t="shared" si="12"/>
        <v>48793.69</v>
      </c>
      <c r="H260" s="363" t="b">
        <f t="shared" si="13"/>
        <v>1</v>
      </c>
      <c r="I260" s="363">
        <f t="shared" si="11"/>
        <v>0</v>
      </c>
    </row>
    <row r="261" spans="1:9">
      <c r="A261" s="439" t="s">
        <v>709</v>
      </c>
      <c r="B261" s="439" t="s">
        <v>1074</v>
      </c>
      <c r="E261" s="441">
        <v>1350476.42</v>
      </c>
      <c r="F261" s="443">
        <v>1350476.42</v>
      </c>
      <c r="G261" s="441">
        <f t="shared" si="12"/>
        <v>1350476.42</v>
      </c>
      <c r="H261" s="363" t="b">
        <f t="shared" si="13"/>
        <v>1</v>
      </c>
      <c r="I261" s="363">
        <f t="shared" ref="I261:I317" si="14">G261-F261</f>
        <v>0</v>
      </c>
    </row>
    <row r="262" spans="1:9">
      <c r="A262" s="439" t="s">
        <v>711</v>
      </c>
      <c r="B262" s="439" t="s">
        <v>1075</v>
      </c>
      <c r="E262" s="441">
        <v>4399572.7699999996</v>
      </c>
      <c r="F262" s="443">
        <v>4399572.7699999996</v>
      </c>
      <c r="G262" s="441">
        <f t="shared" si="12"/>
        <v>4399572.7699999996</v>
      </c>
      <c r="H262" s="363" t="b">
        <f t="shared" si="13"/>
        <v>1</v>
      </c>
      <c r="I262" s="363">
        <f t="shared" si="14"/>
        <v>0</v>
      </c>
    </row>
    <row r="263" spans="1:9">
      <c r="A263" s="439" t="s">
        <v>713</v>
      </c>
      <c r="B263" s="439" t="s">
        <v>1335</v>
      </c>
      <c r="D263" s="442">
        <v>10991.68</v>
      </c>
      <c r="E263" s="441">
        <v>751200.14</v>
      </c>
      <c r="F263" s="443">
        <v>762191.82</v>
      </c>
      <c r="G263" s="441">
        <f t="shared" ref="G263:G317" si="15">D263+F263</f>
        <v>773183.5</v>
      </c>
      <c r="H263" s="363" t="b">
        <f t="shared" si="13"/>
        <v>1</v>
      </c>
      <c r="I263" s="363">
        <f t="shared" si="14"/>
        <v>10991.680000000051</v>
      </c>
    </row>
    <row r="264" spans="1:9">
      <c r="A264" s="439" t="s">
        <v>715</v>
      </c>
      <c r="B264" s="439" t="s">
        <v>1336</v>
      </c>
      <c r="E264" s="441">
        <v>315147.05</v>
      </c>
      <c r="F264" s="443">
        <v>315147.05</v>
      </c>
      <c r="G264" s="441">
        <f t="shared" si="15"/>
        <v>315147.05</v>
      </c>
      <c r="H264" s="363" t="b">
        <f t="shared" si="13"/>
        <v>1</v>
      </c>
      <c r="I264" s="363">
        <f t="shared" si="14"/>
        <v>0</v>
      </c>
    </row>
    <row r="265" spans="1:9">
      <c r="A265" s="439" t="s">
        <v>717</v>
      </c>
      <c r="B265" s="439" t="s">
        <v>1337</v>
      </c>
      <c r="E265" s="441">
        <v>409826.18</v>
      </c>
      <c r="F265" s="443">
        <v>409826.18</v>
      </c>
      <c r="G265" s="441">
        <f t="shared" si="15"/>
        <v>409826.18</v>
      </c>
      <c r="H265" s="363" t="b">
        <f t="shared" si="13"/>
        <v>1</v>
      </c>
      <c r="I265" s="363">
        <f t="shared" si="14"/>
        <v>0</v>
      </c>
    </row>
    <row r="266" spans="1:9">
      <c r="A266" s="439" t="s">
        <v>719</v>
      </c>
      <c r="B266" s="439" t="s">
        <v>1079</v>
      </c>
      <c r="E266" s="441">
        <v>81538.850000000006</v>
      </c>
      <c r="F266" s="443">
        <v>81538.850000000006</v>
      </c>
      <c r="G266" s="441">
        <f t="shared" si="15"/>
        <v>81538.850000000006</v>
      </c>
      <c r="H266" s="363" t="b">
        <f t="shared" si="13"/>
        <v>1</v>
      </c>
      <c r="I266" s="363">
        <f t="shared" si="14"/>
        <v>0</v>
      </c>
    </row>
    <row r="267" spans="1:9">
      <c r="A267" s="439" t="s">
        <v>721</v>
      </c>
      <c r="B267" s="439" t="s">
        <v>1080</v>
      </c>
      <c r="C267" s="441">
        <v>55468.36</v>
      </c>
      <c r="D267" s="442">
        <v>2206793.87</v>
      </c>
      <c r="E267" s="441">
        <v>15873258.300000001</v>
      </c>
      <c r="F267" s="443">
        <v>18135520.530000001</v>
      </c>
      <c r="G267" s="441">
        <f t="shared" si="15"/>
        <v>20342314.400000002</v>
      </c>
      <c r="H267" s="363" t="b">
        <f t="shared" si="13"/>
        <v>1</v>
      </c>
      <c r="I267" s="363">
        <f t="shared" si="14"/>
        <v>2206793.870000001</v>
      </c>
    </row>
    <row r="268" spans="1:9">
      <c r="A268" s="439" t="s">
        <v>723</v>
      </c>
      <c r="B268" s="439" t="s">
        <v>1081</v>
      </c>
      <c r="E268" s="441">
        <v>10164619.890000001</v>
      </c>
      <c r="F268" s="443">
        <v>10164619.890000001</v>
      </c>
      <c r="G268" s="441">
        <f t="shared" si="15"/>
        <v>10164619.890000001</v>
      </c>
      <c r="H268" s="363" t="b">
        <f t="shared" si="13"/>
        <v>1</v>
      </c>
      <c r="I268" s="363">
        <f t="shared" si="14"/>
        <v>0</v>
      </c>
    </row>
    <row r="269" spans="1:9">
      <c r="A269" s="439" t="s">
        <v>725</v>
      </c>
      <c r="B269" s="439" t="s">
        <v>1338</v>
      </c>
      <c r="E269" s="441">
        <v>165231.38</v>
      </c>
      <c r="F269" s="443">
        <v>165231.38</v>
      </c>
      <c r="G269" s="441">
        <f t="shared" si="15"/>
        <v>165231.38</v>
      </c>
      <c r="H269" s="363" t="b">
        <f t="shared" si="13"/>
        <v>1</v>
      </c>
      <c r="I269" s="363">
        <f t="shared" si="14"/>
        <v>0</v>
      </c>
    </row>
    <row r="270" spans="1:9">
      <c r="A270" s="439" t="s">
        <v>727</v>
      </c>
      <c r="B270" s="439" t="s">
        <v>1083</v>
      </c>
      <c r="C270" s="441">
        <v>301133.11</v>
      </c>
      <c r="D270" s="442">
        <v>1684288.24</v>
      </c>
      <c r="E270" s="441">
        <v>51136172.590000004</v>
      </c>
      <c r="F270" s="443">
        <v>53121593.939999998</v>
      </c>
      <c r="G270" s="441">
        <f t="shared" si="15"/>
        <v>54805882.18</v>
      </c>
      <c r="H270" s="363" t="b">
        <f t="shared" si="13"/>
        <v>1</v>
      </c>
      <c r="I270" s="363">
        <f t="shared" si="14"/>
        <v>1684288.2400000021</v>
      </c>
    </row>
    <row r="271" spans="1:9">
      <c r="A271" s="439" t="s">
        <v>729</v>
      </c>
      <c r="B271" s="439" t="s">
        <v>1147</v>
      </c>
      <c r="C271" s="441">
        <v>5412.32</v>
      </c>
      <c r="E271" s="441">
        <v>239638.11</v>
      </c>
      <c r="F271" s="443">
        <v>245050.43</v>
      </c>
      <c r="G271" s="441">
        <f t="shared" si="15"/>
        <v>245050.43</v>
      </c>
      <c r="H271" s="363" t="b">
        <f t="shared" si="13"/>
        <v>1</v>
      </c>
      <c r="I271" s="363">
        <f t="shared" si="14"/>
        <v>0</v>
      </c>
    </row>
    <row r="272" spans="1:9">
      <c r="A272" s="439" t="s">
        <v>731</v>
      </c>
      <c r="B272" s="439" t="s">
        <v>1084</v>
      </c>
      <c r="C272" s="441">
        <v>15661.77</v>
      </c>
      <c r="D272" s="442">
        <v>4064428.8</v>
      </c>
      <c r="E272" s="441">
        <v>16304937.859999999</v>
      </c>
      <c r="F272" s="443">
        <v>20385028.43</v>
      </c>
      <c r="G272" s="441">
        <f t="shared" si="15"/>
        <v>24449457.23</v>
      </c>
      <c r="H272" s="363" t="b">
        <f t="shared" si="13"/>
        <v>1</v>
      </c>
      <c r="I272" s="363">
        <f t="shared" si="14"/>
        <v>4064428.8000000007</v>
      </c>
    </row>
    <row r="273" spans="1:9">
      <c r="A273" s="439" t="s">
        <v>733</v>
      </c>
      <c r="B273" s="439" t="s">
        <v>1085</v>
      </c>
      <c r="C273" s="441">
        <v>2984.36</v>
      </c>
      <c r="D273" s="442">
        <v>1500</v>
      </c>
      <c r="E273" s="441">
        <v>340493.38</v>
      </c>
      <c r="F273" s="443">
        <v>344977.74</v>
      </c>
      <c r="G273" s="441">
        <f t="shared" si="15"/>
        <v>346477.74</v>
      </c>
      <c r="H273" s="363" t="b">
        <f t="shared" si="13"/>
        <v>1</v>
      </c>
      <c r="I273" s="363">
        <f t="shared" si="14"/>
        <v>1500</v>
      </c>
    </row>
    <row r="274" spans="1:9">
      <c r="A274" s="439" t="s">
        <v>735</v>
      </c>
      <c r="B274" s="439" t="s">
        <v>1086</v>
      </c>
      <c r="C274" s="441">
        <v>37528.97</v>
      </c>
      <c r="E274" s="441">
        <v>2003113.58</v>
      </c>
      <c r="F274" s="443">
        <v>2040642.55</v>
      </c>
      <c r="G274" s="441">
        <f t="shared" si="15"/>
        <v>2040642.55</v>
      </c>
      <c r="H274" s="363" t="b">
        <f t="shared" ref="H274:H317" si="16">(D274+F274)=G274</f>
        <v>1</v>
      </c>
      <c r="I274" s="363">
        <f t="shared" si="14"/>
        <v>0</v>
      </c>
    </row>
    <row r="275" spans="1:9">
      <c r="A275" s="439" t="s">
        <v>737</v>
      </c>
      <c r="B275" s="439" t="s">
        <v>1087</v>
      </c>
      <c r="E275" s="441">
        <v>392291.15</v>
      </c>
      <c r="F275" s="443">
        <v>392291.15</v>
      </c>
      <c r="G275" s="441">
        <f t="shared" si="15"/>
        <v>392291.15</v>
      </c>
      <c r="H275" s="363" t="b">
        <f t="shared" si="16"/>
        <v>1</v>
      </c>
      <c r="I275" s="363">
        <f t="shared" si="14"/>
        <v>0</v>
      </c>
    </row>
    <row r="276" spans="1:9">
      <c r="A276" s="439" t="s">
        <v>739</v>
      </c>
      <c r="B276" s="439" t="s">
        <v>1088</v>
      </c>
      <c r="C276" s="441">
        <v>14294.72</v>
      </c>
      <c r="E276" s="441">
        <v>1846653.56</v>
      </c>
      <c r="F276" s="443">
        <v>1860948.28</v>
      </c>
      <c r="G276" s="441">
        <f t="shared" si="15"/>
        <v>1860948.28</v>
      </c>
      <c r="H276" s="363" t="b">
        <f t="shared" si="16"/>
        <v>1</v>
      </c>
      <c r="I276" s="363">
        <f t="shared" si="14"/>
        <v>0</v>
      </c>
    </row>
    <row r="277" spans="1:9">
      <c r="A277" s="439" t="s">
        <v>741</v>
      </c>
      <c r="B277" s="439" t="s">
        <v>1089</v>
      </c>
      <c r="C277" s="441">
        <v>510.4</v>
      </c>
      <c r="E277" s="441">
        <v>1149184.33</v>
      </c>
      <c r="F277" s="443">
        <v>1149694.73</v>
      </c>
      <c r="G277" s="441">
        <f t="shared" si="15"/>
        <v>1149694.73</v>
      </c>
      <c r="H277" s="363" t="b">
        <f t="shared" si="16"/>
        <v>1</v>
      </c>
      <c r="I277" s="363">
        <f t="shared" si="14"/>
        <v>0</v>
      </c>
    </row>
    <row r="278" spans="1:9">
      <c r="A278" s="439" t="s">
        <v>743</v>
      </c>
      <c r="B278" s="439" t="s">
        <v>1090</v>
      </c>
      <c r="E278" s="441">
        <v>4440304.57</v>
      </c>
      <c r="F278" s="443">
        <v>4440304.57</v>
      </c>
      <c r="G278" s="441">
        <f t="shared" si="15"/>
        <v>4440304.57</v>
      </c>
      <c r="H278" s="363" t="b">
        <f t="shared" si="16"/>
        <v>1</v>
      </c>
      <c r="I278" s="363">
        <f t="shared" si="14"/>
        <v>0</v>
      </c>
    </row>
    <row r="279" spans="1:9">
      <c r="A279" s="439" t="s">
        <v>745</v>
      </c>
      <c r="B279" s="439" t="s">
        <v>1091</v>
      </c>
      <c r="D279" s="442">
        <v>29614.58</v>
      </c>
      <c r="E279" s="441">
        <v>228377.54</v>
      </c>
      <c r="F279" s="443">
        <v>247866.12</v>
      </c>
      <c r="G279" s="441">
        <f t="shared" si="15"/>
        <v>277480.7</v>
      </c>
      <c r="H279" s="363" t="b">
        <f t="shared" si="16"/>
        <v>1</v>
      </c>
      <c r="I279" s="363">
        <f t="shared" si="14"/>
        <v>29614.580000000016</v>
      </c>
    </row>
    <row r="280" spans="1:9">
      <c r="A280" s="439" t="s">
        <v>747</v>
      </c>
      <c r="B280" s="439" t="s">
        <v>1092</v>
      </c>
      <c r="E280" s="441">
        <v>1011805.92</v>
      </c>
      <c r="F280" s="443">
        <v>1011805.92</v>
      </c>
      <c r="G280" s="441">
        <f t="shared" si="15"/>
        <v>1011805.92</v>
      </c>
      <c r="H280" s="363" t="b">
        <f t="shared" si="16"/>
        <v>1</v>
      </c>
      <c r="I280" s="363">
        <f t="shared" si="14"/>
        <v>0</v>
      </c>
    </row>
    <row r="281" spans="1:9">
      <c r="A281" s="439" t="s">
        <v>749</v>
      </c>
      <c r="B281" s="439" t="s">
        <v>1093</v>
      </c>
      <c r="E281" s="441">
        <v>174835.77</v>
      </c>
      <c r="F281" s="443">
        <v>174835.77</v>
      </c>
      <c r="G281" s="441">
        <f t="shared" si="15"/>
        <v>174835.77</v>
      </c>
      <c r="H281" s="363" t="b">
        <f t="shared" si="16"/>
        <v>1</v>
      </c>
      <c r="I281" s="363">
        <f t="shared" si="14"/>
        <v>0</v>
      </c>
    </row>
    <row r="282" spans="1:9">
      <c r="A282" s="439" t="s">
        <v>751</v>
      </c>
      <c r="B282" s="439" t="s">
        <v>1094</v>
      </c>
      <c r="E282" s="441">
        <v>5987123.96</v>
      </c>
      <c r="F282" s="443">
        <v>5987123.96</v>
      </c>
      <c r="G282" s="441">
        <f t="shared" si="15"/>
        <v>5987123.96</v>
      </c>
      <c r="H282" s="363" t="b">
        <f t="shared" si="16"/>
        <v>1</v>
      </c>
      <c r="I282" s="363">
        <f t="shared" si="14"/>
        <v>0</v>
      </c>
    </row>
    <row r="283" spans="1:9">
      <c r="A283" s="439" t="s">
        <v>753</v>
      </c>
      <c r="B283" s="439" t="s">
        <v>1095</v>
      </c>
      <c r="D283" s="442">
        <v>25285.29</v>
      </c>
      <c r="E283" s="441">
        <v>11693116.949999999</v>
      </c>
      <c r="F283" s="443">
        <v>11718402.24</v>
      </c>
      <c r="G283" s="441">
        <f t="shared" si="15"/>
        <v>11743687.529999999</v>
      </c>
      <c r="H283" s="363" t="b">
        <f t="shared" si="16"/>
        <v>1</v>
      </c>
      <c r="I283" s="363">
        <f t="shared" si="14"/>
        <v>25285.289999999106</v>
      </c>
    </row>
    <row r="284" spans="1:9">
      <c r="A284" s="439" t="s">
        <v>755</v>
      </c>
      <c r="B284" s="439" t="s">
        <v>1096</v>
      </c>
      <c r="E284" s="441">
        <v>643355.37</v>
      </c>
      <c r="F284" s="443">
        <v>643355.37</v>
      </c>
      <c r="G284" s="441">
        <f t="shared" si="15"/>
        <v>643355.37</v>
      </c>
      <c r="H284" s="363" t="b">
        <f t="shared" si="16"/>
        <v>1</v>
      </c>
      <c r="I284" s="363">
        <f t="shared" si="14"/>
        <v>0</v>
      </c>
    </row>
    <row r="285" spans="1:9">
      <c r="A285" s="439" t="s">
        <v>757</v>
      </c>
      <c r="B285" s="439" t="s">
        <v>1097</v>
      </c>
      <c r="C285" s="441">
        <v>98344.16</v>
      </c>
      <c r="D285" s="442">
        <v>72221.52</v>
      </c>
      <c r="E285" s="441">
        <v>10591552.699999999</v>
      </c>
      <c r="F285" s="443">
        <v>10762118.380000001</v>
      </c>
      <c r="G285" s="441">
        <f t="shared" si="15"/>
        <v>10834339.9</v>
      </c>
      <c r="H285" s="363" t="b">
        <f t="shared" si="16"/>
        <v>1</v>
      </c>
      <c r="I285" s="363">
        <f t="shared" si="14"/>
        <v>72221.519999999553</v>
      </c>
    </row>
    <row r="286" spans="1:9">
      <c r="A286" s="439" t="s">
        <v>759</v>
      </c>
      <c r="B286" s="439" t="s">
        <v>1098</v>
      </c>
      <c r="E286" s="441">
        <v>1130385.97</v>
      </c>
      <c r="F286" s="443">
        <v>1130385.97</v>
      </c>
      <c r="G286" s="441">
        <f t="shared" si="15"/>
        <v>1130385.97</v>
      </c>
      <c r="H286" s="363" t="b">
        <f t="shared" si="16"/>
        <v>1</v>
      </c>
      <c r="I286" s="363">
        <f t="shared" si="14"/>
        <v>0</v>
      </c>
    </row>
    <row r="287" spans="1:9">
      <c r="A287" s="439" t="s">
        <v>761</v>
      </c>
      <c r="B287" s="439" t="s">
        <v>1099</v>
      </c>
      <c r="C287" s="441">
        <v>659035.78</v>
      </c>
      <c r="D287" s="442">
        <v>4948822.22</v>
      </c>
      <c r="E287" s="441">
        <v>38577740.32</v>
      </c>
      <c r="F287" s="443">
        <v>44185598.32</v>
      </c>
      <c r="G287" s="441">
        <f t="shared" si="15"/>
        <v>49134420.539999999</v>
      </c>
      <c r="H287" s="363" t="b">
        <f t="shared" si="16"/>
        <v>1</v>
      </c>
      <c r="I287" s="363">
        <f t="shared" si="14"/>
        <v>4948822.2199999988</v>
      </c>
    </row>
    <row r="288" spans="1:9">
      <c r="A288" s="439" t="s">
        <v>763</v>
      </c>
      <c r="B288" s="439" t="s">
        <v>1100</v>
      </c>
      <c r="C288" s="441">
        <v>11391.15</v>
      </c>
      <c r="D288" s="442">
        <v>126661.05</v>
      </c>
      <c r="E288" s="441">
        <v>2571620.04</v>
      </c>
      <c r="F288" s="443">
        <v>2709672.24</v>
      </c>
      <c r="G288" s="441">
        <f t="shared" si="15"/>
        <v>2836333.29</v>
      </c>
      <c r="H288" s="363" t="b">
        <f t="shared" si="16"/>
        <v>1</v>
      </c>
      <c r="I288" s="363">
        <f t="shared" si="14"/>
        <v>126661.04999999981</v>
      </c>
    </row>
    <row r="289" spans="1:9">
      <c r="A289" s="439" t="s">
        <v>1339</v>
      </c>
      <c r="B289" s="439" t="s">
        <v>1340</v>
      </c>
      <c r="E289" s="441">
        <v>120474.56</v>
      </c>
      <c r="F289" s="443">
        <v>120474.56</v>
      </c>
      <c r="G289" s="441">
        <f t="shared" si="15"/>
        <v>120474.56</v>
      </c>
      <c r="H289" s="363" t="b">
        <f t="shared" si="16"/>
        <v>1</v>
      </c>
      <c r="I289" s="363">
        <f t="shared" si="14"/>
        <v>0</v>
      </c>
    </row>
    <row r="290" spans="1:9">
      <c r="A290" s="439" t="s">
        <v>765</v>
      </c>
      <c r="B290" s="439" t="s">
        <v>1101</v>
      </c>
      <c r="E290" s="441">
        <v>732218.66</v>
      </c>
      <c r="F290" s="443">
        <v>732218.66</v>
      </c>
      <c r="G290" s="441">
        <f t="shared" si="15"/>
        <v>732218.66</v>
      </c>
      <c r="H290" s="363" t="b">
        <f t="shared" si="16"/>
        <v>1</v>
      </c>
      <c r="I290" s="363">
        <f t="shared" si="14"/>
        <v>0</v>
      </c>
    </row>
    <row r="291" spans="1:9">
      <c r="A291" s="439" t="s">
        <v>767</v>
      </c>
      <c r="B291" s="439" t="s">
        <v>1102</v>
      </c>
      <c r="E291" s="441">
        <v>3050258.34</v>
      </c>
      <c r="F291" s="443">
        <v>3050258.34</v>
      </c>
      <c r="G291" s="441">
        <f t="shared" si="15"/>
        <v>3050258.34</v>
      </c>
      <c r="H291" s="363" t="b">
        <f t="shared" si="16"/>
        <v>1</v>
      </c>
      <c r="I291" s="363">
        <f t="shared" si="14"/>
        <v>0</v>
      </c>
    </row>
    <row r="292" spans="1:9">
      <c r="A292" s="439" t="s">
        <v>769</v>
      </c>
      <c r="B292" s="439" t="s">
        <v>1103</v>
      </c>
      <c r="E292" s="441">
        <v>235014.18</v>
      </c>
      <c r="F292" s="443">
        <v>235014.18</v>
      </c>
      <c r="G292" s="441">
        <f t="shared" si="15"/>
        <v>235014.18</v>
      </c>
      <c r="H292" s="363" t="b">
        <f t="shared" si="16"/>
        <v>1</v>
      </c>
      <c r="I292" s="363">
        <f t="shared" si="14"/>
        <v>0</v>
      </c>
    </row>
    <row r="293" spans="1:9">
      <c r="A293" s="439" t="s">
        <v>771</v>
      </c>
      <c r="B293" s="439" t="s">
        <v>1104</v>
      </c>
      <c r="D293" s="442">
        <v>490649.58</v>
      </c>
      <c r="E293" s="441">
        <v>8612840.9800000004</v>
      </c>
      <c r="F293" s="443">
        <v>9103490.5600000005</v>
      </c>
      <c r="G293" s="441">
        <f t="shared" si="15"/>
        <v>9594140.1400000006</v>
      </c>
      <c r="H293" s="363" t="b">
        <f t="shared" si="16"/>
        <v>1</v>
      </c>
      <c r="I293" s="363">
        <f t="shared" si="14"/>
        <v>490649.58000000007</v>
      </c>
    </row>
    <row r="294" spans="1:9">
      <c r="A294" s="439" t="s">
        <v>773</v>
      </c>
      <c r="B294" s="439" t="s">
        <v>1105</v>
      </c>
      <c r="E294" s="441">
        <v>4339975.3</v>
      </c>
      <c r="F294" s="443">
        <v>4339975.3</v>
      </c>
      <c r="G294" s="441">
        <f t="shared" si="15"/>
        <v>4339975.3</v>
      </c>
      <c r="H294" s="363" t="b">
        <f t="shared" si="16"/>
        <v>1</v>
      </c>
      <c r="I294" s="363">
        <f t="shared" si="14"/>
        <v>0</v>
      </c>
    </row>
    <row r="295" spans="1:9">
      <c r="A295" s="439" t="s">
        <v>775</v>
      </c>
      <c r="B295" s="439" t="s">
        <v>1106</v>
      </c>
      <c r="C295" s="441">
        <v>24454.1</v>
      </c>
      <c r="D295" s="442">
        <v>1781.25</v>
      </c>
      <c r="E295" s="441">
        <v>1294613.94</v>
      </c>
      <c r="F295" s="443">
        <v>1320849.29</v>
      </c>
      <c r="G295" s="441">
        <f t="shared" si="15"/>
        <v>1322630.54</v>
      </c>
      <c r="H295" s="363" t="b">
        <f t="shared" si="16"/>
        <v>1</v>
      </c>
      <c r="I295" s="363">
        <f t="shared" si="14"/>
        <v>1781.25</v>
      </c>
    </row>
    <row r="296" spans="1:9">
      <c r="A296" s="439" t="s">
        <v>777</v>
      </c>
      <c r="B296" s="439" t="s">
        <v>1107</v>
      </c>
      <c r="C296" s="441">
        <v>49572.11</v>
      </c>
      <c r="D296" s="442">
        <v>309017.24</v>
      </c>
      <c r="E296" s="441">
        <v>6772702.0199999996</v>
      </c>
      <c r="F296" s="443">
        <v>7131291.3700000001</v>
      </c>
      <c r="G296" s="441">
        <f t="shared" si="15"/>
        <v>7440308.6100000003</v>
      </c>
      <c r="H296" s="363" t="b">
        <f t="shared" si="16"/>
        <v>1</v>
      </c>
      <c r="I296" s="363">
        <f t="shared" si="14"/>
        <v>309017.24000000022</v>
      </c>
    </row>
    <row r="297" spans="1:9">
      <c r="A297" s="439" t="s">
        <v>779</v>
      </c>
      <c r="B297" s="439" t="s">
        <v>1108</v>
      </c>
      <c r="E297" s="441">
        <v>95403.75</v>
      </c>
      <c r="F297" s="443">
        <v>95403.75</v>
      </c>
      <c r="G297" s="441">
        <f t="shared" si="15"/>
        <v>95403.75</v>
      </c>
      <c r="H297" s="363" t="b">
        <f t="shared" si="16"/>
        <v>1</v>
      </c>
      <c r="I297" s="363">
        <f t="shared" si="14"/>
        <v>0</v>
      </c>
    </row>
    <row r="298" spans="1:9">
      <c r="A298" s="439" t="s">
        <v>781</v>
      </c>
      <c r="B298" s="439" t="s">
        <v>1109</v>
      </c>
      <c r="E298" s="441">
        <v>414342.2</v>
      </c>
      <c r="F298" s="443">
        <v>414342.2</v>
      </c>
      <c r="G298" s="441">
        <f t="shared" si="15"/>
        <v>414342.2</v>
      </c>
      <c r="H298" s="363" t="b">
        <f t="shared" si="16"/>
        <v>1</v>
      </c>
      <c r="I298" s="363">
        <f t="shared" si="14"/>
        <v>0</v>
      </c>
    </row>
    <row r="299" spans="1:9">
      <c r="A299" s="439" t="s">
        <v>783</v>
      </c>
      <c r="B299" s="439" t="s">
        <v>1110</v>
      </c>
      <c r="E299" s="441">
        <v>635026.64</v>
      </c>
      <c r="F299" s="443">
        <v>635026.64</v>
      </c>
      <c r="G299" s="441">
        <f t="shared" si="15"/>
        <v>635026.64</v>
      </c>
      <c r="H299" s="363" t="b">
        <f t="shared" si="16"/>
        <v>1</v>
      </c>
      <c r="I299" s="363">
        <f t="shared" si="14"/>
        <v>0</v>
      </c>
    </row>
    <row r="300" spans="1:9">
      <c r="A300" s="439" t="s">
        <v>785</v>
      </c>
      <c r="B300" s="439" t="s">
        <v>1111</v>
      </c>
      <c r="C300" s="441">
        <v>138755.92000000001</v>
      </c>
      <c r="D300" s="442">
        <v>94237.5</v>
      </c>
      <c r="E300" s="441">
        <v>11947108.050000001</v>
      </c>
      <c r="F300" s="443">
        <v>12180101.470000001</v>
      </c>
      <c r="G300" s="441">
        <f t="shared" si="15"/>
        <v>12274338.970000001</v>
      </c>
      <c r="H300" s="363" t="b">
        <f t="shared" si="16"/>
        <v>1</v>
      </c>
      <c r="I300" s="363">
        <f t="shared" si="14"/>
        <v>94237.5</v>
      </c>
    </row>
    <row r="301" spans="1:9">
      <c r="A301" s="439" t="s">
        <v>789</v>
      </c>
      <c r="B301" s="439" t="s">
        <v>1341</v>
      </c>
      <c r="E301" s="441">
        <v>5138274.38</v>
      </c>
      <c r="F301" s="443">
        <v>5138274.38</v>
      </c>
      <c r="G301" s="441">
        <f t="shared" si="15"/>
        <v>5138274.38</v>
      </c>
      <c r="H301" s="363" t="b">
        <f t="shared" si="16"/>
        <v>1</v>
      </c>
      <c r="I301" s="363">
        <f t="shared" si="14"/>
        <v>0</v>
      </c>
    </row>
    <row r="302" spans="1:9">
      <c r="A302" s="439" t="s">
        <v>787</v>
      </c>
      <c r="B302" s="439" t="s">
        <v>1342</v>
      </c>
      <c r="E302" s="441">
        <v>7691266.79</v>
      </c>
      <c r="F302" s="443">
        <v>7691266.79</v>
      </c>
      <c r="G302" s="441">
        <f t="shared" si="15"/>
        <v>7691266.79</v>
      </c>
      <c r="H302" s="363" t="b">
        <f t="shared" si="16"/>
        <v>1</v>
      </c>
      <c r="I302" s="363">
        <f t="shared" si="14"/>
        <v>0</v>
      </c>
    </row>
    <row r="303" spans="1:9">
      <c r="A303" s="439" t="s">
        <v>1168</v>
      </c>
      <c r="B303" s="439" t="s">
        <v>1343</v>
      </c>
      <c r="E303" s="441">
        <v>96810.49</v>
      </c>
      <c r="F303" s="443">
        <v>96810.49</v>
      </c>
      <c r="G303" s="441">
        <f t="shared" si="15"/>
        <v>96810.49</v>
      </c>
      <c r="H303" s="363" t="b">
        <f t="shared" si="16"/>
        <v>1</v>
      </c>
      <c r="I303" s="363">
        <f t="shared" si="14"/>
        <v>0</v>
      </c>
    </row>
    <row r="304" spans="1:9">
      <c r="A304" s="439" t="s">
        <v>791</v>
      </c>
      <c r="B304" s="439" t="s">
        <v>1114</v>
      </c>
      <c r="C304" s="441">
        <v>2843.9</v>
      </c>
      <c r="D304" s="442">
        <v>5546.32</v>
      </c>
      <c r="E304" s="441">
        <v>646315.86</v>
      </c>
      <c r="F304" s="443">
        <v>654706.07999999996</v>
      </c>
      <c r="G304" s="441">
        <f t="shared" si="15"/>
        <v>660252.39999999991</v>
      </c>
      <c r="H304" s="363" t="b">
        <f t="shared" si="16"/>
        <v>1</v>
      </c>
      <c r="I304" s="363">
        <f t="shared" si="14"/>
        <v>5546.3199999999488</v>
      </c>
    </row>
    <row r="305" spans="1:9">
      <c r="A305" s="439" t="s">
        <v>793</v>
      </c>
      <c r="B305" s="439" t="s">
        <v>1115</v>
      </c>
      <c r="C305" s="441">
        <v>9499.74</v>
      </c>
      <c r="D305" s="442">
        <v>1017509.53</v>
      </c>
      <c r="E305" s="441">
        <v>6767012.71</v>
      </c>
      <c r="F305" s="443">
        <v>7794021.9800000004</v>
      </c>
      <c r="G305" s="441">
        <f t="shared" si="15"/>
        <v>8811531.5099999998</v>
      </c>
      <c r="H305" s="363" t="b">
        <f t="shared" si="16"/>
        <v>1</v>
      </c>
      <c r="I305" s="363">
        <f t="shared" si="14"/>
        <v>1017509.5299999993</v>
      </c>
    </row>
    <row r="306" spans="1:9">
      <c r="A306" s="439" t="s">
        <v>795</v>
      </c>
      <c r="B306" s="439" t="s">
        <v>1116</v>
      </c>
      <c r="C306" s="441">
        <v>6695.96</v>
      </c>
      <c r="E306" s="441">
        <v>1402419.12</v>
      </c>
      <c r="F306" s="443">
        <v>1409115.08</v>
      </c>
      <c r="G306" s="441">
        <f t="shared" si="15"/>
        <v>1409115.08</v>
      </c>
      <c r="H306" s="363" t="b">
        <f t="shared" si="16"/>
        <v>1</v>
      </c>
      <c r="I306" s="363">
        <f t="shared" si="14"/>
        <v>0</v>
      </c>
    </row>
    <row r="307" spans="1:9">
      <c r="A307" s="439" t="s">
        <v>246</v>
      </c>
      <c r="B307" s="439" t="s">
        <v>1344</v>
      </c>
      <c r="E307" s="441">
        <v>167203.29</v>
      </c>
      <c r="F307" s="443">
        <v>167203.29</v>
      </c>
      <c r="G307" s="441">
        <f t="shared" si="15"/>
        <v>167203.29</v>
      </c>
      <c r="H307" s="363" t="b">
        <f t="shared" si="16"/>
        <v>1</v>
      </c>
      <c r="I307" s="363">
        <f t="shared" si="14"/>
        <v>0</v>
      </c>
    </row>
    <row r="308" spans="1:9">
      <c r="A308" s="439" t="s">
        <v>797</v>
      </c>
      <c r="B308" s="439" t="s">
        <v>1117</v>
      </c>
      <c r="D308" s="442">
        <v>71525.399999999994</v>
      </c>
      <c r="E308" s="441">
        <v>339171.98</v>
      </c>
      <c r="F308" s="443">
        <v>410697.38</v>
      </c>
      <c r="G308" s="441">
        <f t="shared" si="15"/>
        <v>482222.78</v>
      </c>
      <c r="H308" s="363" t="b">
        <f t="shared" si="16"/>
        <v>1</v>
      </c>
      <c r="I308" s="363">
        <f t="shared" si="14"/>
        <v>71525.400000000023</v>
      </c>
    </row>
    <row r="309" spans="1:9">
      <c r="A309" s="439" t="s">
        <v>799</v>
      </c>
      <c r="B309" s="439" t="s">
        <v>1118</v>
      </c>
      <c r="D309" s="442">
        <v>138251.09</v>
      </c>
      <c r="E309" s="441">
        <v>497941.78</v>
      </c>
      <c r="F309" s="443">
        <v>636192.87</v>
      </c>
      <c r="G309" s="441">
        <f t="shared" si="15"/>
        <v>774443.96</v>
      </c>
      <c r="H309" s="363" t="b">
        <f t="shared" si="16"/>
        <v>1</v>
      </c>
      <c r="I309" s="363">
        <f t="shared" si="14"/>
        <v>138251.08999999997</v>
      </c>
    </row>
    <row r="310" spans="1:9">
      <c r="A310" s="439" t="s">
        <v>801</v>
      </c>
      <c r="B310" s="439" t="s">
        <v>1148</v>
      </c>
      <c r="D310" s="442">
        <v>39504.22</v>
      </c>
      <c r="E310" s="441">
        <v>155425.10999999999</v>
      </c>
      <c r="F310" s="443">
        <v>194929.33</v>
      </c>
      <c r="G310" s="441">
        <f t="shared" si="15"/>
        <v>234433.55</v>
      </c>
      <c r="H310" s="363" t="b">
        <f t="shared" si="16"/>
        <v>1</v>
      </c>
      <c r="I310" s="363">
        <f t="shared" si="14"/>
        <v>39504.22</v>
      </c>
    </row>
    <row r="311" spans="1:9">
      <c r="A311" s="439" t="s">
        <v>803</v>
      </c>
      <c r="B311" s="439" t="s">
        <v>1119</v>
      </c>
      <c r="E311" s="441">
        <v>1575457.8</v>
      </c>
      <c r="F311" s="443">
        <v>1575457.8</v>
      </c>
      <c r="G311" s="441">
        <f t="shared" si="15"/>
        <v>1575457.8</v>
      </c>
      <c r="H311" s="363" t="b">
        <f t="shared" si="16"/>
        <v>1</v>
      </c>
      <c r="I311" s="363">
        <f t="shared" si="14"/>
        <v>0</v>
      </c>
    </row>
    <row r="312" spans="1:9">
      <c r="A312" s="439" t="s">
        <v>805</v>
      </c>
      <c r="B312" s="439" t="s">
        <v>1120</v>
      </c>
      <c r="E312" s="441">
        <v>230823.85</v>
      </c>
      <c r="F312" s="443">
        <v>230823.85</v>
      </c>
      <c r="G312" s="441">
        <f t="shared" si="15"/>
        <v>230823.85</v>
      </c>
      <c r="H312" s="363" t="b">
        <f t="shared" si="16"/>
        <v>1</v>
      </c>
      <c r="I312" s="363">
        <f t="shared" si="14"/>
        <v>0</v>
      </c>
    </row>
    <row r="313" spans="1:9">
      <c r="A313" s="439" t="s">
        <v>807</v>
      </c>
      <c r="B313" s="439" t="s">
        <v>1121</v>
      </c>
      <c r="E313" s="441">
        <v>53332.76</v>
      </c>
      <c r="F313" s="443">
        <v>53332.76</v>
      </c>
      <c r="G313" s="441">
        <f t="shared" si="15"/>
        <v>53332.76</v>
      </c>
      <c r="H313" s="363" t="b">
        <f t="shared" si="16"/>
        <v>1</v>
      </c>
      <c r="I313" s="363">
        <f t="shared" si="14"/>
        <v>0</v>
      </c>
    </row>
    <row r="314" spans="1:9">
      <c r="A314" s="439" t="s">
        <v>809</v>
      </c>
      <c r="B314" s="439" t="s">
        <v>1122</v>
      </c>
      <c r="C314" s="441">
        <v>543356.02</v>
      </c>
      <c r="D314" s="442">
        <v>373565.69</v>
      </c>
      <c r="E314" s="441">
        <v>3599658.08</v>
      </c>
      <c r="F314" s="443">
        <v>4516579.79</v>
      </c>
      <c r="G314" s="441">
        <f t="shared" si="15"/>
        <v>4890145.4800000004</v>
      </c>
      <c r="H314" s="363" t="b">
        <f t="shared" si="16"/>
        <v>1</v>
      </c>
      <c r="I314" s="363">
        <f t="shared" si="14"/>
        <v>373565.69000000041</v>
      </c>
    </row>
    <row r="315" spans="1:9">
      <c r="A315" s="439" t="s">
        <v>811</v>
      </c>
      <c r="B315" s="439" t="s">
        <v>1123</v>
      </c>
      <c r="D315" s="442">
        <v>5221918.3</v>
      </c>
      <c r="E315" s="441">
        <v>27070471.640000001</v>
      </c>
      <c r="F315" s="443">
        <v>32292389.940000001</v>
      </c>
      <c r="G315" s="441">
        <f t="shared" si="15"/>
        <v>37514308.240000002</v>
      </c>
      <c r="H315" s="363" t="b">
        <f t="shared" si="16"/>
        <v>1</v>
      </c>
      <c r="I315" s="363">
        <f t="shared" si="14"/>
        <v>5221918.3000000007</v>
      </c>
    </row>
    <row r="316" spans="1:9">
      <c r="A316" s="439" t="s">
        <v>813</v>
      </c>
      <c r="B316" s="439" t="s">
        <v>1124</v>
      </c>
      <c r="C316" s="441">
        <v>50300.15</v>
      </c>
      <c r="D316" s="442">
        <v>2318718.5099999998</v>
      </c>
      <c r="E316" s="441">
        <v>9615772.0399999991</v>
      </c>
      <c r="F316" s="443">
        <v>11984790.699999999</v>
      </c>
      <c r="G316" s="441">
        <f t="shared" si="15"/>
        <v>14303509.209999999</v>
      </c>
      <c r="H316" s="363" t="b">
        <f t="shared" si="16"/>
        <v>1</v>
      </c>
      <c r="I316" s="363">
        <f t="shared" si="14"/>
        <v>2318718.5099999998</v>
      </c>
    </row>
    <row r="317" spans="1:9">
      <c r="A317" s="439" t="s">
        <v>815</v>
      </c>
      <c r="B317" s="439" t="s">
        <v>1125</v>
      </c>
      <c r="E317" s="441">
        <v>1335765.49</v>
      </c>
      <c r="F317" s="443">
        <v>1335765.49</v>
      </c>
      <c r="G317" s="441">
        <f t="shared" si="15"/>
        <v>1335765.49</v>
      </c>
      <c r="H317" s="363" t="b">
        <f t="shared" si="16"/>
        <v>1</v>
      </c>
      <c r="I317" s="363">
        <f t="shared" si="14"/>
        <v>0</v>
      </c>
    </row>
  </sheetData>
  <autoFilter ref="A4:H317" xr:uid="{1D7C7C77-1D12-4770-B313-24D8011891C1}"/>
  <sortState xmlns:xlrd2="http://schemas.microsoft.com/office/spreadsheetml/2017/richdata2" ref="A8:J321">
    <sortCondition ref="A8:A321"/>
  </sortState>
  <mergeCells count="1">
    <mergeCell ref="A1:C1"/>
  </mergeCells>
  <pageMargins left="0.7" right="0.7" top="0.75" bottom="0.75" header="0.3" footer="0.3"/>
  <pageSetup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C117-733A-47D9-8009-04BC612469FD}">
  <dimension ref="A1:Y319"/>
  <sheetViews>
    <sheetView topLeftCell="A282" zoomScaleNormal="100" workbookViewId="0">
      <selection activeCell="S3" sqref="S3:S317"/>
    </sheetView>
  </sheetViews>
  <sheetFormatPr defaultRowHeight="14.5"/>
  <cols>
    <col min="1" max="1" width="11" customWidth="1"/>
    <col min="2" max="2" width="41.7265625" customWidth="1"/>
    <col min="3" max="3" width="9.1796875" customWidth="1"/>
    <col min="4" max="4" width="8.81640625" customWidth="1"/>
    <col min="5" max="7" width="9.54296875" customWidth="1"/>
    <col min="8" max="16" width="10.54296875" customWidth="1"/>
    <col min="17" max="17" width="9.54296875" customWidth="1"/>
    <col min="18" max="18" width="10.54296875" customWidth="1"/>
    <col min="19" max="19" width="11.54296875" bestFit="1" customWidth="1"/>
  </cols>
  <sheetData>
    <row r="1" spans="1:25" s="299" customFormat="1" ht="18.5">
      <c r="A1" s="299">
        <v>1</v>
      </c>
      <c r="B1" s="299">
        <v>2</v>
      </c>
      <c r="C1" s="299">
        <v>3</v>
      </c>
      <c r="D1" s="299">
        <v>4</v>
      </c>
      <c r="E1" s="299">
        <v>5</v>
      </c>
      <c r="F1" s="299">
        <v>6</v>
      </c>
      <c r="G1" s="299">
        <v>7</v>
      </c>
      <c r="H1" s="299">
        <v>8</v>
      </c>
      <c r="I1" s="299">
        <v>9</v>
      </c>
      <c r="J1" s="299">
        <v>10</v>
      </c>
      <c r="K1" s="299">
        <v>11</v>
      </c>
      <c r="L1" s="299">
        <v>12</v>
      </c>
      <c r="M1" s="299">
        <v>13</v>
      </c>
      <c r="N1" s="299">
        <v>14</v>
      </c>
      <c r="O1" s="299">
        <v>15</v>
      </c>
      <c r="P1" s="299">
        <v>16</v>
      </c>
      <c r="Q1" s="299">
        <v>17</v>
      </c>
      <c r="R1" s="299">
        <v>18</v>
      </c>
      <c r="S1" s="299">
        <v>19</v>
      </c>
    </row>
    <row r="2" spans="1:25" s="377" customFormat="1" ht="58">
      <c r="A2" s="373" t="s">
        <v>1268</v>
      </c>
      <c r="B2" s="373" t="s">
        <v>1269</v>
      </c>
      <c r="C2" s="373" t="s">
        <v>185</v>
      </c>
      <c r="D2" s="373" t="s">
        <v>1270</v>
      </c>
      <c r="E2" s="377" t="s">
        <v>1215</v>
      </c>
      <c r="F2" s="377" t="s">
        <v>1216</v>
      </c>
      <c r="G2" s="377" t="s">
        <v>1217</v>
      </c>
      <c r="H2" s="377" t="s">
        <v>1218</v>
      </c>
      <c r="I2" s="377" t="s">
        <v>1219</v>
      </c>
      <c r="J2" s="377" t="s">
        <v>1220</v>
      </c>
      <c r="K2" s="377" t="s">
        <v>1221</v>
      </c>
      <c r="L2" s="377" t="s">
        <v>1222</v>
      </c>
      <c r="M2" s="377" t="s">
        <v>1223</v>
      </c>
      <c r="N2" s="377" t="s">
        <v>1224</v>
      </c>
      <c r="O2" s="377" t="s">
        <v>1225</v>
      </c>
      <c r="P2" s="377" t="s">
        <v>1226</v>
      </c>
      <c r="Q2" s="377" t="s">
        <v>1227</v>
      </c>
      <c r="R2" s="377" t="s">
        <v>1228</v>
      </c>
      <c r="S2" s="373" t="s">
        <v>1229</v>
      </c>
      <c r="U2" s="496" t="s">
        <v>1346</v>
      </c>
      <c r="V2" s="496"/>
      <c r="W2" s="496"/>
      <c r="X2" s="496"/>
      <c r="Y2" s="496"/>
    </row>
    <row r="3" spans="1:25">
      <c r="A3" t="s">
        <v>187</v>
      </c>
      <c r="B3" t="s">
        <v>830</v>
      </c>
      <c r="C3" t="s">
        <v>188</v>
      </c>
      <c r="E3">
        <v>40</v>
      </c>
      <c r="F3">
        <v>38</v>
      </c>
      <c r="G3">
        <v>27</v>
      </c>
      <c r="H3">
        <v>36</v>
      </c>
      <c r="I3">
        <v>38</v>
      </c>
      <c r="J3">
        <v>26</v>
      </c>
      <c r="K3">
        <v>43</v>
      </c>
      <c r="L3">
        <v>41</v>
      </c>
      <c r="M3">
        <v>47</v>
      </c>
      <c r="N3">
        <v>46</v>
      </c>
      <c r="O3">
        <v>44</v>
      </c>
      <c r="P3">
        <v>36</v>
      </c>
      <c r="Q3">
        <v>36</v>
      </c>
      <c r="R3">
        <v>44</v>
      </c>
      <c r="S3">
        <v>542</v>
      </c>
    </row>
    <row r="4" spans="1:25">
      <c r="A4" t="s">
        <v>190</v>
      </c>
      <c r="B4" t="s">
        <v>831</v>
      </c>
      <c r="C4" t="s">
        <v>188</v>
      </c>
      <c r="E4">
        <v>3</v>
      </c>
      <c r="F4">
        <v>4</v>
      </c>
      <c r="G4">
        <v>6</v>
      </c>
      <c r="H4">
        <v>9</v>
      </c>
      <c r="I4">
        <v>4</v>
      </c>
      <c r="J4">
        <v>4</v>
      </c>
      <c r="K4">
        <v>5</v>
      </c>
      <c r="L4">
        <v>5</v>
      </c>
      <c r="M4">
        <v>8</v>
      </c>
      <c r="N4">
        <v>6</v>
      </c>
      <c r="O4">
        <v>9</v>
      </c>
      <c r="P4">
        <v>4</v>
      </c>
      <c r="Q4">
        <v>2</v>
      </c>
      <c r="R4">
        <v>6</v>
      </c>
      <c r="S4">
        <v>75</v>
      </c>
    </row>
    <row r="5" spans="1:25">
      <c r="A5" t="s">
        <v>192</v>
      </c>
      <c r="B5" t="s">
        <v>1134</v>
      </c>
      <c r="C5" t="s">
        <v>193</v>
      </c>
      <c r="F5">
        <v>1</v>
      </c>
      <c r="G5">
        <v>2</v>
      </c>
      <c r="H5">
        <v>2</v>
      </c>
      <c r="I5">
        <v>2</v>
      </c>
      <c r="K5">
        <v>1</v>
      </c>
      <c r="L5">
        <v>4</v>
      </c>
      <c r="M5">
        <v>3</v>
      </c>
      <c r="N5">
        <v>1</v>
      </c>
      <c r="S5">
        <v>16</v>
      </c>
    </row>
    <row r="6" spans="1:25">
      <c r="A6" t="s">
        <v>195</v>
      </c>
      <c r="B6" t="s">
        <v>839</v>
      </c>
      <c r="C6" t="s">
        <v>196</v>
      </c>
      <c r="E6">
        <v>43</v>
      </c>
      <c r="F6">
        <v>25</v>
      </c>
      <c r="G6">
        <v>22</v>
      </c>
      <c r="H6">
        <v>23</v>
      </c>
      <c r="I6">
        <v>20</v>
      </c>
      <c r="J6">
        <v>25</v>
      </c>
      <c r="K6">
        <v>19</v>
      </c>
      <c r="L6">
        <v>28</v>
      </c>
      <c r="M6">
        <v>20</v>
      </c>
      <c r="N6">
        <v>18</v>
      </c>
      <c r="O6">
        <v>22</v>
      </c>
      <c r="P6">
        <v>16</v>
      </c>
      <c r="Q6">
        <v>18</v>
      </c>
      <c r="R6">
        <v>20</v>
      </c>
      <c r="S6">
        <v>319</v>
      </c>
    </row>
    <row r="7" spans="1:25">
      <c r="A7" t="s">
        <v>198</v>
      </c>
      <c r="B7" t="s">
        <v>840</v>
      </c>
      <c r="C7" t="s">
        <v>196</v>
      </c>
      <c r="E7">
        <v>42</v>
      </c>
      <c r="F7">
        <v>34</v>
      </c>
      <c r="G7">
        <v>51</v>
      </c>
      <c r="H7">
        <v>73</v>
      </c>
      <c r="I7">
        <v>63</v>
      </c>
      <c r="J7">
        <v>58</v>
      </c>
      <c r="K7">
        <v>58</v>
      </c>
      <c r="L7">
        <v>60</v>
      </c>
      <c r="M7">
        <v>64</v>
      </c>
      <c r="N7">
        <v>63</v>
      </c>
      <c r="O7">
        <v>62</v>
      </c>
      <c r="P7">
        <v>52</v>
      </c>
      <c r="Q7">
        <v>60</v>
      </c>
      <c r="R7">
        <v>81</v>
      </c>
      <c r="S7">
        <v>821</v>
      </c>
    </row>
    <row r="8" spans="1:25">
      <c r="A8" t="s">
        <v>200</v>
      </c>
      <c r="B8" t="s">
        <v>841</v>
      </c>
      <c r="C8" t="s">
        <v>201</v>
      </c>
      <c r="E8">
        <v>2</v>
      </c>
      <c r="F8">
        <v>4</v>
      </c>
      <c r="G8">
        <v>6</v>
      </c>
      <c r="H8">
        <v>4</v>
      </c>
      <c r="I8">
        <v>7</v>
      </c>
      <c r="J8">
        <v>5</v>
      </c>
      <c r="K8">
        <v>11</v>
      </c>
      <c r="L8">
        <v>5</v>
      </c>
      <c r="M8">
        <v>9</v>
      </c>
      <c r="N8">
        <v>14</v>
      </c>
      <c r="O8">
        <v>5</v>
      </c>
      <c r="P8">
        <v>5</v>
      </c>
      <c r="Q8">
        <v>5</v>
      </c>
      <c r="R8">
        <v>5</v>
      </c>
      <c r="S8">
        <v>87</v>
      </c>
    </row>
    <row r="9" spans="1:25">
      <c r="A9" t="s">
        <v>203</v>
      </c>
      <c r="B9" t="s">
        <v>842</v>
      </c>
      <c r="C9" t="s">
        <v>204</v>
      </c>
      <c r="E9">
        <v>162</v>
      </c>
      <c r="F9">
        <v>123</v>
      </c>
      <c r="G9">
        <v>133</v>
      </c>
      <c r="H9">
        <v>144</v>
      </c>
      <c r="I9">
        <v>148</v>
      </c>
      <c r="J9">
        <v>140</v>
      </c>
      <c r="K9">
        <v>124</v>
      </c>
      <c r="L9">
        <v>153</v>
      </c>
      <c r="M9">
        <v>121</v>
      </c>
      <c r="N9">
        <v>127</v>
      </c>
      <c r="O9">
        <v>134</v>
      </c>
      <c r="P9">
        <v>112</v>
      </c>
      <c r="Q9">
        <v>124</v>
      </c>
      <c r="R9">
        <v>160</v>
      </c>
      <c r="S9">
        <v>1905</v>
      </c>
    </row>
    <row r="10" spans="1:25">
      <c r="A10" t="s">
        <v>206</v>
      </c>
      <c r="B10" t="s">
        <v>843</v>
      </c>
      <c r="C10" t="s">
        <v>204</v>
      </c>
      <c r="E10">
        <v>27</v>
      </c>
      <c r="F10">
        <v>18</v>
      </c>
      <c r="G10">
        <v>23</v>
      </c>
      <c r="H10">
        <v>40</v>
      </c>
      <c r="I10">
        <v>40</v>
      </c>
      <c r="J10">
        <v>37</v>
      </c>
      <c r="K10">
        <v>39</v>
      </c>
      <c r="L10">
        <v>25</v>
      </c>
      <c r="M10">
        <v>25</v>
      </c>
      <c r="N10">
        <v>38</v>
      </c>
      <c r="O10">
        <v>26</v>
      </c>
      <c r="P10">
        <v>36</v>
      </c>
      <c r="Q10">
        <v>28</v>
      </c>
      <c r="R10">
        <v>46</v>
      </c>
      <c r="S10">
        <v>448</v>
      </c>
    </row>
    <row r="11" spans="1:25">
      <c r="A11" t="s">
        <v>208</v>
      </c>
      <c r="B11" t="s">
        <v>844</v>
      </c>
      <c r="C11" t="s">
        <v>209</v>
      </c>
      <c r="E11">
        <v>80</v>
      </c>
      <c r="F11">
        <v>69</v>
      </c>
      <c r="G11">
        <v>90</v>
      </c>
      <c r="H11">
        <v>84</v>
      </c>
      <c r="I11">
        <v>126</v>
      </c>
      <c r="J11">
        <v>114</v>
      </c>
      <c r="K11">
        <v>124</v>
      </c>
      <c r="L11">
        <v>131</v>
      </c>
      <c r="M11">
        <v>153</v>
      </c>
      <c r="N11">
        <v>133</v>
      </c>
      <c r="O11">
        <v>140</v>
      </c>
      <c r="P11">
        <v>131</v>
      </c>
      <c r="Q11">
        <v>117</v>
      </c>
      <c r="R11">
        <v>152</v>
      </c>
      <c r="S11">
        <v>1644</v>
      </c>
    </row>
    <row r="12" spans="1:25">
      <c r="A12" t="s">
        <v>211</v>
      </c>
      <c r="B12" t="s">
        <v>845</v>
      </c>
      <c r="C12" t="s">
        <v>204</v>
      </c>
      <c r="E12">
        <v>110</v>
      </c>
      <c r="F12">
        <v>86</v>
      </c>
      <c r="G12">
        <v>90</v>
      </c>
      <c r="H12">
        <v>98</v>
      </c>
      <c r="I12">
        <v>96</v>
      </c>
      <c r="J12">
        <v>111</v>
      </c>
      <c r="K12">
        <v>132</v>
      </c>
      <c r="L12">
        <v>147</v>
      </c>
      <c r="M12">
        <v>144</v>
      </c>
      <c r="N12">
        <v>129</v>
      </c>
      <c r="O12">
        <v>123</v>
      </c>
      <c r="P12">
        <v>141</v>
      </c>
      <c r="Q12">
        <v>121</v>
      </c>
      <c r="R12">
        <v>185</v>
      </c>
      <c r="S12">
        <v>1713</v>
      </c>
    </row>
    <row r="13" spans="1:25">
      <c r="A13" t="s">
        <v>213</v>
      </c>
      <c r="B13" t="s">
        <v>846</v>
      </c>
      <c r="C13" t="s">
        <v>196</v>
      </c>
      <c r="E13">
        <v>100</v>
      </c>
      <c r="F13">
        <v>73</v>
      </c>
      <c r="G13">
        <v>95</v>
      </c>
      <c r="H13">
        <v>104</v>
      </c>
      <c r="I13">
        <v>128</v>
      </c>
      <c r="J13">
        <v>139</v>
      </c>
      <c r="K13">
        <v>124</v>
      </c>
      <c r="L13">
        <v>135</v>
      </c>
      <c r="M13">
        <v>154</v>
      </c>
      <c r="N13">
        <v>137</v>
      </c>
      <c r="O13">
        <v>128</v>
      </c>
      <c r="P13">
        <v>108</v>
      </c>
      <c r="Q13">
        <v>126</v>
      </c>
      <c r="R13">
        <v>191</v>
      </c>
      <c r="S13">
        <v>1742</v>
      </c>
    </row>
    <row r="14" spans="1:25">
      <c r="A14" t="s">
        <v>217</v>
      </c>
      <c r="B14" t="s">
        <v>848</v>
      </c>
      <c r="C14" t="s">
        <v>204</v>
      </c>
      <c r="E14">
        <v>157</v>
      </c>
      <c r="F14">
        <v>158</v>
      </c>
      <c r="G14">
        <v>144</v>
      </c>
      <c r="H14">
        <v>164</v>
      </c>
      <c r="I14">
        <v>160</v>
      </c>
      <c r="J14">
        <v>197</v>
      </c>
      <c r="K14">
        <v>188</v>
      </c>
      <c r="L14">
        <v>205</v>
      </c>
      <c r="M14">
        <v>237</v>
      </c>
      <c r="N14">
        <v>260</v>
      </c>
      <c r="O14">
        <v>209</v>
      </c>
      <c r="P14">
        <v>213</v>
      </c>
      <c r="Q14">
        <v>198</v>
      </c>
      <c r="R14">
        <v>256</v>
      </c>
      <c r="S14">
        <v>2746</v>
      </c>
    </row>
    <row r="15" spans="1:25">
      <c r="A15" t="s">
        <v>219</v>
      </c>
      <c r="B15" t="s">
        <v>849</v>
      </c>
      <c r="C15" t="s">
        <v>220</v>
      </c>
      <c r="E15">
        <v>1</v>
      </c>
      <c r="F15">
        <v>2</v>
      </c>
      <c r="G15">
        <v>1</v>
      </c>
      <c r="H15">
        <v>3</v>
      </c>
      <c r="J15">
        <v>4</v>
      </c>
      <c r="K15">
        <v>3</v>
      </c>
      <c r="M15">
        <v>2</v>
      </c>
      <c r="N15">
        <v>1</v>
      </c>
      <c r="P15">
        <v>3</v>
      </c>
      <c r="Q15">
        <v>1</v>
      </c>
      <c r="S15">
        <v>21</v>
      </c>
    </row>
    <row r="16" spans="1:25">
      <c r="A16" t="s">
        <v>222</v>
      </c>
      <c r="B16" t="s">
        <v>850</v>
      </c>
      <c r="C16" t="s">
        <v>196</v>
      </c>
      <c r="E16">
        <v>23</v>
      </c>
      <c r="F16">
        <v>19</v>
      </c>
      <c r="G16">
        <v>23</v>
      </c>
      <c r="H16">
        <v>21</v>
      </c>
      <c r="I16">
        <v>26</v>
      </c>
      <c r="J16">
        <v>28</v>
      </c>
      <c r="K16">
        <v>25</v>
      </c>
      <c r="L16">
        <v>29</v>
      </c>
      <c r="M16">
        <v>25</v>
      </c>
      <c r="N16">
        <v>18</v>
      </c>
      <c r="O16">
        <v>20</v>
      </c>
      <c r="P16">
        <v>21</v>
      </c>
      <c r="Q16">
        <v>21</v>
      </c>
      <c r="R16">
        <v>17</v>
      </c>
      <c r="S16">
        <v>316</v>
      </c>
    </row>
    <row r="17" spans="1:19">
      <c r="A17" t="s">
        <v>224</v>
      </c>
      <c r="B17" t="s">
        <v>851</v>
      </c>
      <c r="C17" t="s">
        <v>188</v>
      </c>
      <c r="E17">
        <v>2</v>
      </c>
      <c r="F17">
        <v>0</v>
      </c>
      <c r="H17">
        <v>4</v>
      </c>
      <c r="I17">
        <v>4</v>
      </c>
      <c r="J17">
        <v>1</v>
      </c>
      <c r="K17">
        <v>4</v>
      </c>
      <c r="L17">
        <v>3</v>
      </c>
      <c r="M17">
        <v>3</v>
      </c>
      <c r="S17">
        <v>21</v>
      </c>
    </row>
    <row r="18" spans="1:19">
      <c r="A18" t="s">
        <v>226</v>
      </c>
      <c r="B18" t="s">
        <v>852</v>
      </c>
      <c r="C18" t="s">
        <v>227</v>
      </c>
      <c r="E18">
        <v>67</v>
      </c>
      <c r="F18">
        <v>42</v>
      </c>
      <c r="G18">
        <v>42</v>
      </c>
      <c r="H18">
        <v>46</v>
      </c>
      <c r="I18">
        <v>48</v>
      </c>
      <c r="J18">
        <v>53</v>
      </c>
      <c r="K18">
        <v>57</v>
      </c>
      <c r="L18">
        <v>38</v>
      </c>
      <c r="M18">
        <v>49</v>
      </c>
      <c r="N18">
        <v>46</v>
      </c>
      <c r="O18">
        <v>53</v>
      </c>
      <c r="P18">
        <v>47</v>
      </c>
      <c r="Q18">
        <v>47</v>
      </c>
      <c r="R18">
        <v>68</v>
      </c>
      <c r="S18">
        <v>703</v>
      </c>
    </row>
    <row r="19" spans="1:19">
      <c r="A19" t="s">
        <v>229</v>
      </c>
      <c r="B19" t="s">
        <v>853</v>
      </c>
      <c r="C19" t="s">
        <v>230</v>
      </c>
      <c r="E19">
        <v>18</v>
      </c>
      <c r="F19">
        <v>4</v>
      </c>
      <c r="G19">
        <v>7</v>
      </c>
      <c r="H19">
        <v>1</v>
      </c>
      <c r="I19">
        <v>7</v>
      </c>
      <c r="J19">
        <v>8</v>
      </c>
      <c r="K19">
        <v>6</v>
      </c>
      <c r="L19">
        <v>9</v>
      </c>
      <c r="M19">
        <v>7</v>
      </c>
      <c r="N19">
        <v>9</v>
      </c>
      <c r="O19">
        <v>6</v>
      </c>
      <c r="P19">
        <v>9</v>
      </c>
      <c r="Q19">
        <v>5</v>
      </c>
      <c r="R19">
        <v>14</v>
      </c>
      <c r="S19">
        <v>110</v>
      </c>
    </row>
    <row r="20" spans="1:19">
      <c r="A20" t="s">
        <v>232</v>
      </c>
      <c r="B20" t="s">
        <v>854</v>
      </c>
      <c r="C20" t="s">
        <v>230</v>
      </c>
      <c r="E20">
        <v>7</v>
      </c>
      <c r="F20">
        <v>6</v>
      </c>
      <c r="G20">
        <v>7</v>
      </c>
      <c r="H20">
        <v>4</v>
      </c>
      <c r="I20">
        <v>3</v>
      </c>
      <c r="J20">
        <v>6</v>
      </c>
      <c r="K20">
        <v>4</v>
      </c>
      <c r="L20">
        <v>4</v>
      </c>
      <c r="M20">
        <v>6</v>
      </c>
      <c r="N20">
        <v>3</v>
      </c>
      <c r="O20">
        <v>8</v>
      </c>
      <c r="P20">
        <v>4</v>
      </c>
      <c r="Q20">
        <v>4</v>
      </c>
      <c r="R20">
        <v>8</v>
      </c>
      <c r="S20">
        <v>74</v>
      </c>
    </row>
    <row r="21" spans="1:19">
      <c r="A21" t="s">
        <v>234</v>
      </c>
      <c r="B21" t="s">
        <v>1135</v>
      </c>
      <c r="C21" t="s">
        <v>227</v>
      </c>
      <c r="E21">
        <v>1</v>
      </c>
      <c r="F21">
        <v>2</v>
      </c>
      <c r="G21">
        <v>2</v>
      </c>
      <c r="I21">
        <v>1</v>
      </c>
      <c r="K21">
        <v>1</v>
      </c>
      <c r="N21">
        <v>1</v>
      </c>
      <c r="S21">
        <v>8</v>
      </c>
    </row>
    <row r="22" spans="1:19">
      <c r="A22" t="s">
        <v>236</v>
      </c>
      <c r="B22" t="s">
        <v>856</v>
      </c>
      <c r="C22" t="s">
        <v>196</v>
      </c>
      <c r="E22">
        <v>24</v>
      </c>
      <c r="F22">
        <v>24</v>
      </c>
      <c r="G22">
        <v>37</v>
      </c>
      <c r="H22">
        <v>36</v>
      </c>
      <c r="I22">
        <v>36</v>
      </c>
      <c r="J22">
        <v>40</v>
      </c>
      <c r="K22">
        <v>35</v>
      </c>
      <c r="L22">
        <v>45</v>
      </c>
      <c r="M22">
        <v>37</v>
      </c>
      <c r="N22">
        <v>35</v>
      </c>
      <c r="O22">
        <v>29</v>
      </c>
      <c r="P22">
        <v>42</v>
      </c>
      <c r="Q22">
        <v>43</v>
      </c>
      <c r="R22">
        <v>47</v>
      </c>
      <c r="S22">
        <v>510</v>
      </c>
    </row>
    <row r="23" spans="1:19">
      <c r="A23" t="s">
        <v>238</v>
      </c>
      <c r="B23" t="s">
        <v>857</v>
      </c>
      <c r="C23" t="s">
        <v>209</v>
      </c>
      <c r="E23">
        <v>48</v>
      </c>
      <c r="F23">
        <v>34</v>
      </c>
      <c r="G23">
        <v>43</v>
      </c>
      <c r="H23">
        <v>43</v>
      </c>
      <c r="I23">
        <v>62</v>
      </c>
      <c r="J23">
        <v>41</v>
      </c>
      <c r="K23">
        <v>57</v>
      </c>
      <c r="L23">
        <v>60</v>
      </c>
      <c r="M23">
        <v>46</v>
      </c>
      <c r="N23">
        <v>63</v>
      </c>
      <c r="O23">
        <v>68</v>
      </c>
      <c r="P23">
        <v>59</v>
      </c>
      <c r="Q23">
        <v>58</v>
      </c>
      <c r="R23">
        <v>88</v>
      </c>
      <c r="S23">
        <v>770</v>
      </c>
    </row>
    <row r="24" spans="1:19">
      <c r="A24" t="s">
        <v>240</v>
      </c>
      <c r="B24" t="s">
        <v>858</v>
      </c>
      <c r="C24" t="s">
        <v>227</v>
      </c>
      <c r="E24">
        <v>3</v>
      </c>
      <c r="F24">
        <v>5</v>
      </c>
      <c r="G24">
        <v>6</v>
      </c>
      <c r="H24">
        <v>5</v>
      </c>
      <c r="I24">
        <v>7</v>
      </c>
      <c r="J24">
        <v>10</v>
      </c>
      <c r="K24">
        <v>2</v>
      </c>
      <c r="L24">
        <v>5</v>
      </c>
      <c r="M24">
        <v>8</v>
      </c>
      <c r="N24">
        <v>7</v>
      </c>
      <c r="O24">
        <v>8</v>
      </c>
      <c r="P24">
        <v>7</v>
      </c>
      <c r="Q24">
        <v>1</v>
      </c>
      <c r="R24">
        <v>1</v>
      </c>
      <c r="S24">
        <v>75</v>
      </c>
    </row>
    <row r="25" spans="1:19">
      <c r="A25" t="s">
        <v>242</v>
      </c>
      <c r="B25" t="s">
        <v>1241</v>
      </c>
      <c r="C25" t="s">
        <v>204</v>
      </c>
      <c r="E25">
        <v>2</v>
      </c>
      <c r="F25">
        <v>3</v>
      </c>
      <c r="G25">
        <v>2</v>
      </c>
      <c r="I25">
        <v>4</v>
      </c>
      <c r="J25">
        <v>7</v>
      </c>
      <c r="K25">
        <v>3</v>
      </c>
      <c r="L25">
        <v>1</v>
      </c>
      <c r="M25">
        <v>1</v>
      </c>
      <c r="N25">
        <v>4</v>
      </c>
      <c r="S25">
        <v>27</v>
      </c>
    </row>
    <row r="26" spans="1:19">
      <c r="A26" t="s">
        <v>244</v>
      </c>
      <c r="B26" t="s">
        <v>860</v>
      </c>
      <c r="C26" t="s">
        <v>230</v>
      </c>
      <c r="E26">
        <v>2</v>
      </c>
      <c r="F26">
        <v>2</v>
      </c>
      <c r="G26">
        <v>8</v>
      </c>
      <c r="H26">
        <v>7</v>
      </c>
      <c r="I26">
        <v>4</v>
      </c>
      <c r="J26">
        <v>8</v>
      </c>
      <c r="K26">
        <v>9</v>
      </c>
      <c r="L26">
        <v>13</v>
      </c>
      <c r="M26">
        <v>8</v>
      </c>
      <c r="N26">
        <v>17</v>
      </c>
      <c r="O26">
        <v>6</v>
      </c>
      <c r="P26">
        <v>4</v>
      </c>
      <c r="Q26">
        <v>9</v>
      </c>
      <c r="R26">
        <v>13</v>
      </c>
      <c r="S26">
        <v>110</v>
      </c>
    </row>
    <row r="27" spans="1:19">
      <c r="A27" t="s">
        <v>247</v>
      </c>
      <c r="B27" t="s">
        <v>861</v>
      </c>
      <c r="C27" t="s">
        <v>230</v>
      </c>
      <c r="E27">
        <v>19</v>
      </c>
      <c r="F27">
        <v>10</v>
      </c>
      <c r="G27">
        <v>16</v>
      </c>
      <c r="H27">
        <v>13</v>
      </c>
      <c r="I27">
        <v>18</v>
      </c>
      <c r="J27">
        <v>16</v>
      </c>
      <c r="K27">
        <v>15</v>
      </c>
      <c r="L27">
        <v>12</v>
      </c>
      <c r="M27">
        <v>13</v>
      </c>
      <c r="N27">
        <v>17</v>
      </c>
      <c r="O27">
        <v>16</v>
      </c>
      <c r="P27">
        <v>14</v>
      </c>
      <c r="Q27">
        <v>11</v>
      </c>
      <c r="R27">
        <v>17</v>
      </c>
      <c r="S27">
        <v>207</v>
      </c>
    </row>
    <row r="28" spans="1:19">
      <c r="A28" t="s">
        <v>249</v>
      </c>
      <c r="B28" t="s">
        <v>862</v>
      </c>
      <c r="C28" t="s">
        <v>209</v>
      </c>
      <c r="E28">
        <v>14</v>
      </c>
      <c r="F28">
        <v>10</v>
      </c>
      <c r="G28">
        <v>11</v>
      </c>
      <c r="H28">
        <v>17</v>
      </c>
      <c r="I28">
        <v>19</v>
      </c>
      <c r="J28">
        <v>13</v>
      </c>
      <c r="K28">
        <v>28</v>
      </c>
      <c r="L28">
        <v>18</v>
      </c>
      <c r="M28">
        <v>17</v>
      </c>
      <c r="N28">
        <v>25</v>
      </c>
      <c r="O28">
        <v>11</v>
      </c>
      <c r="P28">
        <v>16</v>
      </c>
      <c r="Q28">
        <v>19</v>
      </c>
      <c r="R28">
        <v>23</v>
      </c>
      <c r="S28">
        <v>241</v>
      </c>
    </row>
    <row r="29" spans="1:19">
      <c r="A29" t="s">
        <v>251</v>
      </c>
      <c r="B29" t="s">
        <v>1237</v>
      </c>
      <c r="C29" t="s">
        <v>227</v>
      </c>
      <c r="F29">
        <v>2</v>
      </c>
      <c r="G29">
        <v>6</v>
      </c>
      <c r="H29">
        <v>6</v>
      </c>
      <c r="I29">
        <v>3</v>
      </c>
      <c r="K29">
        <v>2</v>
      </c>
      <c r="L29">
        <v>7</v>
      </c>
      <c r="M29">
        <v>6</v>
      </c>
      <c r="S29">
        <v>32</v>
      </c>
    </row>
    <row r="30" spans="1:19">
      <c r="A30" t="s">
        <v>253</v>
      </c>
      <c r="B30" t="s">
        <v>863</v>
      </c>
      <c r="C30" t="s">
        <v>209</v>
      </c>
      <c r="D30" t="s">
        <v>818</v>
      </c>
      <c r="F30">
        <v>3</v>
      </c>
      <c r="G30">
        <v>2</v>
      </c>
      <c r="I30">
        <v>1</v>
      </c>
      <c r="M30">
        <v>1</v>
      </c>
      <c r="N30">
        <v>1</v>
      </c>
      <c r="S30">
        <v>8</v>
      </c>
    </row>
    <row r="31" spans="1:19">
      <c r="A31" t="s">
        <v>255</v>
      </c>
      <c r="B31" t="s">
        <v>864</v>
      </c>
      <c r="C31" t="s">
        <v>227</v>
      </c>
      <c r="E31">
        <v>121</v>
      </c>
      <c r="F31">
        <v>95</v>
      </c>
      <c r="G31">
        <v>100</v>
      </c>
      <c r="H31">
        <v>141</v>
      </c>
      <c r="I31">
        <v>155</v>
      </c>
      <c r="J31">
        <v>126</v>
      </c>
      <c r="K31">
        <v>119</v>
      </c>
      <c r="L31">
        <v>132</v>
      </c>
      <c r="M31">
        <v>106</v>
      </c>
      <c r="N31">
        <v>118</v>
      </c>
      <c r="O31">
        <v>113</v>
      </c>
      <c r="P31">
        <v>97</v>
      </c>
      <c r="Q31">
        <v>109</v>
      </c>
      <c r="R31">
        <v>157</v>
      </c>
      <c r="S31">
        <v>1689</v>
      </c>
    </row>
    <row r="32" spans="1:19">
      <c r="A32" t="s">
        <v>257</v>
      </c>
      <c r="B32" t="s">
        <v>865</v>
      </c>
      <c r="C32" t="s">
        <v>193</v>
      </c>
      <c r="E32">
        <v>153</v>
      </c>
      <c r="F32">
        <v>123</v>
      </c>
      <c r="G32">
        <v>129</v>
      </c>
      <c r="H32">
        <v>187</v>
      </c>
      <c r="I32">
        <v>205</v>
      </c>
      <c r="J32">
        <v>150</v>
      </c>
      <c r="K32">
        <v>154</v>
      </c>
      <c r="L32">
        <v>160</v>
      </c>
      <c r="M32">
        <v>160</v>
      </c>
      <c r="N32">
        <v>135</v>
      </c>
      <c r="O32">
        <v>159</v>
      </c>
      <c r="P32">
        <v>150</v>
      </c>
      <c r="Q32">
        <v>129</v>
      </c>
      <c r="R32">
        <v>152</v>
      </c>
      <c r="S32">
        <v>2146</v>
      </c>
    </row>
    <row r="33" spans="1:20">
      <c r="A33" t="s">
        <v>259</v>
      </c>
      <c r="B33" t="s">
        <v>866</v>
      </c>
      <c r="C33" t="s">
        <v>188</v>
      </c>
      <c r="E33">
        <v>25</v>
      </c>
      <c r="F33">
        <v>22</v>
      </c>
      <c r="G33">
        <v>39</v>
      </c>
      <c r="H33">
        <v>24</v>
      </c>
      <c r="I33">
        <v>43</v>
      </c>
      <c r="J33">
        <v>40</v>
      </c>
      <c r="K33">
        <v>44</v>
      </c>
      <c r="L33">
        <v>38</v>
      </c>
      <c r="M33">
        <v>36</v>
      </c>
      <c r="N33">
        <v>32</v>
      </c>
      <c r="O33">
        <v>36</v>
      </c>
      <c r="P33">
        <v>32</v>
      </c>
      <c r="Q33">
        <v>33</v>
      </c>
      <c r="R33">
        <v>33</v>
      </c>
      <c r="S33">
        <v>477</v>
      </c>
    </row>
    <row r="34" spans="1:20">
      <c r="A34" t="s">
        <v>261</v>
      </c>
      <c r="B34" t="s">
        <v>867</v>
      </c>
      <c r="C34" t="s">
        <v>188</v>
      </c>
      <c r="E34">
        <v>20</v>
      </c>
      <c r="F34">
        <v>18</v>
      </c>
      <c r="G34">
        <v>24</v>
      </c>
      <c r="H34">
        <v>29</v>
      </c>
      <c r="I34">
        <v>24</v>
      </c>
      <c r="J34">
        <v>22</v>
      </c>
      <c r="K34">
        <v>34</v>
      </c>
      <c r="L34">
        <v>30</v>
      </c>
      <c r="M34">
        <v>34</v>
      </c>
      <c r="N34">
        <v>34</v>
      </c>
      <c r="O34">
        <v>36</v>
      </c>
      <c r="P34">
        <v>31</v>
      </c>
      <c r="Q34">
        <v>31</v>
      </c>
      <c r="R34">
        <v>52</v>
      </c>
      <c r="S34">
        <v>419</v>
      </c>
    </row>
    <row r="35" spans="1:20" s="379" customFormat="1" hidden="1">
      <c r="A35" s="379" t="s">
        <v>1271</v>
      </c>
      <c r="B35" s="379" t="s">
        <v>1272</v>
      </c>
      <c r="C35" s="379" t="s">
        <v>188</v>
      </c>
      <c r="F35" s="379">
        <v>0</v>
      </c>
      <c r="Q35" s="379">
        <v>3</v>
      </c>
      <c r="R35" s="379">
        <v>35</v>
      </c>
      <c r="S35" s="379">
        <v>38</v>
      </c>
      <c r="T35" s="379" t="s">
        <v>1260</v>
      </c>
    </row>
    <row r="36" spans="1:20">
      <c r="A36" t="s">
        <v>263</v>
      </c>
      <c r="B36" t="s">
        <v>868</v>
      </c>
      <c r="C36" t="s">
        <v>193</v>
      </c>
      <c r="E36">
        <v>59</v>
      </c>
      <c r="F36">
        <v>69</v>
      </c>
      <c r="G36">
        <v>60</v>
      </c>
      <c r="H36">
        <v>71</v>
      </c>
      <c r="I36">
        <v>76</v>
      </c>
      <c r="J36">
        <v>61</v>
      </c>
      <c r="K36">
        <v>70</v>
      </c>
      <c r="L36">
        <v>69</v>
      </c>
      <c r="M36">
        <v>48</v>
      </c>
      <c r="N36">
        <v>61</v>
      </c>
      <c r="O36">
        <v>59</v>
      </c>
      <c r="P36">
        <v>60</v>
      </c>
      <c r="Q36">
        <v>47</v>
      </c>
      <c r="R36">
        <v>61</v>
      </c>
      <c r="S36">
        <v>871</v>
      </c>
    </row>
    <row r="37" spans="1:20">
      <c r="A37" t="s">
        <v>265</v>
      </c>
      <c r="B37" t="s">
        <v>869</v>
      </c>
      <c r="C37" t="s">
        <v>193</v>
      </c>
      <c r="E37">
        <v>4</v>
      </c>
      <c r="F37">
        <v>7</v>
      </c>
      <c r="G37">
        <v>3</v>
      </c>
      <c r="H37">
        <v>11</v>
      </c>
      <c r="I37">
        <v>16</v>
      </c>
      <c r="J37">
        <v>7</v>
      </c>
      <c r="K37">
        <v>13</v>
      </c>
      <c r="L37">
        <v>15</v>
      </c>
      <c r="M37">
        <v>6</v>
      </c>
      <c r="N37">
        <v>6</v>
      </c>
      <c r="O37">
        <v>14</v>
      </c>
      <c r="P37">
        <v>8</v>
      </c>
      <c r="Q37">
        <v>10</v>
      </c>
      <c r="R37">
        <v>17</v>
      </c>
      <c r="S37">
        <v>137</v>
      </c>
    </row>
    <row r="38" spans="1:20">
      <c r="A38" t="s">
        <v>267</v>
      </c>
      <c r="B38" t="s">
        <v>870</v>
      </c>
      <c r="C38" t="s">
        <v>227</v>
      </c>
      <c r="E38">
        <v>10</v>
      </c>
      <c r="F38">
        <v>11</v>
      </c>
      <c r="G38">
        <v>4</v>
      </c>
      <c r="H38">
        <v>10</v>
      </c>
      <c r="I38">
        <v>7</v>
      </c>
      <c r="J38">
        <v>6</v>
      </c>
      <c r="K38">
        <v>10</v>
      </c>
      <c r="L38">
        <v>6</v>
      </c>
      <c r="M38">
        <v>12</v>
      </c>
      <c r="N38">
        <v>7</v>
      </c>
      <c r="O38">
        <v>5</v>
      </c>
      <c r="P38">
        <v>7</v>
      </c>
      <c r="Q38">
        <v>12</v>
      </c>
      <c r="R38">
        <v>12</v>
      </c>
      <c r="S38">
        <v>119</v>
      </c>
    </row>
    <row r="39" spans="1:20">
      <c r="A39" t="s">
        <v>269</v>
      </c>
      <c r="B39" t="s">
        <v>871</v>
      </c>
      <c r="C39" t="s">
        <v>201</v>
      </c>
      <c r="E39">
        <v>23</v>
      </c>
      <c r="F39">
        <v>20</v>
      </c>
      <c r="G39">
        <v>32</v>
      </c>
      <c r="H39">
        <v>34</v>
      </c>
      <c r="I39">
        <v>30</v>
      </c>
      <c r="J39">
        <v>40</v>
      </c>
      <c r="K39">
        <v>30</v>
      </c>
      <c r="L39">
        <v>31</v>
      </c>
      <c r="M39">
        <v>27</v>
      </c>
      <c r="N39">
        <v>18</v>
      </c>
      <c r="O39">
        <v>29</v>
      </c>
      <c r="P39">
        <v>33</v>
      </c>
      <c r="Q39">
        <v>25</v>
      </c>
      <c r="R39">
        <v>37</v>
      </c>
      <c r="S39">
        <v>409</v>
      </c>
    </row>
    <row r="40" spans="1:20">
      <c r="A40" t="s">
        <v>271</v>
      </c>
      <c r="B40" t="s">
        <v>872</v>
      </c>
      <c r="C40" t="s">
        <v>220</v>
      </c>
      <c r="E40">
        <v>14</v>
      </c>
      <c r="F40">
        <v>10</v>
      </c>
      <c r="G40">
        <v>9</v>
      </c>
      <c r="H40">
        <v>11</v>
      </c>
      <c r="I40">
        <v>10</v>
      </c>
      <c r="J40">
        <v>11</v>
      </c>
      <c r="K40">
        <v>11</v>
      </c>
      <c r="L40">
        <v>12</v>
      </c>
      <c r="M40">
        <v>11</v>
      </c>
      <c r="N40">
        <v>14</v>
      </c>
      <c r="O40">
        <v>8</v>
      </c>
      <c r="P40">
        <v>9</v>
      </c>
      <c r="Q40">
        <v>4</v>
      </c>
      <c r="R40">
        <v>11</v>
      </c>
      <c r="S40">
        <v>145</v>
      </c>
    </row>
    <row r="41" spans="1:20">
      <c r="A41" t="s">
        <v>273</v>
      </c>
      <c r="B41" t="s">
        <v>873</v>
      </c>
      <c r="C41" t="s">
        <v>204</v>
      </c>
      <c r="E41">
        <v>155</v>
      </c>
      <c r="F41">
        <v>143</v>
      </c>
      <c r="G41">
        <v>138</v>
      </c>
      <c r="H41">
        <v>147</v>
      </c>
      <c r="I41">
        <v>151</v>
      </c>
      <c r="J41">
        <v>159</v>
      </c>
      <c r="K41">
        <v>159</v>
      </c>
      <c r="L41">
        <v>145</v>
      </c>
      <c r="M41">
        <v>135</v>
      </c>
      <c r="N41">
        <v>149</v>
      </c>
      <c r="O41">
        <v>140</v>
      </c>
      <c r="P41">
        <v>132</v>
      </c>
      <c r="Q41">
        <v>90</v>
      </c>
      <c r="R41">
        <v>133</v>
      </c>
      <c r="S41">
        <v>1976</v>
      </c>
    </row>
    <row r="42" spans="1:20">
      <c r="A42" t="s">
        <v>275</v>
      </c>
      <c r="B42" t="s">
        <v>874</v>
      </c>
      <c r="C42" t="s">
        <v>193</v>
      </c>
      <c r="E42">
        <v>6</v>
      </c>
      <c r="F42">
        <v>3</v>
      </c>
      <c r="G42">
        <v>4</v>
      </c>
      <c r="H42">
        <v>3</v>
      </c>
      <c r="I42">
        <v>6</v>
      </c>
      <c r="J42">
        <v>4</v>
      </c>
      <c r="K42">
        <v>7</v>
      </c>
      <c r="L42">
        <v>5</v>
      </c>
      <c r="M42">
        <v>6</v>
      </c>
      <c r="N42">
        <v>10</v>
      </c>
      <c r="O42">
        <v>6</v>
      </c>
      <c r="P42">
        <v>6</v>
      </c>
      <c r="Q42">
        <v>10</v>
      </c>
      <c r="R42">
        <v>7</v>
      </c>
      <c r="S42">
        <v>83</v>
      </c>
    </row>
    <row r="43" spans="1:20">
      <c r="A43" t="s">
        <v>277</v>
      </c>
      <c r="B43" t="s">
        <v>875</v>
      </c>
      <c r="C43" t="s">
        <v>201</v>
      </c>
      <c r="E43">
        <v>28</v>
      </c>
      <c r="F43">
        <v>18</v>
      </c>
      <c r="G43">
        <v>10</v>
      </c>
      <c r="H43">
        <v>16</v>
      </c>
      <c r="I43">
        <v>10</v>
      </c>
      <c r="J43">
        <v>18</v>
      </c>
      <c r="K43">
        <v>11</v>
      </c>
      <c r="L43">
        <v>16</v>
      </c>
      <c r="M43">
        <v>18</v>
      </c>
      <c r="N43">
        <v>21</v>
      </c>
      <c r="O43">
        <v>13</v>
      </c>
      <c r="P43">
        <v>16</v>
      </c>
      <c r="Q43">
        <v>18</v>
      </c>
      <c r="R43">
        <v>23</v>
      </c>
      <c r="S43">
        <v>236</v>
      </c>
    </row>
    <row r="44" spans="1:20">
      <c r="A44" t="s">
        <v>279</v>
      </c>
      <c r="B44" t="s">
        <v>876</v>
      </c>
      <c r="C44" t="s">
        <v>193</v>
      </c>
      <c r="F44">
        <v>3</v>
      </c>
      <c r="G44">
        <v>2</v>
      </c>
      <c r="H44">
        <v>1</v>
      </c>
      <c r="I44">
        <v>5</v>
      </c>
      <c r="J44">
        <v>4</v>
      </c>
      <c r="K44">
        <v>1</v>
      </c>
      <c r="L44">
        <v>2</v>
      </c>
      <c r="M44">
        <v>2</v>
      </c>
      <c r="N44">
        <v>5</v>
      </c>
      <c r="O44">
        <v>1</v>
      </c>
      <c r="P44">
        <v>1</v>
      </c>
      <c r="Q44">
        <v>1</v>
      </c>
      <c r="R44">
        <v>1</v>
      </c>
      <c r="S44">
        <v>29</v>
      </c>
    </row>
    <row r="45" spans="1:20">
      <c r="A45" t="s">
        <v>281</v>
      </c>
      <c r="B45" t="s">
        <v>1252</v>
      </c>
      <c r="C45" t="s">
        <v>193</v>
      </c>
      <c r="F45">
        <v>0</v>
      </c>
      <c r="H45">
        <v>2</v>
      </c>
      <c r="I45">
        <v>2</v>
      </c>
      <c r="J45">
        <v>1</v>
      </c>
      <c r="K45">
        <v>1</v>
      </c>
      <c r="M45">
        <v>2</v>
      </c>
      <c r="N45">
        <v>2</v>
      </c>
      <c r="O45">
        <v>1</v>
      </c>
      <c r="P45">
        <v>2</v>
      </c>
      <c r="Q45">
        <v>3</v>
      </c>
      <c r="S45">
        <v>16</v>
      </c>
    </row>
    <row r="46" spans="1:20">
      <c r="A46" t="s">
        <v>283</v>
      </c>
      <c r="B46" t="s">
        <v>1256</v>
      </c>
      <c r="C46" t="s">
        <v>201</v>
      </c>
      <c r="E46">
        <v>9</v>
      </c>
      <c r="F46">
        <v>12</v>
      </c>
      <c r="G46">
        <v>8</v>
      </c>
      <c r="H46">
        <v>7</v>
      </c>
      <c r="I46">
        <v>5</v>
      </c>
      <c r="J46">
        <v>6</v>
      </c>
      <c r="K46">
        <v>11</v>
      </c>
      <c r="L46">
        <v>9</v>
      </c>
      <c r="M46">
        <v>7</v>
      </c>
      <c r="N46">
        <v>6</v>
      </c>
      <c r="O46">
        <v>10</v>
      </c>
      <c r="P46">
        <v>5</v>
      </c>
      <c r="Q46">
        <v>2</v>
      </c>
      <c r="R46">
        <v>6</v>
      </c>
      <c r="S46">
        <v>103</v>
      </c>
    </row>
    <row r="47" spans="1:20">
      <c r="A47" t="s">
        <v>285</v>
      </c>
      <c r="B47" t="s">
        <v>1136</v>
      </c>
      <c r="C47" t="s">
        <v>193</v>
      </c>
      <c r="E47">
        <v>15</v>
      </c>
      <c r="F47">
        <v>16</v>
      </c>
      <c r="G47">
        <v>20</v>
      </c>
      <c r="H47">
        <v>20</v>
      </c>
      <c r="I47">
        <v>32</v>
      </c>
      <c r="J47">
        <v>21</v>
      </c>
      <c r="K47">
        <v>30</v>
      </c>
      <c r="L47">
        <v>17</v>
      </c>
      <c r="M47">
        <v>16</v>
      </c>
      <c r="N47">
        <v>15</v>
      </c>
      <c r="O47">
        <v>17</v>
      </c>
      <c r="P47">
        <v>9</v>
      </c>
      <c r="Q47">
        <v>19</v>
      </c>
      <c r="R47">
        <v>8</v>
      </c>
      <c r="S47">
        <v>255</v>
      </c>
    </row>
    <row r="48" spans="1:20">
      <c r="A48" t="s">
        <v>287</v>
      </c>
      <c r="B48" t="s">
        <v>880</v>
      </c>
      <c r="C48" t="s">
        <v>196</v>
      </c>
      <c r="E48">
        <v>1</v>
      </c>
      <c r="F48">
        <v>4</v>
      </c>
      <c r="G48">
        <v>6</v>
      </c>
      <c r="H48">
        <v>4</v>
      </c>
      <c r="I48">
        <v>3</v>
      </c>
      <c r="J48">
        <v>9</v>
      </c>
      <c r="K48">
        <v>5</v>
      </c>
      <c r="L48">
        <v>7</v>
      </c>
      <c r="M48">
        <v>12</v>
      </c>
      <c r="N48">
        <v>10</v>
      </c>
      <c r="O48">
        <v>5</v>
      </c>
      <c r="P48">
        <v>8</v>
      </c>
      <c r="Q48">
        <v>2</v>
      </c>
      <c r="R48">
        <v>10</v>
      </c>
      <c r="S48">
        <v>86</v>
      </c>
    </row>
    <row r="49" spans="1:19">
      <c r="A49" t="s">
        <v>289</v>
      </c>
      <c r="B49" t="s">
        <v>881</v>
      </c>
      <c r="C49" t="s">
        <v>196</v>
      </c>
      <c r="E49">
        <v>2</v>
      </c>
      <c r="F49">
        <v>4</v>
      </c>
      <c r="G49">
        <v>5</v>
      </c>
      <c r="H49">
        <v>2</v>
      </c>
      <c r="J49">
        <v>7</v>
      </c>
      <c r="K49">
        <v>5</v>
      </c>
      <c r="L49">
        <v>6</v>
      </c>
      <c r="M49">
        <v>6</v>
      </c>
      <c r="N49">
        <v>7</v>
      </c>
      <c r="S49">
        <v>44</v>
      </c>
    </row>
    <row r="50" spans="1:19">
      <c r="A50" t="s">
        <v>291</v>
      </c>
      <c r="B50" t="s">
        <v>882</v>
      </c>
      <c r="C50" t="s">
        <v>188</v>
      </c>
      <c r="F50">
        <v>4</v>
      </c>
      <c r="G50">
        <v>7</v>
      </c>
      <c r="H50">
        <v>2</v>
      </c>
      <c r="I50">
        <v>2</v>
      </c>
      <c r="J50">
        <v>2</v>
      </c>
      <c r="K50">
        <v>4</v>
      </c>
      <c r="L50">
        <v>3</v>
      </c>
      <c r="S50">
        <v>24</v>
      </c>
    </row>
    <row r="51" spans="1:19">
      <c r="A51" t="s">
        <v>293</v>
      </c>
      <c r="B51" t="s">
        <v>1232</v>
      </c>
      <c r="C51" t="s">
        <v>230</v>
      </c>
      <c r="E51">
        <v>1</v>
      </c>
      <c r="F51">
        <v>1</v>
      </c>
      <c r="I51">
        <v>3</v>
      </c>
      <c r="J51">
        <v>1</v>
      </c>
      <c r="K51">
        <v>2</v>
      </c>
      <c r="O51">
        <v>3</v>
      </c>
      <c r="P51">
        <v>4</v>
      </c>
      <c r="Q51">
        <v>2</v>
      </c>
      <c r="S51">
        <v>17</v>
      </c>
    </row>
    <row r="52" spans="1:19">
      <c r="A52" t="s">
        <v>295</v>
      </c>
      <c r="B52" t="s">
        <v>884</v>
      </c>
      <c r="C52" t="s">
        <v>196</v>
      </c>
      <c r="E52">
        <v>8</v>
      </c>
      <c r="F52">
        <v>6</v>
      </c>
      <c r="G52">
        <v>16</v>
      </c>
      <c r="H52">
        <v>4</v>
      </c>
      <c r="I52">
        <v>6</v>
      </c>
      <c r="J52">
        <v>11</v>
      </c>
      <c r="K52">
        <v>8</v>
      </c>
      <c r="L52">
        <v>13</v>
      </c>
      <c r="M52">
        <v>10</v>
      </c>
      <c r="N52">
        <v>4</v>
      </c>
      <c r="O52">
        <v>12</v>
      </c>
      <c r="P52">
        <v>17</v>
      </c>
      <c r="Q52">
        <v>13</v>
      </c>
      <c r="R52">
        <v>23</v>
      </c>
      <c r="S52">
        <v>151</v>
      </c>
    </row>
    <row r="53" spans="1:19">
      <c r="A53" t="s">
        <v>297</v>
      </c>
      <c r="B53" t="s">
        <v>885</v>
      </c>
      <c r="C53" t="s">
        <v>227</v>
      </c>
      <c r="E53">
        <v>1</v>
      </c>
      <c r="F53">
        <v>0</v>
      </c>
      <c r="G53">
        <v>2</v>
      </c>
      <c r="H53">
        <v>2</v>
      </c>
      <c r="I53">
        <v>4</v>
      </c>
      <c r="J53">
        <v>5</v>
      </c>
      <c r="K53">
        <v>4</v>
      </c>
      <c r="L53">
        <v>4</v>
      </c>
      <c r="M53">
        <v>1</v>
      </c>
      <c r="N53">
        <v>2</v>
      </c>
      <c r="O53">
        <v>3</v>
      </c>
      <c r="P53">
        <v>2</v>
      </c>
      <c r="Q53">
        <v>2</v>
      </c>
      <c r="S53">
        <v>32</v>
      </c>
    </row>
    <row r="54" spans="1:19">
      <c r="A54" t="s">
        <v>299</v>
      </c>
      <c r="B54" t="s">
        <v>886</v>
      </c>
      <c r="C54" t="s">
        <v>193</v>
      </c>
      <c r="F54">
        <v>3</v>
      </c>
      <c r="H54">
        <v>2</v>
      </c>
      <c r="J54">
        <v>1</v>
      </c>
      <c r="K54">
        <v>3</v>
      </c>
      <c r="L54">
        <v>3</v>
      </c>
      <c r="M54">
        <v>1</v>
      </c>
      <c r="N54">
        <v>1</v>
      </c>
      <c r="O54">
        <v>1</v>
      </c>
      <c r="P54">
        <v>3</v>
      </c>
      <c r="Q54">
        <v>4</v>
      </c>
      <c r="S54">
        <v>22</v>
      </c>
    </row>
    <row r="55" spans="1:19">
      <c r="A55" t="s">
        <v>301</v>
      </c>
      <c r="B55" t="s">
        <v>887</v>
      </c>
      <c r="C55" t="s">
        <v>193</v>
      </c>
      <c r="F55">
        <v>1</v>
      </c>
      <c r="G55">
        <v>2</v>
      </c>
      <c r="I55">
        <v>3</v>
      </c>
      <c r="J55">
        <v>2</v>
      </c>
      <c r="K55">
        <v>4</v>
      </c>
      <c r="L55">
        <v>6</v>
      </c>
      <c r="M55">
        <v>1</v>
      </c>
      <c r="N55">
        <v>5</v>
      </c>
      <c r="O55">
        <v>3</v>
      </c>
      <c r="P55">
        <v>1</v>
      </c>
      <c r="Q55">
        <v>1</v>
      </c>
      <c r="R55">
        <v>2</v>
      </c>
      <c r="S55">
        <v>31</v>
      </c>
    </row>
    <row r="56" spans="1:19">
      <c r="A56" t="s">
        <v>303</v>
      </c>
      <c r="B56" t="s">
        <v>888</v>
      </c>
      <c r="C56" t="s">
        <v>193</v>
      </c>
      <c r="E56">
        <v>2</v>
      </c>
      <c r="F56">
        <v>2</v>
      </c>
      <c r="G56">
        <v>2</v>
      </c>
      <c r="H56">
        <v>3</v>
      </c>
      <c r="I56">
        <v>6</v>
      </c>
      <c r="J56">
        <v>4</v>
      </c>
      <c r="K56">
        <v>2</v>
      </c>
      <c r="L56">
        <v>4</v>
      </c>
      <c r="M56">
        <v>2</v>
      </c>
      <c r="N56">
        <v>4</v>
      </c>
      <c r="O56">
        <v>7</v>
      </c>
      <c r="P56">
        <v>2</v>
      </c>
      <c r="Q56">
        <v>6</v>
      </c>
      <c r="R56">
        <v>5</v>
      </c>
      <c r="S56">
        <v>51</v>
      </c>
    </row>
    <row r="57" spans="1:19">
      <c r="A57" t="s">
        <v>305</v>
      </c>
      <c r="B57" t="s">
        <v>1137</v>
      </c>
      <c r="C57" t="s">
        <v>220</v>
      </c>
      <c r="E57">
        <v>1</v>
      </c>
      <c r="F57">
        <v>0</v>
      </c>
      <c r="G57">
        <v>2</v>
      </c>
      <c r="K57">
        <v>1</v>
      </c>
      <c r="S57">
        <v>4</v>
      </c>
    </row>
    <row r="58" spans="1:19">
      <c r="A58" t="s">
        <v>307</v>
      </c>
      <c r="B58" t="s">
        <v>891</v>
      </c>
      <c r="C58" t="s">
        <v>196</v>
      </c>
      <c r="E58">
        <v>3</v>
      </c>
      <c r="F58">
        <v>4</v>
      </c>
      <c r="G58">
        <v>3</v>
      </c>
      <c r="H58">
        <v>5</v>
      </c>
      <c r="I58">
        <v>10</v>
      </c>
      <c r="J58">
        <v>4</v>
      </c>
      <c r="K58">
        <v>3</v>
      </c>
      <c r="L58">
        <v>9</v>
      </c>
      <c r="M58">
        <v>2</v>
      </c>
      <c r="N58">
        <v>8</v>
      </c>
      <c r="O58">
        <v>4</v>
      </c>
      <c r="P58">
        <v>6</v>
      </c>
      <c r="Q58">
        <v>6</v>
      </c>
      <c r="R58">
        <v>9</v>
      </c>
      <c r="S58">
        <v>76</v>
      </c>
    </row>
    <row r="59" spans="1:19">
      <c r="A59" t="s">
        <v>309</v>
      </c>
      <c r="B59" t="s">
        <v>892</v>
      </c>
      <c r="C59" t="s">
        <v>193</v>
      </c>
      <c r="E59">
        <v>5</v>
      </c>
      <c r="F59">
        <v>5</v>
      </c>
      <c r="G59">
        <v>2</v>
      </c>
      <c r="H59">
        <v>7</v>
      </c>
      <c r="I59">
        <v>13</v>
      </c>
      <c r="J59">
        <v>5</v>
      </c>
      <c r="K59">
        <v>2</v>
      </c>
      <c r="L59">
        <v>4</v>
      </c>
      <c r="M59">
        <v>7</v>
      </c>
      <c r="N59">
        <v>4</v>
      </c>
      <c r="O59">
        <v>7</v>
      </c>
      <c r="P59">
        <v>5</v>
      </c>
      <c r="Q59">
        <v>6</v>
      </c>
      <c r="R59">
        <v>5</v>
      </c>
      <c r="S59">
        <v>77</v>
      </c>
    </row>
    <row r="60" spans="1:19">
      <c r="A60" t="s">
        <v>311</v>
      </c>
      <c r="B60" t="s">
        <v>893</v>
      </c>
      <c r="C60" t="s">
        <v>201</v>
      </c>
      <c r="D60" t="s">
        <v>818</v>
      </c>
      <c r="E60">
        <v>3</v>
      </c>
      <c r="F60">
        <v>5</v>
      </c>
      <c r="G60">
        <v>3</v>
      </c>
      <c r="H60">
        <v>6</v>
      </c>
      <c r="I60">
        <v>7</v>
      </c>
      <c r="J60">
        <v>2</v>
      </c>
      <c r="K60">
        <v>5</v>
      </c>
      <c r="L60">
        <v>2</v>
      </c>
      <c r="M60">
        <v>1</v>
      </c>
      <c r="N60">
        <v>2</v>
      </c>
      <c r="O60">
        <v>2</v>
      </c>
      <c r="P60">
        <v>5</v>
      </c>
      <c r="Q60">
        <v>2</v>
      </c>
      <c r="R60">
        <v>6</v>
      </c>
      <c r="S60">
        <v>51</v>
      </c>
    </row>
    <row r="61" spans="1:19">
      <c r="A61" t="s">
        <v>313</v>
      </c>
      <c r="B61" t="s">
        <v>894</v>
      </c>
      <c r="C61" t="s">
        <v>193</v>
      </c>
      <c r="E61">
        <v>16</v>
      </c>
      <c r="F61">
        <v>21</v>
      </c>
      <c r="G61">
        <v>20</v>
      </c>
      <c r="H61">
        <v>26</v>
      </c>
      <c r="I61">
        <v>26</v>
      </c>
      <c r="J61">
        <v>24</v>
      </c>
      <c r="K61">
        <v>18</v>
      </c>
      <c r="L61">
        <v>17</v>
      </c>
      <c r="M61">
        <v>24</v>
      </c>
      <c r="N61">
        <v>16</v>
      </c>
      <c r="O61">
        <v>22</v>
      </c>
      <c r="P61">
        <v>22</v>
      </c>
      <c r="Q61">
        <v>21</v>
      </c>
      <c r="R61">
        <v>27</v>
      </c>
      <c r="S61">
        <v>300</v>
      </c>
    </row>
    <row r="62" spans="1:19">
      <c r="A62" t="s">
        <v>315</v>
      </c>
      <c r="B62" t="s">
        <v>895</v>
      </c>
      <c r="C62" t="s">
        <v>204</v>
      </c>
      <c r="E62">
        <v>18</v>
      </c>
      <c r="F62">
        <v>18</v>
      </c>
      <c r="G62">
        <v>14</v>
      </c>
      <c r="H62">
        <v>12</v>
      </c>
      <c r="I62">
        <v>15</v>
      </c>
      <c r="J62">
        <v>14</v>
      </c>
      <c r="K62">
        <v>21</v>
      </c>
      <c r="L62">
        <v>21</v>
      </c>
      <c r="M62">
        <v>18</v>
      </c>
      <c r="N62">
        <v>23</v>
      </c>
      <c r="S62">
        <v>174</v>
      </c>
    </row>
    <row r="63" spans="1:19">
      <c r="A63" t="s">
        <v>317</v>
      </c>
      <c r="B63" t="s">
        <v>896</v>
      </c>
      <c r="C63" t="s">
        <v>201</v>
      </c>
      <c r="D63" t="s">
        <v>818</v>
      </c>
      <c r="F63">
        <v>0</v>
      </c>
      <c r="I63">
        <v>1</v>
      </c>
      <c r="J63">
        <v>1</v>
      </c>
      <c r="S63">
        <v>2</v>
      </c>
    </row>
    <row r="64" spans="1:19">
      <c r="A64" t="s">
        <v>319</v>
      </c>
      <c r="B64" t="s">
        <v>1246</v>
      </c>
      <c r="C64" t="s">
        <v>193</v>
      </c>
      <c r="E64">
        <v>51</v>
      </c>
      <c r="F64">
        <v>31</v>
      </c>
      <c r="G64">
        <v>27</v>
      </c>
      <c r="H64">
        <v>43</v>
      </c>
      <c r="I64">
        <v>43</v>
      </c>
      <c r="J64">
        <v>48</v>
      </c>
      <c r="K64">
        <v>39</v>
      </c>
      <c r="L64">
        <v>37</v>
      </c>
      <c r="M64">
        <v>40</v>
      </c>
      <c r="N64">
        <v>48</v>
      </c>
      <c r="O64">
        <v>43</v>
      </c>
      <c r="P64">
        <v>35</v>
      </c>
      <c r="Q64">
        <v>43</v>
      </c>
      <c r="R64">
        <v>53</v>
      </c>
      <c r="S64">
        <v>581</v>
      </c>
    </row>
    <row r="65" spans="1:19">
      <c r="A65" t="s">
        <v>321</v>
      </c>
      <c r="B65" t="s">
        <v>1258</v>
      </c>
      <c r="C65" t="s">
        <v>220</v>
      </c>
      <c r="E65">
        <v>33</v>
      </c>
      <c r="F65">
        <v>17</v>
      </c>
      <c r="G65">
        <v>24</v>
      </c>
      <c r="H65">
        <v>34</v>
      </c>
      <c r="I65">
        <v>36</v>
      </c>
      <c r="J65">
        <v>34</v>
      </c>
      <c r="K65">
        <v>30</v>
      </c>
      <c r="L65">
        <v>34</v>
      </c>
      <c r="M65">
        <v>36</v>
      </c>
      <c r="N65">
        <v>32</v>
      </c>
      <c r="O65">
        <v>22</v>
      </c>
      <c r="P65">
        <v>22</v>
      </c>
      <c r="Q65">
        <v>29</v>
      </c>
      <c r="R65">
        <v>27</v>
      </c>
      <c r="S65">
        <v>410</v>
      </c>
    </row>
    <row r="66" spans="1:19">
      <c r="A66" t="s">
        <v>323</v>
      </c>
      <c r="B66" t="s">
        <v>899</v>
      </c>
      <c r="C66" t="s">
        <v>230</v>
      </c>
      <c r="E66">
        <v>52</v>
      </c>
      <c r="F66">
        <v>53</v>
      </c>
      <c r="G66">
        <v>39</v>
      </c>
      <c r="H66">
        <v>50</v>
      </c>
      <c r="I66">
        <v>47</v>
      </c>
      <c r="J66">
        <v>52</v>
      </c>
      <c r="K66">
        <v>56</v>
      </c>
      <c r="L66">
        <v>49</v>
      </c>
      <c r="M66">
        <v>42</v>
      </c>
      <c r="N66">
        <v>51</v>
      </c>
      <c r="O66">
        <v>62</v>
      </c>
      <c r="P66">
        <v>49</v>
      </c>
      <c r="Q66">
        <v>40</v>
      </c>
      <c r="R66">
        <v>68</v>
      </c>
      <c r="S66">
        <v>710</v>
      </c>
    </row>
    <row r="67" spans="1:19">
      <c r="A67" t="s">
        <v>325</v>
      </c>
      <c r="B67" t="s">
        <v>900</v>
      </c>
      <c r="C67" t="s">
        <v>220</v>
      </c>
      <c r="E67">
        <v>2</v>
      </c>
      <c r="F67">
        <v>0</v>
      </c>
      <c r="J67">
        <v>2</v>
      </c>
      <c r="L67">
        <v>1</v>
      </c>
      <c r="M67">
        <v>1</v>
      </c>
      <c r="N67">
        <v>1</v>
      </c>
      <c r="P67">
        <v>1</v>
      </c>
      <c r="Q67">
        <v>1</v>
      </c>
      <c r="R67">
        <v>1</v>
      </c>
      <c r="S67">
        <v>10</v>
      </c>
    </row>
    <row r="68" spans="1:19">
      <c r="A68" t="s">
        <v>327</v>
      </c>
      <c r="B68" t="s">
        <v>901</v>
      </c>
      <c r="C68" t="s">
        <v>204</v>
      </c>
      <c r="E68">
        <v>22</v>
      </c>
      <c r="F68">
        <v>14</v>
      </c>
      <c r="G68">
        <v>15</v>
      </c>
      <c r="H68">
        <v>11</v>
      </c>
      <c r="I68">
        <v>21</v>
      </c>
      <c r="J68">
        <v>22</v>
      </c>
      <c r="K68">
        <v>17</v>
      </c>
      <c r="L68">
        <v>15</v>
      </c>
      <c r="M68">
        <v>16</v>
      </c>
      <c r="N68">
        <v>16</v>
      </c>
      <c r="O68">
        <v>18</v>
      </c>
      <c r="P68">
        <v>15</v>
      </c>
      <c r="Q68">
        <v>13</v>
      </c>
      <c r="R68">
        <v>17</v>
      </c>
      <c r="S68">
        <v>232</v>
      </c>
    </row>
    <row r="69" spans="1:19">
      <c r="A69" t="s">
        <v>329</v>
      </c>
      <c r="B69" t="s">
        <v>902</v>
      </c>
      <c r="C69" t="s">
        <v>196</v>
      </c>
      <c r="E69">
        <v>229</v>
      </c>
      <c r="F69">
        <v>151</v>
      </c>
      <c r="G69">
        <v>165</v>
      </c>
      <c r="H69">
        <v>162</v>
      </c>
      <c r="I69">
        <v>232</v>
      </c>
      <c r="J69">
        <v>237</v>
      </c>
      <c r="K69">
        <v>223</v>
      </c>
      <c r="L69">
        <v>225</v>
      </c>
      <c r="M69">
        <v>243</v>
      </c>
      <c r="N69">
        <v>237</v>
      </c>
      <c r="O69">
        <v>209</v>
      </c>
      <c r="P69">
        <v>203</v>
      </c>
      <c r="Q69">
        <v>194</v>
      </c>
      <c r="R69">
        <v>269</v>
      </c>
      <c r="S69">
        <v>2979</v>
      </c>
    </row>
    <row r="70" spans="1:19">
      <c r="A70" t="s">
        <v>331</v>
      </c>
      <c r="B70" t="s">
        <v>903</v>
      </c>
      <c r="C70" t="s">
        <v>220</v>
      </c>
      <c r="E70">
        <v>22</v>
      </c>
      <c r="F70">
        <v>30</v>
      </c>
      <c r="G70">
        <v>29</v>
      </c>
      <c r="H70">
        <v>30</v>
      </c>
      <c r="I70">
        <v>23</v>
      </c>
      <c r="J70">
        <v>35</v>
      </c>
      <c r="K70">
        <v>35</v>
      </c>
      <c r="L70">
        <v>34</v>
      </c>
      <c r="M70">
        <v>33</v>
      </c>
      <c r="N70">
        <v>28</v>
      </c>
      <c r="O70">
        <v>24</v>
      </c>
      <c r="P70">
        <v>33</v>
      </c>
      <c r="Q70">
        <v>18</v>
      </c>
      <c r="R70">
        <v>29</v>
      </c>
      <c r="S70">
        <v>403</v>
      </c>
    </row>
    <row r="71" spans="1:19">
      <c r="A71" t="s">
        <v>333</v>
      </c>
      <c r="B71" t="s">
        <v>904</v>
      </c>
      <c r="C71" t="s">
        <v>188</v>
      </c>
      <c r="E71">
        <v>14</v>
      </c>
      <c r="F71">
        <v>20</v>
      </c>
      <c r="G71">
        <v>21</v>
      </c>
      <c r="H71">
        <v>20</v>
      </c>
      <c r="I71">
        <v>16</v>
      </c>
      <c r="J71">
        <v>17</v>
      </c>
      <c r="K71">
        <v>11</v>
      </c>
      <c r="L71">
        <v>18</v>
      </c>
      <c r="M71">
        <v>17</v>
      </c>
      <c r="N71">
        <v>19</v>
      </c>
      <c r="O71">
        <v>18</v>
      </c>
      <c r="P71">
        <v>26</v>
      </c>
      <c r="Q71">
        <v>36</v>
      </c>
      <c r="R71">
        <v>30</v>
      </c>
      <c r="S71">
        <v>283</v>
      </c>
    </row>
    <row r="72" spans="1:19">
      <c r="A72" t="s">
        <v>335</v>
      </c>
      <c r="B72" t="s">
        <v>905</v>
      </c>
      <c r="C72" t="s">
        <v>193</v>
      </c>
      <c r="E72">
        <v>1</v>
      </c>
      <c r="F72">
        <v>0</v>
      </c>
      <c r="G72">
        <v>4</v>
      </c>
      <c r="H72">
        <v>1</v>
      </c>
      <c r="I72">
        <v>1</v>
      </c>
      <c r="J72">
        <v>1</v>
      </c>
      <c r="L72">
        <v>2</v>
      </c>
      <c r="M72">
        <v>3</v>
      </c>
      <c r="N72">
        <v>1</v>
      </c>
      <c r="S72">
        <v>14</v>
      </c>
    </row>
    <row r="73" spans="1:19">
      <c r="A73" t="s">
        <v>337</v>
      </c>
      <c r="B73" t="s">
        <v>906</v>
      </c>
      <c r="C73" t="s">
        <v>230</v>
      </c>
      <c r="E73">
        <v>2</v>
      </c>
      <c r="F73">
        <v>4</v>
      </c>
      <c r="G73">
        <v>2</v>
      </c>
      <c r="H73">
        <v>4</v>
      </c>
      <c r="I73">
        <v>4</v>
      </c>
      <c r="K73">
        <v>4</v>
      </c>
      <c r="L73">
        <v>2</v>
      </c>
      <c r="M73">
        <v>5</v>
      </c>
      <c r="N73">
        <v>3</v>
      </c>
      <c r="O73">
        <v>1</v>
      </c>
      <c r="P73">
        <v>2</v>
      </c>
      <c r="R73">
        <v>4</v>
      </c>
      <c r="S73">
        <v>37</v>
      </c>
    </row>
    <row r="74" spans="1:19">
      <c r="A74" t="s">
        <v>339</v>
      </c>
      <c r="B74" t="s">
        <v>907</v>
      </c>
      <c r="C74" t="s">
        <v>204</v>
      </c>
      <c r="E74">
        <v>60</v>
      </c>
      <c r="F74">
        <v>40</v>
      </c>
      <c r="G74">
        <v>35</v>
      </c>
      <c r="H74">
        <v>44</v>
      </c>
      <c r="I74">
        <v>48</v>
      </c>
      <c r="J74">
        <v>49</v>
      </c>
      <c r="K74">
        <v>41</v>
      </c>
      <c r="L74">
        <v>45</v>
      </c>
      <c r="M74">
        <v>50</v>
      </c>
      <c r="N74">
        <v>52</v>
      </c>
      <c r="O74">
        <v>39</v>
      </c>
      <c r="P74">
        <v>44</v>
      </c>
      <c r="Q74">
        <v>53</v>
      </c>
      <c r="R74">
        <v>56</v>
      </c>
      <c r="S74">
        <v>656</v>
      </c>
    </row>
    <row r="75" spans="1:19">
      <c r="A75" t="s">
        <v>341</v>
      </c>
      <c r="B75" t="s">
        <v>908</v>
      </c>
      <c r="C75" t="s">
        <v>230</v>
      </c>
      <c r="E75">
        <v>21</v>
      </c>
      <c r="F75">
        <v>22</v>
      </c>
      <c r="G75">
        <v>35</v>
      </c>
      <c r="H75">
        <v>26</v>
      </c>
      <c r="I75">
        <v>36</v>
      </c>
      <c r="J75">
        <v>30</v>
      </c>
      <c r="K75">
        <v>21</v>
      </c>
      <c r="L75">
        <v>28</v>
      </c>
      <c r="M75">
        <v>28</v>
      </c>
      <c r="N75">
        <v>13</v>
      </c>
      <c r="O75">
        <v>17</v>
      </c>
      <c r="P75">
        <v>22</v>
      </c>
      <c r="Q75">
        <v>18</v>
      </c>
      <c r="R75">
        <v>40</v>
      </c>
      <c r="S75">
        <v>357</v>
      </c>
    </row>
    <row r="76" spans="1:19">
      <c r="A76" t="s">
        <v>343</v>
      </c>
      <c r="B76" t="s">
        <v>1138</v>
      </c>
      <c r="C76" t="s">
        <v>188</v>
      </c>
      <c r="E76">
        <v>1</v>
      </c>
      <c r="F76">
        <v>1</v>
      </c>
      <c r="G76">
        <v>1</v>
      </c>
      <c r="J76">
        <v>1</v>
      </c>
      <c r="K76">
        <v>2</v>
      </c>
      <c r="L76">
        <v>2</v>
      </c>
      <c r="S76">
        <v>8</v>
      </c>
    </row>
    <row r="77" spans="1:19">
      <c r="A77" t="s">
        <v>345</v>
      </c>
      <c r="B77" t="s">
        <v>909</v>
      </c>
      <c r="C77" t="s">
        <v>196</v>
      </c>
      <c r="E77">
        <v>178</v>
      </c>
      <c r="F77">
        <v>139</v>
      </c>
      <c r="G77">
        <v>160</v>
      </c>
      <c r="H77">
        <v>204</v>
      </c>
      <c r="I77">
        <v>205</v>
      </c>
      <c r="J77">
        <v>198</v>
      </c>
      <c r="K77">
        <v>214</v>
      </c>
      <c r="L77">
        <v>175</v>
      </c>
      <c r="M77">
        <v>206</v>
      </c>
      <c r="N77">
        <v>205</v>
      </c>
      <c r="O77">
        <v>153</v>
      </c>
      <c r="P77">
        <v>176</v>
      </c>
      <c r="Q77">
        <v>147</v>
      </c>
      <c r="R77">
        <v>213</v>
      </c>
      <c r="S77">
        <v>2573</v>
      </c>
    </row>
    <row r="78" spans="1:19">
      <c r="A78" t="s">
        <v>347</v>
      </c>
      <c r="B78" t="s">
        <v>1231</v>
      </c>
      <c r="C78" t="s">
        <v>209</v>
      </c>
      <c r="E78">
        <v>156</v>
      </c>
      <c r="F78">
        <v>151</v>
      </c>
      <c r="G78">
        <v>181</v>
      </c>
      <c r="H78">
        <v>236</v>
      </c>
      <c r="I78">
        <v>239</v>
      </c>
      <c r="J78">
        <v>233</v>
      </c>
      <c r="K78">
        <v>241</v>
      </c>
      <c r="L78">
        <v>271</v>
      </c>
      <c r="M78">
        <v>294</v>
      </c>
      <c r="N78">
        <v>221</v>
      </c>
      <c r="O78">
        <v>258</v>
      </c>
      <c r="P78">
        <v>240</v>
      </c>
      <c r="Q78">
        <v>228</v>
      </c>
      <c r="R78">
        <v>306</v>
      </c>
      <c r="S78">
        <v>3255</v>
      </c>
    </row>
    <row r="79" spans="1:19">
      <c r="A79" t="s">
        <v>349</v>
      </c>
      <c r="B79" t="s">
        <v>1251</v>
      </c>
      <c r="C79" t="s">
        <v>193</v>
      </c>
      <c r="F79">
        <v>0</v>
      </c>
      <c r="H79">
        <v>1</v>
      </c>
      <c r="S79">
        <v>1</v>
      </c>
    </row>
    <row r="80" spans="1:19">
      <c r="A80" t="s">
        <v>351</v>
      </c>
      <c r="B80" t="s">
        <v>912</v>
      </c>
      <c r="C80" t="s">
        <v>204</v>
      </c>
      <c r="E80">
        <v>222</v>
      </c>
      <c r="F80">
        <v>157</v>
      </c>
      <c r="G80">
        <v>161</v>
      </c>
      <c r="H80">
        <v>153</v>
      </c>
      <c r="I80">
        <v>176</v>
      </c>
      <c r="J80">
        <v>209</v>
      </c>
      <c r="K80">
        <v>210</v>
      </c>
      <c r="L80">
        <v>213</v>
      </c>
      <c r="M80">
        <v>236</v>
      </c>
      <c r="N80">
        <v>253</v>
      </c>
      <c r="O80">
        <v>205</v>
      </c>
      <c r="P80">
        <v>219</v>
      </c>
      <c r="Q80">
        <v>190</v>
      </c>
      <c r="R80">
        <v>286</v>
      </c>
      <c r="S80">
        <v>2890</v>
      </c>
    </row>
    <row r="81" spans="1:19">
      <c r="A81" t="s">
        <v>353</v>
      </c>
      <c r="B81" t="s">
        <v>913</v>
      </c>
      <c r="C81" t="s">
        <v>196</v>
      </c>
      <c r="E81">
        <v>41</v>
      </c>
      <c r="F81">
        <v>43</v>
      </c>
      <c r="G81">
        <v>33</v>
      </c>
      <c r="H81">
        <v>36</v>
      </c>
      <c r="I81">
        <v>52</v>
      </c>
      <c r="J81">
        <v>51</v>
      </c>
      <c r="K81">
        <v>54</v>
      </c>
      <c r="L81">
        <v>46</v>
      </c>
      <c r="M81">
        <v>56</v>
      </c>
      <c r="N81">
        <v>44</v>
      </c>
      <c r="O81">
        <v>56</v>
      </c>
      <c r="P81">
        <v>41</v>
      </c>
      <c r="Q81">
        <v>51</v>
      </c>
      <c r="R81">
        <v>54</v>
      </c>
      <c r="S81">
        <v>658</v>
      </c>
    </row>
    <row r="82" spans="1:19">
      <c r="A82" t="s">
        <v>355</v>
      </c>
      <c r="B82" t="s">
        <v>914</v>
      </c>
      <c r="C82" t="s">
        <v>204</v>
      </c>
      <c r="E82">
        <v>38</v>
      </c>
      <c r="F82">
        <v>27</v>
      </c>
      <c r="G82">
        <v>23</v>
      </c>
      <c r="H82">
        <v>39</v>
      </c>
      <c r="I82">
        <v>20</v>
      </c>
      <c r="J82">
        <v>28</v>
      </c>
      <c r="K82">
        <v>42</v>
      </c>
      <c r="L82">
        <v>24</v>
      </c>
      <c r="M82">
        <v>33</v>
      </c>
      <c r="N82">
        <v>37</v>
      </c>
      <c r="O82">
        <v>41</v>
      </c>
      <c r="P82">
        <v>27</v>
      </c>
      <c r="Q82">
        <v>21</v>
      </c>
      <c r="R82">
        <v>25</v>
      </c>
      <c r="S82">
        <v>425</v>
      </c>
    </row>
    <row r="83" spans="1:19">
      <c r="A83" t="s">
        <v>357</v>
      </c>
      <c r="B83" t="s">
        <v>915</v>
      </c>
      <c r="C83" t="s">
        <v>201</v>
      </c>
      <c r="E83">
        <v>12</v>
      </c>
      <c r="F83">
        <v>5</v>
      </c>
      <c r="G83">
        <v>3</v>
      </c>
      <c r="H83">
        <v>5</v>
      </c>
      <c r="I83">
        <v>3</v>
      </c>
      <c r="J83">
        <v>6</v>
      </c>
      <c r="K83">
        <v>10</v>
      </c>
      <c r="L83">
        <v>4</v>
      </c>
      <c r="M83">
        <v>5</v>
      </c>
      <c r="N83">
        <v>13</v>
      </c>
      <c r="O83">
        <v>7</v>
      </c>
      <c r="P83">
        <v>9</v>
      </c>
      <c r="Q83">
        <v>13</v>
      </c>
      <c r="R83">
        <v>18</v>
      </c>
      <c r="S83">
        <v>113</v>
      </c>
    </row>
    <row r="84" spans="1:19">
      <c r="A84" t="s">
        <v>359</v>
      </c>
      <c r="B84" t="s">
        <v>916</v>
      </c>
      <c r="C84" t="s">
        <v>204</v>
      </c>
      <c r="E84">
        <v>75</v>
      </c>
      <c r="F84">
        <v>59</v>
      </c>
      <c r="G84">
        <v>72</v>
      </c>
      <c r="H84">
        <v>64</v>
      </c>
      <c r="I84">
        <v>87</v>
      </c>
      <c r="J84">
        <v>77</v>
      </c>
      <c r="K84">
        <v>70</v>
      </c>
      <c r="L84">
        <v>72</v>
      </c>
      <c r="M84">
        <v>74</v>
      </c>
      <c r="N84">
        <v>67</v>
      </c>
      <c r="O84">
        <v>69</v>
      </c>
      <c r="P84">
        <v>81</v>
      </c>
      <c r="Q84">
        <v>68</v>
      </c>
      <c r="R84">
        <v>81</v>
      </c>
      <c r="S84">
        <v>1016</v>
      </c>
    </row>
    <row r="85" spans="1:19">
      <c r="A85" t="s">
        <v>361</v>
      </c>
      <c r="B85" t="s">
        <v>917</v>
      </c>
      <c r="C85" t="s">
        <v>193</v>
      </c>
      <c r="E85">
        <v>7</v>
      </c>
      <c r="F85">
        <v>8</v>
      </c>
      <c r="G85">
        <v>3</v>
      </c>
      <c r="H85">
        <v>6</v>
      </c>
      <c r="I85">
        <v>8</v>
      </c>
      <c r="J85">
        <v>17</v>
      </c>
      <c r="K85">
        <v>8</v>
      </c>
      <c r="L85">
        <v>9</v>
      </c>
      <c r="M85">
        <v>9</v>
      </c>
      <c r="N85">
        <v>5</v>
      </c>
      <c r="O85">
        <v>12</v>
      </c>
      <c r="P85">
        <v>8</v>
      </c>
      <c r="Q85">
        <v>6</v>
      </c>
      <c r="R85">
        <v>7</v>
      </c>
      <c r="S85">
        <v>113</v>
      </c>
    </row>
    <row r="86" spans="1:19">
      <c r="A86" t="s">
        <v>363</v>
      </c>
      <c r="B86" t="s">
        <v>918</v>
      </c>
      <c r="C86" t="s">
        <v>193</v>
      </c>
      <c r="E86">
        <v>1</v>
      </c>
      <c r="F86">
        <v>1</v>
      </c>
      <c r="G86">
        <v>2</v>
      </c>
      <c r="H86">
        <v>2</v>
      </c>
      <c r="J86">
        <v>2</v>
      </c>
      <c r="K86">
        <v>1</v>
      </c>
      <c r="L86">
        <v>1</v>
      </c>
      <c r="O86">
        <v>2</v>
      </c>
      <c r="Q86">
        <v>1</v>
      </c>
      <c r="R86">
        <v>1</v>
      </c>
      <c r="S86">
        <v>14</v>
      </c>
    </row>
    <row r="87" spans="1:19">
      <c r="A87" t="s">
        <v>365</v>
      </c>
      <c r="B87" t="s">
        <v>919</v>
      </c>
      <c r="C87" t="s">
        <v>209</v>
      </c>
      <c r="D87" t="s">
        <v>818</v>
      </c>
      <c r="F87">
        <v>1</v>
      </c>
      <c r="G87">
        <v>1</v>
      </c>
      <c r="H87">
        <v>1</v>
      </c>
      <c r="I87">
        <v>2</v>
      </c>
      <c r="K87">
        <v>1</v>
      </c>
      <c r="L87">
        <v>1</v>
      </c>
      <c r="O87">
        <v>4</v>
      </c>
      <c r="Q87">
        <v>1</v>
      </c>
      <c r="S87">
        <v>12</v>
      </c>
    </row>
    <row r="88" spans="1:19">
      <c r="A88" t="s">
        <v>367</v>
      </c>
      <c r="B88" t="s">
        <v>920</v>
      </c>
      <c r="C88" t="s">
        <v>220</v>
      </c>
      <c r="D88" t="s">
        <v>818</v>
      </c>
      <c r="E88">
        <v>6</v>
      </c>
      <c r="F88">
        <v>8</v>
      </c>
      <c r="G88">
        <v>16</v>
      </c>
      <c r="H88">
        <v>16</v>
      </c>
      <c r="I88">
        <v>17</v>
      </c>
      <c r="J88">
        <v>23</v>
      </c>
      <c r="K88">
        <v>26</v>
      </c>
      <c r="L88">
        <v>24</v>
      </c>
      <c r="M88">
        <v>31</v>
      </c>
      <c r="N88">
        <v>26</v>
      </c>
      <c r="O88">
        <v>38</v>
      </c>
      <c r="P88">
        <v>40</v>
      </c>
      <c r="Q88">
        <v>20</v>
      </c>
      <c r="R88">
        <v>19</v>
      </c>
      <c r="S88">
        <v>310</v>
      </c>
    </row>
    <row r="89" spans="1:19">
      <c r="A89" t="s">
        <v>369</v>
      </c>
      <c r="B89" t="s">
        <v>921</v>
      </c>
      <c r="C89" t="s">
        <v>230</v>
      </c>
      <c r="E89">
        <v>2</v>
      </c>
      <c r="F89">
        <v>4</v>
      </c>
      <c r="G89">
        <v>6</v>
      </c>
      <c r="H89">
        <v>5</v>
      </c>
      <c r="I89">
        <v>14</v>
      </c>
      <c r="J89">
        <v>5</v>
      </c>
      <c r="K89">
        <v>9</v>
      </c>
      <c r="L89">
        <v>4</v>
      </c>
      <c r="M89">
        <v>13</v>
      </c>
      <c r="N89">
        <v>9</v>
      </c>
      <c r="O89">
        <v>14</v>
      </c>
      <c r="P89">
        <v>11</v>
      </c>
      <c r="Q89">
        <v>5</v>
      </c>
      <c r="R89">
        <v>6</v>
      </c>
      <c r="S89">
        <v>107</v>
      </c>
    </row>
    <row r="90" spans="1:19">
      <c r="A90" t="s">
        <v>371</v>
      </c>
      <c r="B90" t="s">
        <v>922</v>
      </c>
      <c r="C90" t="s">
        <v>220</v>
      </c>
      <c r="E90">
        <v>21</v>
      </c>
      <c r="F90">
        <v>18</v>
      </c>
      <c r="G90">
        <v>31</v>
      </c>
      <c r="H90">
        <v>31</v>
      </c>
      <c r="I90">
        <v>30</v>
      </c>
      <c r="J90">
        <v>40</v>
      </c>
      <c r="K90">
        <v>59</v>
      </c>
      <c r="L90">
        <v>51</v>
      </c>
      <c r="M90">
        <v>48</v>
      </c>
      <c r="N90">
        <v>41</v>
      </c>
      <c r="O90">
        <v>44</v>
      </c>
      <c r="P90">
        <v>39</v>
      </c>
      <c r="Q90">
        <v>35</v>
      </c>
      <c r="R90">
        <v>40</v>
      </c>
      <c r="S90">
        <v>528</v>
      </c>
    </row>
    <row r="91" spans="1:19">
      <c r="A91" t="s">
        <v>373</v>
      </c>
      <c r="B91" t="s">
        <v>923</v>
      </c>
      <c r="C91" t="s">
        <v>220</v>
      </c>
      <c r="E91">
        <v>17</v>
      </c>
      <c r="F91">
        <v>8</v>
      </c>
      <c r="G91">
        <v>15</v>
      </c>
      <c r="H91">
        <v>23</v>
      </c>
      <c r="I91">
        <v>8</v>
      </c>
      <c r="J91">
        <v>12</v>
      </c>
      <c r="K91">
        <v>22</v>
      </c>
      <c r="L91">
        <v>11</v>
      </c>
      <c r="M91">
        <v>12</v>
      </c>
      <c r="N91">
        <v>22</v>
      </c>
      <c r="O91">
        <v>14</v>
      </c>
      <c r="P91">
        <v>16</v>
      </c>
      <c r="Q91">
        <v>14</v>
      </c>
      <c r="R91">
        <v>13</v>
      </c>
      <c r="S91">
        <v>207</v>
      </c>
    </row>
    <row r="92" spans="1:19">
      <c r="A92" t="s">
        <v>375</v>
      </c>
      <c r="B92" t="s">
        <v>924</v>
      </c>
      <c r="C92" t="s">
        <v>196</v>
      </c>
      <c r="E92">
        <v>34</v>
      </c>
      <c r="F92">
        <v>18</v>
      </c>
      <c r="G92">
        <v>18</v>
      </c>
      <c r="H92">
        <v>27</v>
      </c>
      <c r="I92">
        <v>31</v>
      </c>
      <c r="J92">
        <v>22</v>
      </c>
      <c r="K92">
        <v>27</v>
      </c>
      <c r="L92">
        <v>28</v>
      </c>
      <c r="M92">
        <v>25</v>
      </c>
      <c r="N92">
        <v>24</v>
      </c>
      <c r="O92">
        <v>21</v>
      </c>
      <c r="P92">
        <v>35</v>
      </c>
      <c r="Q92">
        <v>31</v>
      </c>
      <c r="R92">
        <v>50</v>
      </c>
      <c r="S92">
        <v>391</v>
      </c>
    </row>
    <row r="93" spans="1:19">
      <c r="A93" t="s">
        <v>377</v>
      </c>
      <c r="B93" t="s">
        <v>1139</v>
      </c>
      <c r="C93" t="s">
        <v>188</v>
      </c>
      <c r="F93">
        <v>1</v>
      </c>
      <c r="G93">
        <v>3</v>
      </c>
      <c r="H93">
        <v>4</v>
      </c>
      <c r="I93">
        <v>2</v>
      </c>
      <c r="J93">
        <v>4</v>
      </c>
      <c r="K93">
        <v>3</v>
      </c>
      <c r="L93">
        <v>3</v>
      </c>
      <c r="M93">
        <v>1</v>
      </c>
      <c r="N93">
        <v>3</v>
      </c>
      <c r="S93">
        <v>24</v>
      </c>
    </row>
    <row r="94" spans="1:19">
      <c r="A94" t="s">
        <v>379</v>
      </c>
      <c r="B94" t="s">
        <v>925</v>
      </c>
      <c r="C94" t="s">
        <v>193</v>
      </c>
      <c r="F94">
        <v>0</v>
      </c>
      <c r="J94">
        <v>1</v>
      </c>
      <c r="L94">
        <v>1</v>
      </c>
      <c r="S94">
        <v>2</v>
      </c>
    </row>
    <row r="95" spans="1:19">
      <c r="A95" t="s">
        <v>383</v>
      </c>
      <c r="B95" t="s">
        <v>926</v>
      </c>
      <c r="C95" t="s">
        <v>209</v>
      </c>
      <c r="D95" t="s">
        <v>818</v>
      </c>
      <c r="F95">
        <v>0</v>
      </c>
      <c r="G95">
        <v>1</v>
      </c>
      <c r="H95">
        <v>3</v>
      </c>
      <c r="K95">
        <v>3</v>
      </c>
      <c r="L95">
        <v>4</v>
      </c>
      <c r="M95">
        <v>4</v>
      </c>
      <c r="N95">
        <v>5</v>
      </c>
      <c r="S95">
        <v>20</v>
      </c>
    </row>
    <row r="96" spans="1:19">
      <c r="A96" t="s">
        <v>385</v>
      </c>
      <c r="B96" t="s">
        <v>927</v>
      </c>
      <c r="C96" t="s">
        <v>188</v>
      </c>
      <c r="E96">
        <v>11</v>
      </c>
      <c r="F96">
        <v>9</v>
      </c>
      <c r="G96">
        <v>12</v>
      </c>
      <c r="H96">
        <v>7</v>
      </c>
      <c r="I96">
        <v>9</v>
      </c>
      <c r="J96">
        <v>13</v>
      </c>
      <c r="K96">
        <v>3</v>
      </c>
      <c r="L96">
        <v>6</v>
      </c>
      <c r="M96">
        <v>6</v>
      </c>
      <c r="N96">
        <v>12</v>
      </c>
      <c r="S96">
        <v>88</v>
      </c>
    </row>
    <row r="97" spans="1:20">
      <c r="A97" t="s">
        <v>387</v>
      </c>
      <c r="B97" t="s">
        <v>928</v>
      </c>
      <c r="C97" t="s">
        <v>193</v>
      </c>
      <c r="F97">
        <v>1</v>
      </c>
      <c r="G97">
        <v>2</v>
      </c>
      <c r="H97">
        <v>2</v>
      </c>
      <c r="I97">
        <v>3</v>
      </c>
      <c r="J97">
        <v>1</v>
      </c>
      <c r="K97">
        <v>5</v>
      </c>
      <c r="L97">
        <v>1</v>
      </c>
      <c r="N97">
        <v>1</v>
      </c>
      <c r="O97">
        <v>2</v>
      </c>
      <c r="P97">
        <v>1</v>
      </c>
      <c r="Q97">
        <v>3</v>
      </c>
      <c r="R97">
        <v>1</v>
      </c>
      <c r="S97">
        <v>23</v>
      </c>
    </row>
    <row r="98" spans="1:20">
      <c r="A98" t="s">
        <v>389</v>
      </c>
      <c r="B98" t="s">
        <v>929</v>
      </c>
      <c r="C98" t="s">
        <v>220</v>
      </c>
      <c r="E98">
        <v>10</v>
      </c>
      <c r="F98">
        <v>12</v>
      </c>
      <c r="G98">
        <v>8</v>
      </c>
      <c r="H98">
        <v>4</v>
      </c>
      <c r="I98">
        <v>13</v>
      </c>
      <c r="J98">
        <v>5</v>
      </c>
      <c r="K98">
        <v>13</v>
      </c>
      <c r="L98">
        <v>16</v>
      </c>
      <c r="M98">
        <v>6</v>
      </c>
      <c r="N98">
        <v>10</v>
      </c>
      <c r="O98">
        <v>11</v>
      </c>
      <c r="P98">
        <v>8</v>
      </c>
      <c r="Q98">
        <v>11</v>
      </c>
      <c r="R98">
        <v>4</v>
      </c>
      <c r="S98">
        <v>131</v>
      </c>
    </row>
    <row r="99" spans="1:20">
      <c r="A99" t="s">
        <v>391</v>
      </c>
      <c r="B99" t="s">
        <v>930</v>
      </c>
      <c r="C99" t="s">
        <v>204</v>
      </c>
      <c r="E99">
        <v>165</v>
      </c>
      <c r="F99">
        <v>118</v>
      </c>
      <c r="G99">
        <v>136</v>
      </c>
      <c r="H99">
        <v>174</v>
      </c>
      <c r="I99">
        <v>184</v>
      </c>
      <c r="J99">
        <v>222</v>
      </c>
      <c r="K99">
        <v>227</v>
      </c>
      <c r="L99">
        <v>175</v>
      </c>
      <c r="M99">
        <v>218</v>
      </c>
      <c r="N99">
        <v>207</v>
      </c>
      <c r="O99">
        <v>199</v>
      </c>
      <c r="P99">
        <v>177</v>
      </c>
      <c r="Q99">
        <v>188</v>
      </c>
      <c r="R99">
        <v>284</v>
      </c>
      <c r="S99">
        <v>2674</v>
      </c>
    </row>
    <row r="100" spans="1:20">
      <c r="A100" t="s">
        <v>393</v>
      </c>
      <c r="B100" t="s">
        <v>931</v>
      </c>
      <c r="C100" t="s">
        <v>209</v>
      </c>
      <c r="E100">
        <v>13</v>
      </c>
      <c r="F100">
        <v>5</v>
      </c>
      <c r="G100">
        <v>9</v>
      </c>
      <c r="H100">
        <v>11</v>
      </c>
      <c r="I100">
        <v>24</v>
      </c>
      <c r="J100">
        <v>13</v>
      </c>
      <c r="K100">
        <v>12</v>
      </c>
      <c r="L100">
        <v>30</v>
      </c>
      <c r="M100">
        <v>13</v>
      </c>
      <c r="N100">
        <v>14</v>
      </c>
      <c r="O100">
        <v>7</v>
      </c>
      <c r="P100">
        <v>14</v>
      </c>
      <c r="Q100">
        <v>12</v>
      </c>
      <c r="R100">
        <v>11</v>
      </c>
      <c r="S100">
        <v>188</v>
      </c>
    </row>
    <row r="101" spans="1:20">
      <c r="A101" t="s">
        <v>395</v>
      </c>
      <c r="B101" t="s">
        <v>932</v>
      </c>
      <c r="C101" t="s">
        <v>188</v>
      </c>
      <c r="F101">
        <v>4</v>
      </c>
      <c r="G101">
        <v>2</v>
      </c>
      <c r="H101">
        <v>4</v>
      </c>
      <c r="I101">
        <v>3</v>
      </c>
      <c r="J101">
        <v>3</v>
      </c>
      <c r="K101">
        <v>4</v>
      </c>
      <c r="L101">
        <v>6</v>
      </c>
      <c r="M101">
        <v>5</v>
      </c>
      <c r="N101">
        <v>7</v>
      </c>
      <c r="S101">
        <v>38</v>
      </c>
    </row>
    <row r="102" spans="1:20">
      <c r="A102" t="s">
        <v>397</v>
      </c>
      <c r="B102" t="s">
        <v>933</v>
      </c>
      <c r="C102" t="s">
        <v>188</v>
      </c>
      <c r="E102">
        <v>10</v>
      </c>
      <c r="F102">
        <v>4</v>
      </c>
      <c r="G102">
        <v>11</v>
      </c>
      <c r="H102">
        <v>12</v>
      </c>
      <c r="I102">
        <v>11</v>
      </c>
      <c r="J102">
        <v>15</v>
      </c>
      <c r="K102">
        <v>23</v>
      </c>
      <c r="L102">
        <v>20</v>
      </c>
      <c r="M102">
        <v>25</v>
      </c>
      <c r="N102">
        <v>19</v>
      </c>
      <c r="O102">
        <v>27</v>
      </c>
      <c r="P102">
        <v>21</v>
      </c>
      <c r="Q102">
        <v>17</v>
      </c>
      <c r="R102">
        <v>20</v>
      </c>
      <c r="S102">
        <v>235</v>
      </c>
    </row>
    <row r="103" spans="1:20">
      <c r="A103" t="s">
        <v>1160</v>
      </c>
      <c r="B103" t="s">
        <v>1273</v>
      </c>
      <c r="C103" t="s">
        <v>204</v>
      </c>
      <c r="F103">
        <v>3</v>
      </c>
      <c r="G103">
        <v>6</v>
      </c>
      <c r="S103">
        <v>9</v>
      </c>
    </row>
    <row r="104" spans="1:20">
      <c r="A104" t="s">
        <v>399</v>
      </c>
      <c r="B104" t="s">
        <v>1274</v>
      </c>
      <c r="C104" t="s">
        <v>204</v>
      </c>
      <c r="F104">
        <v>2</v>
      </c>
      <c r="G104">
        <v>4</v>
      </c>
      <c r="H104">
        <v>4</v>
      </c>
      <c r="I104">
        <v>6</v>
      </c>
      <c r="J104">
        <v>5</v>
      </c>
      <c r="S104">
        <v>21</v>
      </c>
    </row>
    <row r="105" spans="1:20">
      <c r="A105" t="s">
        <v>400</v>
      </c>
      <c r="B105" t="s">
        <v>1275</v>
      </c>
      <c r="C105" t="s">
        <v>204</v>
      </c>
      <c r="F105">
        <v>2</v>
      </c>
      <c r="G105">
        <v>4</v>
      </c>
      <c r="H105">
        <v>2</v>
      </c>
      <c r="S105">
        <v>8</v>
      </c>
    </row>
    <row r="106" spans="1:20">
      <c r="A106" t="s">
        <v>402</v>
      </c>
      <c r="B106" t="s">
        <v>934</v>
      </c>
      <c r="C106" t="s">
        <v>193</v>
      </c>
      <c r="F106">
        <v>1</v>
      </c>
      <c r="G106">
        <v>3</v>
      </c>
      <c r="H106">
        <v>1</v>
      </c>
      <c r="I106">
        <v>1</v>
      </c>
      <c r="J106">
        <v>2</v>
      </c>
      <c r="K106">
        <v>5</v>
      </c>
      <c r="L106">
        <v>2</v>
      </c>
      <c r="M106">
        <v>2</v>
      </c>
      <c r="N106">
        <v>3</v>
      </c>
      <c r="O106">
        <v>2</v>
      </c>
      <c r="P106">
        <v>1</v>
      </c>
      <c r="Q106">
        <v>1</v>
      </c>
      <c r="R106">
        <v>1</v>
      </c>
      <c r="S106">
        <v>25</v>
      </c>
    </row>
    <row r="107" spans="1:20">
      <c r="A107" t="s">
        <v>404</v>
      </c>
      <c r="B107" t="s">
        <v>935</v>
      </c>
      <c r="C107" t="s">
        <v>196</v>
      </c>
      <c r="F107">
        <v>0</v>
      </c>
      <c r="H107">
        <v>1</v>
      </c>
      <c r="I107">
        <v>2</v>
      </c>
      <c r="M107">
        <v>1</v>
      </c>
      <c r="S107">
        <v>4</v>
      </c>
    </row>
    <row r="108" spans="1:20">
      <c r="A108" t="s">
        <v>406</v>
      </c>
      <c r="B108" t="s">
        <v>936</v>
      </c>
      <c r="C108" t="s">
        <v>204</v>
      </c>
      <c r="E108">
        <v>120</v>
      </c>
      <c r="F108">
        <v>72</v>
      </c>
      <c r="G108">
        <v>86</v>
      </c>
      <c r="H108">
        <v>85</v>
      </c>
      <c r="I108">
        <v>106</v>
      </c>
      <c r="J108">
        <v>110</v>
      </c>
      <c r="K108">
        <v>130</v>
      </c>
      <c r="L108">
        <v>145</v>
      </c>
      <c r="M108">
        <v>153</v>
      </c>
      <c r="N108">
        <v>115</v>
      </c>
      <c r="O108">
        <v>128</v>
      </c>
      <c r="P108">
        <v>123</v>
      </c>
      <c r="Q108">
        <v>125</v>
      </c>
      <c r="R108">
        <v>163</v>
      </c>
      <c r="S108">
        <v>1661</v>
      </c>
    </row>
    <row r="109" spans="1:20" s="379" customFormat="1" hidden="1">
      <c r="A109" s="379" t="s">
        <v>1276</v>
      </c>
      <c r="B109" s="379" t="s">
        <v>1277</v>
      </c>
      <c r="C109" s="379" t="s">
        <v>204</v>
      </c>
      <c r="F109" s="379">
        <v>0</v>
      </c>
      <c r="M109" s="379">
        <v>1</v>
      </c>
      <c r="N109" s="379">
        <v>1</v>
      </c>
      <c r="O109" s="379">
        <v>8</v>
      </c>
      <c r="P109" s="379">
        <v>9</v>
      </c>
      <c r="Q109" s="379">
        <v>9</v>
      </c>
      <c r="R109" s="379">
        <v>2</v>
      </c>
      <c r="S109" s="379">
        <v>30</v>
      </c>
      <c r="T109" s="379" t="s">
        <v>1260</v>
      </c>
    </row>
    <row r="110" spans="1:20">
      <c r="A110" t="s">
        <v>408</v>
      </c>
      <c r="B110" t="s">
        <v>937</v>
      </c>
      <c r="C110" t="s">
        <v>201</v>
      </c>
      <c r="D110" t="s">
        <v>818</v>
      </c>
      <c r="E110">
        <v>1</v>
      </c>
      <c r="F110">
        <v>1</v>
      </c>
      <c r="H110">
        <v>1</v>
      </c>
      <c r="I110">
        <v>1</v>
      </c>
      <c r="J110">
        <v>1</v>
      </c>
      <c r="S110">
        <v>5</v>
      </c>
    </row>
    <row r="111" spans="1:20">
      <c r="A111" t="s">
        <v>410</v>
      </c>
      <c r="B111" t="s">
        <v>1278</v>
      </c>
      <c r="C111" t="s">
        <v>209</v>
      </c>
      <c r="D111" t="s">
        <v>818</v>
      </c>
      <c r="E111">
        <v>13</v>
      </c>
      <c r="F111">
        <v>14</v>
      </c>
      <c r="G111">
        <v>8</v>
      </c>
      <c r="H111">
        <v>9</v>
      </c>
      <c r="I111">
        <v>19</v>
      </c>
      <c r="J111">
        <v>18</v>
      </c>
      <c r="K111">
        <v>15</v>
      </c>
      <c r="L111">
        <v>16</v>
      </c>
      <c r="M111">
        <v>16</v>
      </c>
      <c r="N111">
        <v>14</v>
      </c>
      <c r="O111">
        <v>16</v>
      </c>
      <c r="P111">
        <v>6</v>
      </c>
      <c r="Q111">
        <v>15</v>
      </c>
      <c r="R111">
        <v>14</v>
      </c>
      <c r="S111">
        <v>193</v>
      </c>
    </row>
    <row r="112" spans="1:20">
      <c r="A112" t="s">
        <v>412</v>
      </c>
      <c r="B112" t="s">
        <v>938</v>
      </c>
      <c r="C112" t="s">
        <v>193</v>
      </c>
      <c r="F112">
        <v>1</v>
      </c>
      <c r="G112">
        <v>1</v>
      </c>
      <c r="H112">
        <v>2</v>
      </c>
      <c r="S112">
        <v>4</v>
      </c>
    </row>
    <row r="113" spans="1:19">
      <c r="A113" t="s">
        <v>414</v>
      </c>
      <c r="B113" t="s">
        <v>939</v>
      </c>
      <c r="C113" t="s">
        <v>209</v>
      </c>
      <c r="E113">
        <v>42</v>
      </c>
      <c r="F113">
        <v>30</v>
      </c>
      <c r="G113">
        <v>44</v>
      </c>
      <c r="H113">
        <v>49</v>
      </c>
      <c r="I113">
        <v>57</v>
      </c>
      <c r="J113">
        <v>50</v>
      </c>
      <c r="K113">
        <v>50</v>
      </c>
      <c r="L113">
        <v>64</v>
      </c>
      <c r="M113">
        <v>63</v>
      </c>
      <c r="N113">
        <v>72</v>
      </c>
      <c r="O113">
        <v>69</v>
      </c>
      <c r="P113">
        <v>44</v>
      </c>
      <c r="Q113">
        <v>43</v>
      </c>
      <c r="R113">
        <v>43</v>
      </c>
      <c r="S113">
        <v>720</v>
      </c>
    </row>
    <row r="114" spans="1:19">
      <c r="A114" t="s">
        <v>416</v>
      </c>
      <c r="B114" t="s">
        <v>940</v>
      </c>
      <c r="C114" t="s">
        <v>201</v>
      </c>
      <c r="E114">
        <v>165</v>
      </c>
      <c r="F114">
        <v>134</v>
      </c>
      <c r="G114">
        <v>185</v>
      </c>
      <c r="H114">
        <v>189</v>
      </c>
      <c r="I114">
        <v>160</v>
      </c>
      <c r="J114">
        <v>198</v>
      </c>
      <c r="K114">
        <v>187</v>
      </c>
      <c r="L114">
        <v>173</v>
      </c>
      <c r="M114">
        <v>170</v>
      </c>
      <c r="N114">
        <v>169</v>
      </c>
      <c r="O114">
        <v>163</v>
      </c>
      <c r="P114">
        <v>148</v>
      </c>
      <c r="Q114">
        <v>131</v>
      </c>
      <c r="R114">
        <v>157</v>
      </c>
      <c r="S114">
        <v>2329</v>
      </c>
    </row>
    <row r="115" spans="1:19">
      <c r="A115" t="s">
        <v>418</v>
      </c>
      <c r="B115" t="s">
        <v>941</v>
      </c>
      <c r="C115" t="s">
        <v>204</v>
      </c>
      <c r="E115">
        <v>204</v>
      </c>
      <c r="F115">
        <v>148</v>
      </c>
      <c r="G115">
        <v>166</v>
      </c>
      <c r="H115">
        <v>190</v>
      </c>
      <c r="I115">
        <v>198</v>
      </c>
      <c r="J115">
        <v>216</v>
      </c>
      <c r="K115">
        <v>211</v>
      </c>
      <c r="L115">
        <v>201</v>
      </c>
      <c r="M115">
        <v>226</v>
      </c>
      <c r="N115">
        <v>230</v>
      </c>
      <c r="O115">
        <v>216</v>
      </c>
      <c r="P115">
        <v>188</v>
      </c>
      <c r="Q115">
        <v>185</v>
      </c>
      <c r="R115">
        <v>290</v>
      </c>
      <c r="S115">
        <v>2869</v>
      </c>
    </row>
    <row r="116" spans="1:19">
      <c r="A116" t="s">
        <v>420</v>
      </c>
      <c r="B116" t="s">
        <v>942</v>
      </c>
      <c r="C116" t="s">
        <v>193</v>
      </c>
      <c r="E116">
        <v>10</v>
      </c>
      <c r="F116">
        <v>11</v>
      </c>
      <c r="G116">
        <v>9</v>
      </c>
      <c r="H116">
        <v>9</v>
      </c>
      <c r="I116">
        <v>7</v>
      </c>
      <c r="J116">
        <v>5</v>
      </c>
      <c r="K116">
        <v>8</v>
      </c>
      <c r="L116">
        <v>6</v>
      </c>
      <c r="M116">
        <v>13</v>
      </c>
      <c r="N116">
        <v>9</v>
      </c>
      <c r="O116">
        <v>19</v>
      </c>
      <c r="P116">
        <v>14</v>
      </c>
      <c r="Q116">
        <v>11</v>
      </c>
      <c r="R116">
        <v>18</v>
      </c>
      <c r="S116">
        <v>149</v>
      </c>
    </row>
    <row r="117" spans="1:19">
      <c r="A117" t="s">
        <v>422</v>
      </c>
      <c r="B117" t="s">
        <v>1230</v>
      </c>
      <c r="C117" t="s">
        <v>201</v>
      </c>
      <c r="E117">
        <v>8</v>
      </c>
      <c r="F117">
        <v>12</v>
      </c>
      <c r="G117">
        <v>6</v>
      </c>
      <c r="H117">
        <v>9</v>
      </c>
      <c r="I117">
        <v>14</v>
      </c>
      <c r="J117">
        <v>12</v>
      </c>
      <c r="K117">
        <v>16</v>
      </c>
      <c r="L117">
        <v>8</v>
      </c>
      <c r="M117">
        <v>20</v>
      </c>
      <c r="N117">
        <v>13</v>
      </c>
      <c r="O117">
        <v>20</v>
      </c>
      <c r="P117">
        <v>17</v>
      </c>
      <c r="Q117">
        <v>11</v>
      </c>
      <c r="R117">
        <v>18</v>
      </c>
      <c r="S117">
        <v>184</v>
      </c>
    </row>
    <row r="118" spans="1:19">
      <c r="A118" t="s">
        <v>424</v>
      </c>
      <c r="B118" t="s">
        <v>944</v>
      </c>
      <c r="C118" t="s">
        <v>220</v>
      </c>
      <c r="E118">
        <v>5</v>
      </c>
      <c r="F118">
        <v>7</v>
      </c>
      <c r="G118">
        <v>4</v>
      </c>
      <c r="H118">
        <v>4</v>
      </c>
      <c r="I118">
        <v>7</v>
      </c>
      <c r="J118">
        <v>11</v>
      </c>
      <c r="K118">
        <v>3</v>
      </c>
      <c r="L118">
        <v>3</v>
      </c>
      <c r="M118">
        <v>8</v>
      </c>
      <c r="N118">
        <v>2</v>
      </c>
      <c r="O118">
        <v>6</v>
      </c>
      <c r="P118">
        <v>7</v>
      </c>
      <c r="Q118">
        <v>5</v>
      </c>
      <c r="R118">
        <v>14</v>
      </c>
      <c r="S118">
        <v>86</v>
      </c>
    </row>
    <row r="119" spans="1:19">
      <c r="A119" t="s">
        <v>426</v>
      </c>
      <c r="B119" t="s">
        <v>1140</v>
      </c>
      <c r="C119" t="s">
        <v>209</v>
      </c>
      <c r="D119" t="s">
        <v>818</v>
      </c>
      <c r="E119">
        <v>3</v>
      </c>
      <c r="F119">
        <v>0</v>
      </c>
      <c r="G119">
        <v>1</v>
      </c>
      <c r="H119">
        <v>1</v>
      </c>
      <c r="I119">
        <v>1</v>
      </c>
      <c r="J119">
        <v>1</v>
      </c>
      <c r="K119">
        <v>2</v>
      </c>
      <c r="L119">
        <v>1</v>
      </c>
      <c r="N119">
        <v>2</v>
      </c>
      <c r="S119">
        <v>12</v>
      </c>
    </row>
    <row r="120" spans="1:19">
      <c r="A120" t="s">
        <v>428</v>
      </c>
      <c r="B120" t="s">
        <v>945</v>
      </c>
      <c r="C120" t="s">
        <v>209</v>
      </c>
      <c r="E120">
        <v>9</v>
      </c>
      <c r="F120">
        <v>6</v>
      </c>
      <c r="G120">
        <v>11</v>
      </c>
      <c r="H120">
        <v>20</v>
      </c>
      <c r="I120">
        <v>18</v>
      </c>
      <c r="J120">
        <v>17</v>
      </c>
      <c r="K120">
        <v>23</v>
      </c>
      <c r="L120">
        <v>19</v>
      </c>
      <c r="M120">
        <v>17</v>
      </c>
      <c r="N120">
        <v>23</v>
      </c>
      <c r="O120">
        <v>13</v>
      </c>
      <c r="P120">
        <v>20</v>
      </c>
      <c r="Q120">
        <v>13</v>
      </c>
      <c r="R120">
        <v>15</v>
      </c>
      <c r="S120">
        <v>224</v>
      </c>
    </row>
    <row r="121" spans="1:19">
      <c r="A121" t="s">
        <v>430</v>
      </c>
      <c r="B121" t="s">
        <v>946</v>
      </c>
      <c r="C121" t="s">
        <v>196</v>
      </c>
      <c r="E121">
        <v>2</v>
      </c>
      <c r="F121">
        <v>4</v>
      </c>
      <c r="G121">
        <v>4</v>
      </c>
      <c r="H121">
        <v>3</v>
      </c>
      <c r="I121">
        <v>7</v>
      </c>
      <c r="J121">
        <v>8</v>
      </c>
      <c r="K121">
        <v>10</v>
      </c>
      <c r="L121">
        <v>5</v>
      </c>
      <c r="M121">
        <v>6</v>
      </c>
      <c r="N121">
        <v>9</v>
      </c>
      <c r="O121">
        <v>8</v>
      </c>
      <c r="P121">
        <v>6</v>
      </c>
      <c r="Q121">
        <v>14</v>
      </c>
      <c r="R121">
        <v>6</v>
      </c>
      <c r="S121">
        <v>92</v>
      </c>
    </row>
    <row r="122" spans="1:19">
      <c r="A122" t="s">
        <v>432</v>
      </c>
      <c r="B122" t="s">
        <v>1141</v>
      </c>
      <c r="C122" t="s">
        <v>193</v>
      </c>
      <c r="E122">
        <v>2</v>
      </c>
      <c r="F122">
        <v>0</v>
      </c>
      <c r="G122">
        <v>1</v>
      </c>
      <c r="H122">
        <v>2</v>
      </c>
      <c r="J122">
        <v>1</v>
      </c>
      <c r="L122">
        <v>1</v>
      </c>
      <c r="M122">
        <v>2</v>
      </c>
      <c r="N122">
        <v>1</v>
      </c>
      <c r="P122">
        <v>1</v>
      </c>
      <c r="R122">
        <v>1</v>
      </c>
      <c r="S122">
        <v>12</v>
      </c>
    </row>
    <row r="123" spans="1:19">
      <c r="A123" t="s">
        <v>434</v>
      </c>
      <c r="B123" t="s">
        <v>947</v>
      </c>
      <c r="C123" t="s">
        <v>230</v>
      </c>
      <c r="E123">
        <v>5</v>
      </c>
      <c r="F123">
        <v>8</v>
      </c>
      <c r="G123">
        <v>8</v>
      </c>
      <c r="H123">
        <v>6</v>
      </c>
      <c r="I123">
        <v>11</v>
      </c>
      <c r="J123">
        <v>10</v>
      </c>
      <c r="K123">
        <v>8</v>
      </c>
      <c r="L123">
        <v>12</v>
      </c>
      <c r="M123">
        <v>9</v>
      </c>
      <c r="N123">
        <v>10</v>
      </c>
      <c r="O123">
        <v>11</v>
      </c>
      <c r="P123">
        <v>12</v>
      </c>
      <c r="Q123">
        <v>10</v>
      </c>
      <c r="R123">
        <v>14</v>
      </c>
      <c r="S123">
        <v>134</v>
      </c>
    </row>
    <row r="124" spans="1:19">
      <c r="A124" t="s">
        <v>436</v>
      </c>
      <c r="B124" t="s">
        <v>1142</v>
      </c>
      <c r="C124" t="s">
        <v>188</v>
      </c>
      <c r="D124" t="s">
        <v>818</v>
      </c>
      <c r="E124">
        <v>1</v>
      </c>
      <c r="F124">
        <v>0</v>
      </c>
      <c r="G124">
        <v>4</v>
      </c>
      <c r="H124">
        <v>2</v>
      </c>
      <c r="I124">
        <v>3</v>
      </c>
      <c r="J124">
        <v>3</v>
      </c>
      <c r="K124">
        <v>4</v>
      </c>
      <c r="L124">
        <v>3</v>
      </c>
      <c r="M124">
        <v>4</v>
      </c>
      <c r="O124">
        <v>3</v>
      </c>
      <c r="P124">
        <v>3</v>
      </c>
      <c r="Q124">
        <v>1</v>
      </c>
      <c r="R124">
        <v>1</v>
      </c>
      <c r="S124">
        <v>32</v>
      </c>
    </row>
    <row r="125" spans="1:19">
      <c r="A125" t="s">
        <v>438</v>
      </c>
      <c r="B125" t="s">
        <v>948</v>
      </c>
      <c r="C125" t="s">
        <v>196</v>
      </c>
      <c r="E125">
        <v>105</v>
      </c>
      <c r="F125">
        <v>85</v>
      </c>
      <c r="G125">
        <v>85</v>
      </c>
      <c r="H125">
        <v>88</v>
      </c>
      <c r="I125">
        <v>96</v>
      </c>
      <c r="J125">
        <v>106</v>
      </c>
      <c r="K125">
        <v>105</v>
      </c>
      <c r="L125">
        <v>114</v>
      </c>
      <c r="M125">
        <v>110</v>
      </c>
      <c r="N125">
        <v>101</v>
      </c>
      <c r="O125">
        <v>122</v>
      </c>
      <c r="P125">
        <v>88</v>
      </c>
      <c r="Q125">
        <v>94</v>
      </c>
      <c r="R125">
        <v>80</v>
      </c>
      <c r="S125">
        <v>1379</v>
      </c>
    </row>
    <row r="126" spans="1:19">
      <c r="A126" t="s">
        <v>440</v>
      </c>
      <c r="B126" t="s">
        <v>949</v>
      </c>
      <c r="C126" t="s">
        <v>204</v>
      </c>
      <c r="E126">
        <v>208</v>
      </c>
      <c r="F126">
        <v>158</v>
      </c>
      <c r="G126">
        <v>154</v>
      </c>
      <c r="H126">
        <v>207</v>
      </c>
      <c r="I126">
        <v>233</v>
      </c>
      <c r="J126">
        <v>241</v>
      </c>
      <c r="K126">
        <v>230</v>
      </c>
      <c r="L126">
        <v>235</v>
      </c>
      <c r="M126">
        <v>225</v>
      </c>
      <c r="N126">
        <v>221</v>
      </c>
      <c r="O126">
        <v>186</v>
      </c>
      <c r="P126">
        <v>199</v>
      </c>
      <c r="Q126">
        <v>200</v>
      </c>
      <c r="R126">
        <v>253</v>
      </c>
      <c r="S126">
        <v>2950</v>
      </c>
    </row>
    <row r="127" spans="1:19">
      <c r="A127" t="s">
        <v>442</v>
      </c>
      <c r="B127" t="s">
        <v>950</v>
      </c>
      <c r="C127" t="s">
        <v>196</v>
      </c>
      <c r="E127">
        <v>29</v>
      </c>
      <c r="F127">
        <v>14</v>
      </c>
      <c r="G127">
        <v>22</v>
      </c>
      <c r="H127">
        <v>28</v>
      </c>
      <c r="I127">
        <v>34</v>
      </c>
      <c r="J127">
        <v>28</v>
      </c>
      <c r="K127">
        <v>39</v>
      </c>
      <c r="L127">
        <v>35</v>
      </c>
      <c r="M127">
        <v>28</v>
      </c>
      <c r="N127">
        <v>40</v>
      </c>
      <c r="O127">
        <v>33</v>
      </c>
      <c r="P127">
        <v>32</v>
      </c>
      <c r="Q127">
        <v>32</v>
      </c>
      <c r="R127">
        <v>33</v>
      </c>
      <c r="S127">
        <v>427</v>
      </c>
    </row>
    <row r="128" spans="1:19">
      <c r="A128" t="s">
        <v>444</v>
      </c>
      <c r="B128" t="s">
        <v>951</v>
      </c>
      <c r="C128" t="s">
        <v>193</v>
      </c>
      <c r="F128">
        <v>0</v>
      </c>
      <c r="K128">
        <v>4</v>
      </c>
      <c r="L128">
        <v>1</v>
      </c>
      <c r="M128">
        <v>1</v>
      </c>
      <c r="N128">
        <v>2</v>
      </c>
      <c r="S128">
        <v>8</v>
      </c>
    </row>
    <row r="129" spans="1:19">
      <c r="A129" t="s">
        <v>446</v>
      </c>
      <c r="B129" t="s">
        <v>952</v>
      </c>
      <c r="C129" t="s">
        <v>193</v>
      </c>
      <c r="E129">
        <v>1</v>
      </c>
      <c r="F129">
        <v>6</v>
      </c>
      <c r="G129">
        <v>7</v>
      </c>
      <c r="H129">
        <v>4</v>
      </c>
      <c r="I129">
        <v>3</v>
      </c>
      <c r="J129">
        <v>6</v>
      </c>
      <c r="K129">
        <v>6</v>
      </c>
      <c r="L129">
        <v>5</v>
      </c>
      <c r="M129">
        <v>4</v>
      </c>
      <c r="N129">
        <v>5</v>
      </c>
      <c r="O129">
        <v>5</v>
      </c>
      <c r="P129">
        <v>6</v>
      </c>
      <c r="Q129">
        <v>1</v>
      </c>
      <c r="R129">
        <v>8</v>
      </c>
      <c r="S129">
        <v>67</v>
      </c>
    </row>
    <row r="130" spans="1:19">
      <c r="A130" t="s">
        <v>448</v>
      </c>
      <c r="B130" t="s">
        <v>953</v>
      </c>
      <c r="C130" t="s">
        <v>193</v>
      </c>
      <c r="E130">
        <v>3</v>
      </c>
      <c r="F130">
        <v>0</v>
      </c>
      <c r="H130">
        <v>3</v>
      </c>
      <c r="I130">
        <v>2</v>
      </c>
      <c r="J130">
        <v>2</v>
      </c>
      <c r="K130">
        <v>2</v>
      </c>
      <c r="L130">
        <v>1</v>
      </c>
      <c r="M130">
        <v>1</v>
      </c>
      <c r="N130">
        <v>2</v>
      </c>
      <c r="O130">
        <v>1</v>
      </c>
      <c r="P130">
        <v>1</v>
      </c>
      <c r="R130">
        <v>1</v>
      </c>
      <c r="S130">
        <v>19</v>
      </c>
    </row>
    <row r="131" spans="1:19">
      <c r="A131" t="s">
        <v>450</v>
      </c>
      <c r="B131" t="s">
        <v>954</v>
      </c>
      <c r="C131" t="s">
        <v>209</v>
      </c>
      <c r="E131">
        <v>97</v>
      </c>
      <c r="F131">
        <v>61</v>
      </c>
      <c r="G131">
        <v>78</v>
      </c>
      <c r="H131">
        <v>80</v>
      </c>
      <c r="I131">
        <v>90</v>
      </c>
      <c r="J131">
        <v>86</v>
      </c>
      <c r="K131">
        <v>79</v>
      </c>
      <c r="L131">
        <v>85</v>
      </c>
      <c r="M131">
        <v>84</v>
      </c>
      <c r="N131">
        <v>77</v>
      </c>
      <c r="O131">
        <v>60</v>
      </c>
      <c r="P131">
        <v>75</v>
      </c>
      <c r="Q131">
        <v>56</v>
      </c>
      <c r="R131">
        <v>77</v>
      </c>
      <c r="S131">
        <v>1085</v>
      </c>
    </row>
    <row r="132" spans="1:19">
      <c r="A132" t="s">
        <v>452</v>
      </c>
      <c r="B132" t="s">
        <v>955</v>
      </c>
      <c r="C132" t="s">
        <v>193</v>
      </c>
      <c r="E132">
        <v>1</v>
      </c>
      <c r="F132">
        <v>1</v>
      </c>
      <c r="G132">
        <v>3</v>
      </c>
      <c r="H132">
        <v>2</v>
      </c>
      <c r="I132">
        <v>3</v>
      </c>
      <c r="J132">
        <v>2</v>
      </c>
      <c r="K132">
        <v>2</v>
      </c>
      <c r="L132">
        <v>4</v>
      </c>
      <c r="S132">
        <v>18</v>
      </c>
    </row>
    <row r="133" spans="1:19">
      <c r="A133" t="s">
        <v>454</v>
      </c>
      <c r="B133" t="s">
        <v>1244</v>
      </c>
      <c r="C133" t="s">
        <v>196</v>
      </c>
      <c r="F133">
        <v>0</v>
      </c>
      <c r="G133">
        <v>1</v>
      </c>
      <c r="H133">
        <v>3</v>
      </c>
      <c r="I133">
        <v>4</v>
      </c>
      <c r="J133">
        <v>5</v>
      </c>
      <c r="K133">
        <v>5</v>
      </c>
      <c r="L133">
        <v>5</v>
      </c>
      <c r="M133">
        <v>3</v>
      </c>
      <c r="N133">
        <v>4</v>
      </c>
      <c r="O133">
        <v>2</v>
      </c>
      <c r="P133">
        <v>8</v>
      </c>
      <c r="Q133">
        <v>3</v>
      </c>
      <c r="R133">
        <v>2</v>
      </c>
      <c r="S133">
        <v>45</v>
      </c>
    </row>
    <row r="134" spans="1:19">
      <c r="A134" t="s">
        <v>456</v>
      </c>
      <c r="B134" t="s">
        <v>1279</v>
      </c>
      <c r="C134" t="s">
        <v>193</v>
      </c>
      <c r="F134">
        <v>0</v>
      </c>
      <c r="O134">
        <v>1</v>
      </c>
      <c r="P134">
        <v>1</v>
      </c>
      <c r="Q134">
        <v>1</v>
      </c>
      <c r="R134">
        <v>4</v>
      </c>
      <c r="S134">
        <v>7</v>
      </c>
    </row>
    <row r="135" spans="1:19">
      <c r="A135" t="s">
        <v>457</v>
      </c>
      <c r="B135" t="s">
        <v>957</v>
      </c>
      <c r="C135" t="s">
        <v>209</v>
      </c>
      <c r="D135" t="s">
        <v>818</v>
      </c>
      <c r="E135">
        <v>2</v>
      </c>
      <c r="F135">
        <v>4</v>
      </c>
      <c r="G135">
        <v>2</v>
      </c>
      <c r="H135">
        <v>1</v>
      </c>
      <c r="I135">
        <v>7</v>
      </c>
      <c r="J135">
        <v>3</v>
      </c>
      <c r="K135">
        <v>5</v>
      </c>
      <c r="L135">
        <v>2</v>
      </c>
      <c r="M135">
        <v>2</v>
      </c>
      <c r="N135">
        <v>2</v>
      </c>
      <c r="O135">
        <v>3</v>
      </c>
      <c r="P135">
        <v>3</v>
      </c>
      <c r="Q135">
        <v>5</v>
      </c>
      <c r="R135">
        <v>2</v>
      </c>
      <c r="S135">
        <v>43</v>
      </c>
    </row>
    <row r="136" spans="1:19">
      <c r="A136" t="s">
        <v>459</v>
      </c>
      <c r="B136" t="s">
        <v>958</v>
      </c>
      <c r="C136" t="s">
        <v>196</v>
      </c>
      <c r="E136">
        <v>49</v>
      </c>
      <c r="F136">
        <v>36</v>
      </c>
      <c r="G136">
        <v>34</v>
      </c>
      <c r="H136">
        <v>32</v>
      </c>
      <c r="I136">
        <v>40</v>
      </c>
      <c r="J136">
        <v>40</v>
      </c>
      <c r="K136">
        <v>35</v>
      </c>
      <c r="L136">
        <v>30</v>
      </c>
      <c r="M136">
        <v>27</v>
      </c>
      <c r="N136">
        <v>40</v>
      </c>
      <c r="O136">
        <v>35</v>
      </c>
      <c r="P136">
        <v>34</v>
      </c>
      <c r="Q136">
        <v>31</v>
      </c>
      <c r="R136">
        <v>37</v>
      </c>
      <c r="S136">
        <v>500</v>
      </c>
    </row>
    <row r="137" spans="1:19">
      <c r="A137" t="s">
        <v>461</v>
      </c>
      <c r="B137" t="s">
        <v>959</v>
      </c>
      <c r="C137" t="s">
        <v>220</v>
      </c>
      <c r="E137">
        <v>3</v>
      </c>
      <c r="F137">
        <v>4</v>
      </c>
      <c r="G137">
        <v>5</v>
      </c>
      <c r="H137">
        <v>5</v>
      </c>
      <c r="I137">
        <v>3</v>
      </c>
      <c r="J137">
        <v>4</v>
      </c>
      <c r="K137">
        <v>9</v>
      </c>
      <c r="L137">
        <v>11</v>
      </c>
      <c r="M137">
        <v>7</v>
      </c>
      <c r="N137">
        <v>4</v>
      </c>
      <c r="O137">
        <v>10</v>
      </c>
      <c r="P137">
        <v>7</v>
      </c>
      <c r="Q137">
        <v>6</v>
      </c>
      <c r="R137">
        <v>10</v>
      </c>
      <c r="S137">
        <v>88</v>
      </c>
    </row>
    <row r="138" spans="1:19">
      <c r="A138" t="s">
        <v>463</v>
      </c>
      <c r="B138" t="s">
        <v>960</v>
      </c>
      <c r="C138" t="s">
        <v>230</v>
      </c>
      <c r="F138">
        <v>3</v>
      </c>
      <c r="G138">
        <v>1</v>
      </c>
      <c r="J138">
        <v>2</v>
      </c>
      <c r="L138">
        <v>1</v>
      </c>
      <c r="M138">
        <v>1</v>
      </c>
      <c r="N138">
        <v>1</v>
      </c>
      <c r="Q138">
        <v>1</v>
      </c>
      <c r="S138">
        <v>10</v>
      </c>
    </row>
    <row r="139" spans="1:19">
      <c r="A139" t="s">
        <v>465</v>
      </c>
      <c r="B139" t="s">
        <v>961</v>
      </c>
      <c r="C139" t="s">
        <v>230</v>
      </c>
      <c r="E139">
        <v>5</v>
      </c>
      <c r="F139">
        <v>5</v>
      </c>
      <c r="G139">
        <v>6</v>
      </c>
      <c r="H139">
        <v>2</v>
      </c>
      <c r="I139">
        <v>3</v>
      </c>
      <c r="J139">
        <v>8</v>
      </c>
      <c r="K139">
        <v>6</v>
      </c>
      <c r="L139">
        <v>6</v>
      </c>
      <c r="M139">
        <v>5</v>
      </c>
      <c r="N139">
        <v>7</v>
      </c>
      <c r="O139">
        <v>8</v>
      </c>
      <c r="P139">
        <v>5</v>
      </c>
      <c r="Q139">
        <v>6</v>
      </c>
      <c r="R139">
        <v>4</v>
      </c>
      <c r="S139">
        <v>76</v>
      </c>
    </row>
    <row r="140" spans="1:19">
      <c r="A140" t="s">
        <v>467</v>
      </c>
      <c r="B140" t="s">
        <v>1239</v>
      </c>
      <c r="C140" t="s">
        <v>188</v>
      </c>
      <c r="F140">
        <v>11</v>
      </c>
      <c r="G140">
        <v>17</v>
      </c>
      <c r="H140">
        <v>29</v>
      </c>
      <c r="I140">
        <v>23</v>
      </c>
      <c r="J140">
        <v>23</v>
      </c>
      <c r="K140">
        <v>33</v>
      </c>
      <c r="L140">
        <v>35</v>
      </c>
      <c r="M140">
        <v>30</v>
      </c>
      <c r="N140">
        <v>35</v>
      </c>
      <c r="O140">
        <v>1</v>
      </c>
      <c r="P140">
        <v>4</v>
      </c>
      <c r="Q140">
        <v>2</v>
      </c>
      <c r="R140">
        <v>2</v>
      </c>
      <c r="S140">
        <v>245</v>
      </c>
    </row>
    <row r="141" spans="1:19">
      <c r="A141" t="s">
        <v>469</v>
      </c>
      <c r="B141" t="s">
        <v>963</v>
      </c>
      <c r="C141" t="s">
        <v>193</v>
      </c>
      <c r="E141">
        <v>2</v>
      </c>
      <c r="F141">
        <v>4</v>
      </c>
      <c r="G141">
        <v>5</v>
      </c>
      <c r="H141">
        <v>2</v>
      </c>
      <c r="I141">
        <v>3</v>
      </c>
      <c r="J141">
        <v>4</v>
      </c>
      <c r="K141">
        <v>10</v>
      </c>
      <c r="L141">
        <v>1</v>
      </c>
      <c r="M141">
        <v>11</v>
      </c>
      <c r="N141">
        <v>2</v>
      </c>
      <c r="O141">
        <v>12</v>
      </c>
      <c r="P141">
        <v>4</v>
      </c>
      <c r="Q141">
        <v>4</v>
      </c>
      <c r="R141">
        <v>8</v>
      </c>
      <c r="S141">
        <v>72</v>
      </c>
    </row>
    <row r="142" spans="1:19">
      <c r="A142" t="s">
        <v>471</v>
      </c>
      <c r="B142" t="s">
        <v>964</v>
      </c>
      <c r="C142" t="s">
        <v>196</v>
      </c>
      <c r="E142">
        <v>132</v>
      </c>
      <c r="F142">
        <v>83</v>
      </c>
      <c r="G142">
        <v>98</v>
      </c>
      <c r="H142">
        <v>103</v>
      </c>
      <c r="I142">
        <v>129</v>
      </c>
      <c r="J142">
        <v>114</v>
      </c>
      <c r="K142">
        <v>122</v>
      </c>
      <c r="L142">
        <v>115</v>
      </c>
      <c r="M142">
        <v>107</v>
      </c>
      <c r="N142">
        <v>120</v>
      </c>
      <c r="O142">
        <v>143</v>
      </c>
      <c r="P142">
        <v>109</v>
      </c>
      <c r="Q142">
        <v>122</v>
      </c>
      <c r="R142">
        <v>143</v>
      </c>
      <c r="S142">
        <v>1640</v>
      </c>
    </row>
    <row r="143" spans="1:19">
      <c r="A143" t="s">
        <v>473</v>
      </c>
      <c r="B143" t="s">
        <v>1233</v>
      </c>
      <c r="C143" t="s">
        <v>188</v>
      </c>
      <c r="E143">
        <v>3</v>
      </c>
      <c r="F143">
        <v>6</v>
      </c>
      <c r="G143">
        <v>7</v>
      </c>
      <c r="H143">
        <v>5</v>
      </c>
      <c r="I143">
        <v>5</v>
      </c>
      <c r="J143">
        <v>15</v>
      </c>
      <c r="K143">
        <v>6</v>
      </c>
      <c r="L143">
        <v>8</v>
      </c>
      <c r="M143">
        <v>5</v>
      </c>
      <c r="N143">
        <v>6</v>
      </c>
      <c r="S143">
        <v>66</v>
      </c>
    </row>
    <row r="144" spans="1:19">
      <c r="A144" t="s">
        <v>475</v>
      </c>
      <c r="B144" t="s">
        <v>966</v>
      </c>
      <c r="C144" t="s">
        <v>193</v>
      </c>
      <c r="E144">
        <v>81</v>
      </c>
      <c r="F144">
        <v>63</v>
      </c>
      <c r="G144">
        <v>96</v>
      </c>
      <c r="H144">
        <v>99</v>
      </c>
      <c r="I144">
        <v>125</v>
      </c>
      <c r="J144">
        <v>104</v>
      </c>
      <c r="K144">
        <v>147</v>
      </c>
      <c r="L144">
        <v>99</v>
      </c>
      <c r="M144">
        <v>114</v>
      </c>
      <c r="N144">
        <v>96</v>
      </c>
      <c r="O144">
        <v>96</v>
      </c>
      <c r="P144">
        <v>111</v>
      </c>
      <c r="Q144">
        <v>93</v>
      </c>
      <c r="R144">
        <v>109</v>
      </c>
      <c r="S144">
        <v>1433</v>
      </c>
    </row>
    <row r="145" spans="1:19">
      <c r="A145" t="s">
        <v>477</v>
      </c>
      <c r="B145" t="s">
        <v>967</v>
      </c>
      <c r="C145" t="s">
        <v>193</v>
      </c>
      <c r="E145">
        <v>21</v>
      </c>
      <c r="F145">
        <v>18</v>
      </c>
      <c r="G145">
        <v>20</v>
      </c>
      <c r="H145">
        <v>22</v>
      </c>
      <c r="I145">
        <v>21</v>
      </c>
      <c r="J145">
        <v>22</v>
      </c>
      <c r="K145">
        <v>24</v>
      </c>
      <c r="L145">
        <v>19</v>
      </c>
      <c r="M145">
        <v>11</v>
      </c>
      <c r="N145">
        <v>11</v>
      </c>
      <c r="O145">
        <v>23</v>
      </c>
      <c r="P145">
        <v>11</v>
      </c>
      <c r="Q145">
        <v>18</v>
      </c>
      <c r="R145">
        <v>14</v>
      </c>
      <c r="S145">
        <v>255</v>
      </c>
    </row>
    <row r="146" spans="1:19">
      <c r="A146" t="s">
        <v>479</v>
      </c>
      <c r="B146" t="s">
        <v>968</v>
      </c>
      <c r="C146" t="s">
        <v>204</v>
      </c>
      <c r="E146">
        <v>19</v>
      </c>
      <c r="F146">
        <v>20</v>
      </c>
      <c r="G146">
        <v>16</v>
      </c>
      <c r="H146">
        <v>23</v>
      </c>
      <c r="I146">
        <v>21</v>
      </c>
      <c r="J146">
        <v>31</v>
      </c>
      <c r="K146">
        <v>24</v>
      </c>
      <c r="L146">
        <v>18</v>
      </c>
      <c r="M146">
        <v>29</v>
      </c>
      <c r="N146">
        <v>39</v>
      </c>
      <c r="O146">
        <v>40</v>
      </c>
      <c r="P146">
        <v>35</v>
      </c>
      <c r="Q146">
        <v>51</v>
      </c>
      <c r="R146">
        <v>42</v>
      </c>
      <c r="S146">
        <v>408</v>
      </c>
    </row>
    <row r="147" spans="1:19">
      <c r="A147" t="s">
        <v>481</v>
      </c>
      <c r="B147" t="s">
        <v>969</v>
      </c>
      <c r="C147" t="s">
        <v>196</v>
      </c>
      <c r="E147">
        <v>13</v>
      </c>
      <c r="F147">
        <v>17</v>
      </c>
      <c r="G147">
        <v>10</v>
      </c>
      <c r="H147">
        <v>25</v>
      </c>
      <c r="I147">
        <v>9</v>
      </c>
      <c r="J147">
        <v>15</v>
      </c>
      <c r="K147">
        <v>21</v>
      </c>
      <c r="L147">
        <v>18</v>
      </c>
      <c r="M147">
        <v>17</v>
      </c>
      <c r="N147">
        <v>10</v>
      </c>
      <c r="O147">
        <v>19</v>
      </c>
      <c r="P147">
        <v>14</v>
      </c>
      <c r="Q147">
        <v>10</v>
      </c>
      <c r="R147">
        <v>8</v>
      </c>
      <c r="S147">
        <v>206</v>
      </c>
    </row>
    <row r="148" spans="1:19">
      <c r="A148" t="s">
        <v>483</v>
      </c>
      <c r="B148" t="s">
        <v>970</v>
      </c>
      <c r="C148" t="s">
        <v>230</v>
      </c>
      <c r="D148" t="s">
        <v>818</v>
      </c>
      <c r="E148">
        <v>8</v>
      </c>
      <c r="F148">
        <v>4</v>
      </c>
      <c r="G148">
        <v>8</v>
      </c>
      <c r="H148">
        <v>5</v>
      </c>
      <c r="I148">
        <v>4</v>
      </c>
      <c r="J148">
        <v>6</v>
      </c>
      <c r="K148">
        <v>3</v>
      </c>
      <c r="L148">
        <v>6</v>
      </c>
      <c r="M148">
        <v>7</v>
      </c>
      <c r="N148">
        <v>9</v>
      </c>
      <c r="O148">
        <v>7</v>
      </c>
      <c r="P148">
        <v>7</v>
      </c>
      <c r="Q148">
        <v>6</v>
      </c>
      <c r="R148">
        <v>4</v>
      </c>
      <c r="S148">
        <v>84</v>
      </c>
    </row>
    <row r="149" spans="1:19">
      <c r="A149" t="s">
        <v>485</v>
      </c>
      <c r="B149" t="s">
        <v>971</v>
      </c>
      <c r="C149" t="s">
        <v>209</v>
      </c>
      <c r="D149" t="s">
        <v>818</v>
      </c>
      <c r="F149">
        <v>1</v>
      </c>
      <c r="G149">
        <v>2</v>
      </c>
      <c r="J149">
        <v>1</v>
      </c>
      <c r="M149">
        <v>1</v>
      </c>
      <c r="S149">
        <v>5</v>
      </c>
    </row>
    <row r="150" spans="1:19">
      <c r="A150" t="s">
        <v>487</v>
      </c>
      <c r="B150" t="s">
        <v>972</v>
      </c>
      <c r="C150" t="s">
        <v>196</v>
      </c>
      <c r="E150">
        <v>46</v>
      </c>
      <c r="F150">
        <v>38</v>
      </c>
      <c r="G150">
        <v>45</v>
      </c>
      <c r="H150">
        <v>51</v>
      </c>
      <c r="I150">
        <v>66</v>
      </c>
      <c r="J150">
        <v>52</v>
      </c>
      <c r="K150">
        <v>59</v>
      </c>
      <c r="L150">
        <v>53</v>
      </c>
      <c r="M150">
        <v>52</v>
      </c>
      <c r="N150">
        <v>51</v>
      </c>
      <c r="O150">
        <v>65</v>
      </c>
      <c r="P150">
        <v>57</v>
      </c>
      <c r="Q150">
        <v>53</v>
      </c>
      <c r="R150">
        <v>76</v>
      </c>
      <c r="S150">
        <v>764</v>
      </c>
    </row>
    <row r="151" spans="1:19">
      <c r="A151" t="s">
        <v>489</v>
      </c>
      <c r="B151" t="s">
        <v>973</v>
      </c>
      <c r="C151" t="s">
        <v>188</v>
      </c>
      <c r="E151">
        <v>25</v>
      </c>
      <c r="F151">
        <v>15</v>
      </c>
      <c r="G151">
        <v>20</v>
      </c>
      <c r="H151">
        <v>19</v>
      </c>
      <c r="I151">
        <v>18</v>
      </c>
      <c r="J151">
        <v>12</v>
      </c>
      <c r="K151">
        <v>22</v>
      </c>
      <c r="L151">
        <v>10</v>
      </c>
      <c r="M151">
        <v>7</v>
      </c>
      <c r="N151">
        <v>10</v>
      </c>
      <c r="O151">
        <v>9</v>
      </c>
      <c r="P151">
        <v>9</v>
      </c>
      <c r="Q151">
        <v>12</v>
      </c>
      <c r="R151">
        <v>31</v>
      </c>
      <c r="S151">
        <v>219</v>
      </c>
    </row>
    <row r="152" spans="1:19">
      <c r="A152" t="s">
        <v>491</v>
      </c>
      <c r="B152" t="s">
        <v>974</v>
      </c>
      <c r="C152" t="s">
        <v>188</v>
      </c>
      <c r="E152">
        <v>4</v>
      </c>
      <c r="F152">
        <v>3</v>
      </c>
      <c r="G152">
        <v>5</v>
      </c>
      <c r="H152">
        <v>6</v>
      </c>
      <c r="I152">
        <v>1</v>
      </c>
      <c r="J152">
        <v>3</v>
      </c>
      <c r="K152">
        <v>2</v>
      </c>
      <c r="L152">
        <v>4</v>
      </c>
      <c r="M152">
        <v>3</v>
      </c>
      <c r="N152">
        <v>4</v>
      </c>
      <c r="O152">
        <v>4</v>
      </c>
      <c r="P152">
        <v>1</v>
      </c>
      <c r="Q152">
        <v>8</v>
      </c>
      <c r="R152">
        <v>2</v>
      </c>
      <c r="S152">
        <v>50</v>
      </c>
    </row>
    <row r="153" spans="1:19">
      <c r="A153" t="s">
        <v>493</v>
      </c>
      <c r="B153" t="s">
        <v>975</v>
      </c>
      <c r="C153" t="s">
        <v>230</v>
      </c>
      <c r="E153">
        <v>99</v>
      </c>
      <c r="F153">
        <v>97</v>
      </c>
      <c r="G153">
        <v>78</v>
      </c>
      <c r="H153">
        <v>99</v>
      </c>
      <c r="I153">
        <v>74</v>
      </c>
      <c r="J153">
        <v>105</v>
      </c>
      <c r="K153">
        <v>85</v>
      </c>
      <c r="L153">
        <v>90</v>
      </c>
      <c r="M153">
        <v>66</v>
      </c>
      <c r="N153">
        <v>83</v>
      </c>
      <c r="O153">
        <v>72</v>
      </c>
      <c r="P153">
        <v>77</v>
      </c>
      <c r="Q153">
        <v>80</v>
      </c>
      <c r="R153">
        <v>110</v>
      </c>
      <c r="S153">
        <v>1215</v>
      </c>
    </row>
    <row r="154" spans="1:19">
      <c r="A154" t="s">
        <v>495</v>
      </c>
      <c r="B154" t="s">
        <v>976</v>
      </c>
      <c r="C154" t="s">
        <v>188</v>
      </c>
      <c r="E154">
        <v>2</v>
      </c>
      <c r="F154">
        <v>6</v>
      </c>
      <c r="G154">
        <v>9</v>
      </c>
      <c r="H154">
        <v>9</v>
      </c>
      <c r="I154">
        <v>6</v>
      </c>
      <c r="J154">
        <v>5</v>
      </c>
      <c r="K154">
        <v>7</v>
      </c>
      <c r="L154">
        <v>7</v>
      </c>
      <c r="M154">
        <v>6</v>
      </c>
      <c r="N154">
        <v>9</v>
      </c>
      <c r="O154">
        <v>8</v>
      </c>
      <c r="P154">
        <v>7</v>
      </c>
      <c r="Q154">
        <v>6</v>
      </c>
      <c r="R154">
        <v>7</v>
      </c>
      <c r="S154">
        <v>94</v>
      </c>
    </row>
    <row r="155" spans="1:19">
      <c r="A155" t="s">
        <v>497</v>
      </c>
      <c r="B155" t="s">
        <v>977</v>
      </c>
      <c r="C155" t="s">
        <v>220</v>
      </c>
      <c r="E155">
        <v>6</v>
      </c>
      <c r="F155">
        <v>5</v>
      </c>
      <c r="G155">
        <v>9</v>
      </c>
      <c r="H155">
        <v>7</v>
      </c>
      <c r="I155">
        <v>8</v>
      </c>
      <c r="J155">
        <v>11</v>
      </c>
      <c r="K155">
        <v>9</v>
      </c>
      <c r="L155">
        <v>12</v>
      </c>
      <c r="M155">
        <v>16</v>
      </c>
      <c r="N155">
        <v>9</v>
      </c>
      <c r="O155">
        <v>9</v>
      </c>
      <c r="P155">
        <v>7</v>
      </c>
      <c r="Q155">
        <v>9</v>
      </c>
      <c r="R155">
        <v>11</v>
      </c>
      <c r="S155">
        <v>128</v>
      </c>
    </row>
    <row r="156" spans="1:19">
      <c r="A156" t="s">
        <v>499</v>
      </c>
      <c r="B156" t="s">
        <v>978</v>
      </c>
      <c r="C156" t="s">
        <v>196</v>
      </c>
      <c r="E156">
        <v>23</v>
      </c>
      <c r="F156">
        <v>13</v>
      </c>
      <c r="G156">
        <v>31</v>
      </c>
      <c r="H156">
        <v>17</v>
      </c>
      <c r="I156">
        <v>24</v>
      </c>
      <c r="J156">
        <v>23</v>
      </c>
      <c r="K156">
        <v>32</v>
      </c>
      <c r="L156">
        <v>19</v>
      </c>
      <c r="M156">
        <v>17</v>
      </c>
      <c r="N156">
        <v>24</v>
      </c>
      <c r="O156">
        <v>22</v>
      </c>
      <c r="P156">
        <v>18</v>
      </c>
      <c r="Q156">
        <v>24</v>
      </c>
      <c r="R156">
        <v>22</v>
      </c>
      <c r="S156">
        <v>309</v>
      </c>
    </row>
    <row r="157" spans="1:19">
      <c r="A157" t="s">
        <v>501</v>
      </c>
      <c r="B157" t="s">
        <v>979</v>
      </c>
      <c r="C157" t="s">
        <v>209</v>
      </c>
      <c r="D157" t="s">
        <v>818</v>
      </c>
      <c r="F157">
        <v>0</v>
      </c>
      <c r="I157">
        <v>2</v>
      </c>
      <c r="J157">
        <v>1</v>
      </c>
      <c r="L157">
        <v>2</v>
      </c>
      <c r="S157">
        <v>5</v>
      </c>
    </row>
    <row r="158" spans="1:19">
      <c r="A158" t="s">
        <v>503</v>
      </c>
      <c r="B158" t="s">
        <v>980</v>
      </c>
      <c r="C158" t="s">
        <v>196</v>
      </c>
      <c r="E158">
        <v>79</v>
      </c>
      <c r="F158">
        <v>64</v>
      </c>
      <c r="G158">
        <v>76</v>
      </c>
      <c r="H158">
        <v>67</v>
      </c>
      <c r="I158">
        <v>62</v>
      </c>
      <c r="J158">
        <v>80</v>
      </c>
      <c r="K158">
        <v>72</v>
      </c>
      <c r="L158">
        <v>59</v>
      </c>
      <c r="M158">
        <v>65</v>
      </c>
      <c r="N158">
        <v>57</v>
      </c>
      <c r="O158">
        <v>61</v>
      </c>
      <c r="P158">
        <v>69</v>
      </c>
      <c r="Q158">
        <v>49</v>
      </c>
      <c r="R158">
        <v>79</v>
      </c>
      <c r="S158">
        <v>939</v>
      </c>
    </row>
    <row r="159" spans="1:19">
      <c r="A159" t="s">
        <v>505</v>
      </c>
      <c r="B159" t="s">
        <v>981</v>
      </c>
      <c r="C159" t="s">
        <v>196</v>
      </c>
      <c r="E159">
        <v>150</v>
      </c>
      <c r="F159">
        <v>112</v>
      </c>
      <c r="G159">
        <v>113</v>
      </c>
      <c r="H159">
        <v>137</v>
      </c>
      <c r="I159">
        <v>135</v>
      </c>
      <c r="J159">
        <v>154</v>
      </c>
      <c r="K159">
        <v>152</v>
      </c>
      <c r="L159">
        <v>180</v>
      </c>
      <c r="M159">
        <v>183</v>
      </c>
      <c r="N159">
        <v>185</v>
      </c>
      <c r="O159">
        <v>161</v>
      </c>
      <c r="P159">
        <v>140</v>
      </c>
      <c r="Q159">
        <v>154</v>
      </c>
      <c r="R159">
        <v>183</v>
      </c>
      <c r="S159">
        <v>2139</v>
      </c>
    </row>
    <row r="160" spans="1:19">
      <c r="A160" t="s">
        <v>507</v>
      </c>
      <c r="B160" t="s">
        <v>982</v>
      </c>
      <c r="C160" t="s">
        <v>220</v>
      </c>
      <c r="E160">
        <v>11</v>
      </c>
      <c r="F160">
        <v>11</v>
      </c>
      <c r="G160">
        <v>14</v>
      </c>
      <c r="H160">
        <v>16</v>
      </c>
      <c r="I160">
        <v>13</v>
      </c>
      <c r="J160">
        <v>8</v>
      </c>
      <c r="K160">
        <v>19</v>
      </c>
      <c r="L160">
        <v>12</v>
      </c>
      <c r="M160">
        <v>12</v>
      </c>
      <c r="N160">
        <v>10</v>
      </c>
      <c r="O160">
        <v>12</v>
      </c>
      <c r="P160">
        <v>12</v>
      </c>
      <c r="Q160">
        <v>6</v>
      </c>
      <c r="R160">
        <v>12</v>
      </c>
      <c r="S160">
        <v>168</v>
      </c>
    </row>
    <row r="161" spans="1:20">
      <c r="A161" t="s">
        <v>509</v>
      </c>
      <c r="B161" t="s">
        <v>983</v>
      </c>
      <c r="C161" t="s">
        <v>188</v>
      </c>
      <c r="E161">
        <v>8</v>
      </c>
      <c r="F161">
        <v>4</v>
      </c>
      <c r="G161">
        <v>8</v>
      </c>
      <c r="H161">
        <v>6</v>
      </c>
      <c r="I161">
        <v>5</v>
      </c>
      <c r="J161">
        <v>4</v>
      </c>
      <c r="K161">
        <v>6</v>
      </c>
      <c r="L161">
        <v>3</v>
      </c>
      <c r="M161">
        <v>6</v>
      </c>
      <c r="N161">
        <v>9</v>
      </c>
      <c r="O161">
        <v>10</v>
      </c>
      <c r="P161">
        <v>3</v>
      </c>
      <c r="Q161">
        <v>4</v>
      </c>
      <c r="R161">
        <v>2</v>
      </c>
      <c r="S161">
        <v>78</v>
      </c>
    </row>
    <row r="162" spans="1:20">
      <c r="A162" t="s">
        <v>511</v>
      </c>
      <c r="B162" t="s">
        <v>984</v>
      </c>
      <c r="C162" t="s">
        <v>209</v>
      </c>
      <c r="D162" t="s">
        <v>818</v>
      </c>
      <c r="E162">
        <v>1</v>
      </c>
      <c r="F162">
        <v>2</v>
      </c>
      <c r="G162">
        <v>4</v>
      </c>
      <c r="H162">
        <v>2</v>
      </c>
      <c r="I162">
        <v>6</v>
      </c>
      <c r="J162">
        <v>2</v>
      </c>
      <c r="K162">
        <v>5</v>
      </c>
      <c r="L162">
        <v>5</v>
      </c>
      <c r="M162">
        <v>1</v>
      </c>
      <c r="N162">
        <v>2</v>
      </c>
      <c r="O162">
        <v>2</v>
      </c>
      <c r="P162">
        <v>5</v>
      </c>
      <c r="Q162">
        <v>5</v>
      </c>
      <c r="R162">
        <v>2</v>
      </c>
      <c r="S162">
        <v>44</v>
      </c>
    </row>
    <row r="163" spans="1:20" s="379" customFormat="1" hidden="1">
      <c r="A163" s="379" t="s">
        <v>1280</v>
      </c>
      <c r="B163" s="379" t="s">
        <v>1281</v>
      </c>
      <c r="C163" s="379" t="s">
        <v>209</v>
      </c>
      <c r="D163" s="379" t="s">
        <v>818</v>
      </c>
      <c r="F163" s="379">
        <v>0</v>
      </c>
      <c r="Q163" s="379">
        <v>2</v>
      </c>
      <c r="R163" s="379">
        <v>12</v>
      </c>
      <c r="S163" s="379">
        <v>14</v>
      </c>
      <c r="T163" s="379" t="s">
        <v>1260</v>
      </c>
    </row>
    <row r="164" spans="1:20">
      <c r="A164" t="s">
        <v>513</v>
      </c>
      <c r="B164" t="s">
        <v>985</v>
      </c>
      <c r="C164" t="s">
        <v>230</v>
      </c>
      <c r="E164">
        <v>1</v>
      </c>
      <c r="F164">
        <v>3</v>
      </c>
      <c r="G164">
        <v>2</v>
      </c>
      <c r="H164">
        <v>2</v>
      </c>
      <c r="I164">
        <v>1</v>
      </c>
      <c r="J164">
        <v>3</v>
      </c>
      <c r="K164">
        <v>4</v>
      </c>
      <c r="L164">
        <v>2</v>
      </c>
      <c r="M164">
        <v>4</v>
      </c>
      <c r="N164">
        <v>6</v>
      </c>
      <c r="S164">
        <v>28</v>
      </c>
    </row>
    <row r="165" spans="1:20">
      <c r="A165" t="s">
        <v>515</v>
      </c>
      <c r="B165" t="s">
        <v>986</v>
      </c>
      <c r="C165" t="s">
        <v>193</v>
      </c>
      <c r="E165">
        <v>6</v>
      </c>
      <c r="F165">
        <v>9</v>
      </c>
      <c r="G165">
        <v>12</v>
      </c>
      <c r="H165">
        <v>10</v>
      </c>
      <c r="I165">
        <v>15</v>
      </c>
      <c r="J165">
        <v>10</v>
      </c>
      <c r="K165">
        <v>13</v>
      </c>
      <c r="L165">
        <v>18</v>
      </c>
      <c r="M165">
        <v>8</v>
      </c>
      <c r="N165">
        <v>12</v>
      </c>
      <c r="O165">
        <v>16</v>
      </c>
      <c r="P165">
        <v>12</v>
      </c>
      <c r="Q165">
        <v>16</v>
      </c>
      <c r="R165">
        <v>17</v>
      </c>
      <c r="S165">
        <v>174</v>
      </c>
    </row>
    <row r="166" spans="1:20">
      <c r="A166" t="s">
        <v>517</v>
      </c>
      <c r="B166" t="s">
        <v>987</v>
      </c>
      <c r="C166" t="s">
        <v>193</v>
      </c>
      <c r="E166">
        <v>7</v>
      </c>
      <c r="F166">
        <v>11</v>
      </c>
      <c r="G166">
        <v>7</v>
      </c>
      <c r="H166">
        <v>13</v>
      </c>
      <c r="I166">
        <v>16</v>
      </c>
      <c r="J166">
        <v>16</v>
      </c>
      <c r="K166">
        <v>21</v>
      </c>
      <c r="L166">
        <v>8</v>
      </c>
      <c r="M166">
        <v>17</v>
      </c>
      <c r="N166">
        <v>14</v>
      </c>
      <c r="O166">
        <v>17</v>
      </c>
      <c r="P166">
        <v>12</v>
      </c>
      <c r="Q166">
        <v>14</v>
      </c>
      <c r="R166">
        <v>21</v>
      </c>
      <c r="S166">
        <v>194</v>
      </c>
    </row>
    <row r="167" spans="1:20">
      <c r="A167" t="s">
        <v>519</v>
      </c>
      <c r="B167" t="s">
        <v>988</v>
      </c>
      <c r="C167" t="s">
        <v>196</v>
      </c>
      <c r="E167">
        <v>27</v>
      </c>
      <c r="F167">
        <v>16</v>
      </c>
      <c r="G167">
        <v>19</v>
      </c>
      <c r="H167">
        <v>29</v>
      </c>
      <c r="I167">
        <v>18</v>
      </c>
      <c r="J167">
        <v>38</v>
      </c>
      <c r="K167">
        <v>30</v>
      </c>
      <c r="L167">
        <v>31</v>
      </c>
      <c r="M167">
        <v>17</v>
      </c>
      <c r="N167">
        <v>20</v>
      </c>
      <c r="O167">
        <v>15</v>
      </c>
      <c r="P167">
        <v>22</v>
      </c>
      <c r="Q167">
        <v>15</v>
      </c>
      <c r="R167">
        <v>14</v>
      </c>
      <c r="S167">
        <v>311</v>
      </c>
    </row>
    <row r="168" spans="1:20">
      <c r="A168" t="s">
        <v>521</v>
      </c>
      <c r="B168" t="s">
        <v>989</v>
      </c>
      <c r="C168" t="s">
        <v>188</v>
      </c>
      <c r="E168">
        <v>2</v>
      </c>
      <c r="F168">
        <v>4</v>
      </c>
      <c r="G168">
        <v>10</v>
      </c>
      <c r="H168">
        <v>8</v>
      </c>
      <c r="I168">
        <v>12</v>
      </c>
      <c r="J168">
        <v>8</v>
      </c>
      <c r="K168">
        <v>9</v>
      </c>
      <c r="L168">
        <v>17</v>
      </c>
      <c r="M168">
        <v>8</v>
      </c>
      <c r="N168">
        <v>5</v>
      </c>
      <c r="O168">
        <v>15</v>
      </c>
      <c r="P168">
        <v>6</v>
      </c>
      <c r="Q168">
        <v>11</v>
      </c>
      <c r="R168">
        <v>13</v>
      </c>
      <c r="S168">
        <v>128</v>
      </c>
    </row>
    <row r="169" spans="1:20">
      <c r="A169" t="s">
        <v>523</v>
      </c>
      <c r="B169" t="s">
        <v>990</v>
      </c>
      <c r="C169" t="s">
        <v>201</v>
      </c>
      <c r="E169">
        <v>27</v>
      </c>
      <c r="F169">
        <v>15</v>
      </c>
      <c r="G169">
        <v>16</v>
      </c>
      <c r="H169">
        <v>32</v>
      </c>
      <c r="I169">
        <v>27</v>
      </c>
      <c r="J169">
        <v>25</v>
      </c>
      <c r="K169">
        <v>18</v>
      </c>
      <c r="L169">
        <v>20</v>
      </c>
      <c r="M169">
        <v>29</v>
      </c>
      <c r="N169">
        <v>19</v>
      </c>
      <c r="O169">
        <v>29</v>
      </c>
      <c r="P169">
        <v>23</v>
      </c>
      <c r="Q169">
        <v>21</v>
      </c>
      <c r="R169">
        <v>18</v>
      </c>
      <c r="S169">
        <v>319</v>
      </c>
    </row>
    <row r="170" spans="1:20">
      <c r="A170" t="s">
        <v>525</v>
      </c>
      <c r="B170" t="s">
        <v>991</v>
      </c>
      <c r="C170" t="s">
        <v>227</v>
      </c>
      <c r="E170">
        <v>59</v>
      </c>
      <c r="F170">
        <v>35</v>
      </c>
      <c r="G170">
        <v>52</v>
      </c>
      <c r="H170">
        <v>58</v>
      </c>
      <c r="I170">
        <v>64</v>
      </c>
      <c r="J170">
        <v>73</v>
      </c>
      <c r="K170">
        <v>54</v>
      </c>
      <c r="L170">
        <v>53</v>
      </c>
      <c r="M170">
        <v>50</v>
      </c>
      <c r="N170">
        <v>53</v>
      </c>
      <c r="O170">
        <v>51</v>
      </c>
      <c r="P170">
        <v>57</v>
      </c>
      <c r="Q170">
        <v>47</v>
      </c>
      <c r="R170">
        <v>61</v>
      </c>
      <c r="S170">
        <v>767</v>
      </c>
    </row>
    <row r="171" spans="1:20">
      <c r="A171" t="s">
        <v>527</v>
      </c>
      <c r="B171" t="s">
        <v>992</v>
      </c>
      <c r="C171" t="s">
        <v>227</v>
      </c>
      <c r="E171">
        <v>30</v>
      </c>
      <c r="F171">
        <v>18</v>
      </c>
      <c r="G171">
        <v>20</v>
      </c>
      <c r="H171">
        <v>26</v>
      </c>
      <c r="I171">
        <v>28</v>
      </c>
      <c r="J171">
        <v>27</v>
      </c>
      <c r="K171">
        <v>28</v>
      </c>
      <c r="L171">
        <v>20</v>
      </c>
      <c r="M171">
        <v>26</v>
      </c>
      <c r="N171">
        <v>28</v>
      </c>
      <c r="O171">
        <v>31</v>
      </c>
      <c r="P171">
        <v>26</v>
      </c>
      <c r="Q171">
        <v>31</v>
      </c>
      <c r="R171">
        <v>28</v>
      </c>
      <c r="S171">
        <v>367</v>
      </c>
    </row>
    <row r="172" spans="1:20">
      <c r="A172" t="s">
        <v>529</v>
      </c>
      <c r="B172" t="s">
        <v>993</v>
      </c>
      <c r="C172" t="s">
        <v>188</v>
      </c>
      <c r="F172">
        <v>1</v>
      </c>
      <c r="G172">
        <v>1</v>
      </c>
      <c r="H172">
        <v>3</v>
      </c>
      <c r="I172">
        <v>1</v>
      </c>
      <c r="L172">
        <v>1</v>
      </c>
      <c r="N172">
        <v>1</v>
      </c>
      <c r="S172">
        <v>8</v>
      </c>
    </row>
    <row r="173" spans="1:20">
      <c r="A173" t="s">
        <v>531</v>
      </c>
      <c r="B173" t="s">
        <v>994</v>
      </c>
      <c r="C173" t="s">
        <v>188</v>
      </c>
      <c r="E173">
        <v>193</v>
      </c>
      <c r="F173">
        <v>131</v>
      </c>
      <c r="G173">
        <v>140</v>
      </c>
      <c r="H173">
        <v>167</v>
      </c>
      <c r="I173">
        <v>181</v>
      </c>
      <c r="J173">
        <v>205</v>
      </c>
      <c r="K173">
        <v>174</v>
      </c>
      <c r="L173">
        <v>186</v>
      </c>
      <c r="M173">
        <v>178</v>
      </c>
      <c r="N173">
        <v>169</v>
      </c>
      <c r="O173">
        <v>172</v>
      </c>
      <c r="P173">
        <v>143</v>
      </c>
      <c r="Q173">
        <v>111</v>
      </c>
      <c r="R173">
        <v>141</v>
      </c>
      <c r="S173">
        <v>2291</v>
      </c>
    </row>
    <row r="174" spans="1:20">
      <c r="A174" t="s">
        <v>533</v>
      </c>
      <c r="B174" t="s">
        <v>995</v>
      </c>
      <c r="C174" t="s">
        <v>193</v>
      </c>
      <c r="F174">
        <v>0</v>
      </c>
      <c r="G174">
        <v>2</v>
      </c>
      <c r="H174">
        <v>4</v>
      </c>
      <c r="I174">
        <v>3</v>
      </c>
      <c r="J174">
        <v>1</v>
      </c>
      <c r="L174">
        <v>4</v>
      </c>
      <c r="M174">
        <v>2</v>
      </c>
      <c r="N174">
        <v>4</v>
      </c>
      <c r="O174">
        <v>1</v>
      </c>
      <c r="Q174">
        <v>1</v>
      </c>
      <c r="R174">
        <v>2</v>
      </c>
      <c r="S174">
        <v>24</v>
      </c>
    </row>
    <row r="175" spans="1:20">
      <c r="A175" t="s">
        <v>535</v>
      </c>
      <c r="B175" t="s">
        <v>996</v>
      </c>
      <c r="C175" t="s">
        <v>204</v>
      </c>
      <c r="E175">
        <v>175</v>
      </c>
      <c r="F175">
        <v>124</v>
      </c>
      <c r="G175">
        <v>156</v>
      </c>
      <c r="H175">
        <v>178</v>
      </c>
      <c r="I175">
        <v>228</v>
      </c>
      <c r="J175">
        <v>213</v>
      </c>
      <c r="K175">
        <v>254</v>
      </c>
      <c r="L175">
        <v>236</v>
      </c>
      <c r="M175">
        <v>214</v>
      </c>
      <c r="N175">
        <v>249</v>
      </c>
      <c r="O175">
        <v>190</v>
      </c>
      <c r="P175">
        <v>196</v>
      </c>
      <c r="Q175">
        <v>161</v>
      </c>
      <c r="R175">
        <v>210</v>
      </c>
      <c r="S175">
        <v>2784</v>
      </c>
    </row>
    <row r="176" spans="1:20">
      <c r="A176" t="s">
        <v>537</v>
      </c>
      <c r="B176" t="s">
        <v>997</v>
      </c>
      <c r="C176" t="s">
        <v>196</v>
      </c>
      <c r="E176">
        <v>122</v>
      </c>
      <c r="F176">
        <v>64</v>
      </c>
      <c r="G176">
        <v>77</v>
      </c>
      <c r="H176">
        <v>73</v>
      </c>
      <c r="I176">
        <v>84</v>
      </c>
      <c r="J176">
        <v>86</v>
      </c>
      <c r="K176">
        <v>83</v>
      </c>
      <c r="L176">
        <v>55</v>
      </c>
      <c r="M176">
        <v>61</v>
      </c>
      <c r="N176">
        <v>68</v>
      </c>
      <c r="O176">
        <v>57</v>
      </c>
      <c r="P176">
        <v>48</v>
      </c>
      <c r="Q176">
        <v>50</v>
      </c>
      <c r="R176">
        <v>82</v>
      </c>
      <c r="S176">
        <v>1010</v>
      </c>
    </row>
    <row r="177" spans="1:20">
      <c r="A177" t="s">
        <v>539</v>
      </c>
      <c r="B177" t="s">
        <v>998</v>
      </c>
      <c r="C177" t="s">
        <v>193</v>
      </c>
      <c r="F177">
        <v>1</v>
      </c>
      <c r="G177">
        <v>3</v>
      </c>
      <c r="I177">
        <v>1</v>
      </c>
      <c r="J177">
        <v>3</v>
      </c>
      <c r="K177">
        <v>1</v>
      </c>
      <c r="M177">
        <v>4</v>
      </c>
      <c r="N177">
        <v>2</v>
      </c>
      <c r="O177">
        <v>1</v>
      </c>
      <c r="P177">
        <v>1</v>
      </c>
      <c r="R177">
        <v>2</v>
      </c>
      <c r="S177">
        <v>19</v>
      </c>
    </row>
    <row r="178" spans="1:20">
      <c r="A178" t="s">
        <v>541</v>
      </c>
      <c r="B178" t="s">
        <v>999</v>
      </c>
      <c r="C178" t="s">
        <v>188</v>
      </c>
      <c r="E178">
        <v>4</v>
      </c>
      <c r="F178">
        <v>8</v>
      </c>
      <c r="G178">
        <v>4</v>
      </c>
      <c r="H178">
        <v>6</v>
      </c>
      <c r="I178">
        <v>2</v>
      </c>
      <c r="J178">
        <v>4</v>
      </c>
      <c r="K178">
        <v>3</v>
      </c>
      <c r="L178">
        <v>6</v>
      </c>
      <c r="M178">
        <v>2</v>
      </c>
      <c r="N178">
        <v>1</v>
      </c>
      <c r="O178">
        <v>5</v>
      </c>
      <c r="P178">
        <v>6</v>
      </c>
      <c r="Q178">
        <v>8</v>
      </c>
      <c r="R178">
        <v>4</v>
      </c>
      <c r="S178">
        <v>63</v>
      </c>
    </row>
    <row r="179" spans="1:20">
      <c r="A179" t="s">
        <v>543</v>
      </c>
      <c r="B179" t="s">
        <v>1000</v>
      </c>
      <c r="C179" t="s">
        <v>209</v>
      </c>
      <c r="D179" t="s">
        <v>818</v>
      </c>
      <c r="E179">
        <v>8</v>
      </c>
      <c r="F179">
        <v>13</v>
      </c>
      <c r="G179">
        <v>31</v>
      </c>
      <c r="H179">
        <v>21</v>
      </c>
      <c r="I179">
        <v>12</v>
      </c>
      <c r="J179">
        <v>18</v>
      </c>
      <c r="K179">
        <v>14</v>
      </c>
      <c r="L179">
        <v>16</v>
      </c>
      <c r="M179">
        <v>17</v>
      </c>
      <c r="N179">
        <v>15</v>
      </c>
      <c r="O179">
        <v>17</v>
      </c>
      <c r="P179">
        <v>17</v>
      </c>
      <c r="Q179">
        <v>18</v>
      </c>
      <c r="R179">
        <v>20</v>
      </c>
      <c r="S179">
        <v>237</v>
      </c>
    </row>
    <row r="180" spans="1:20">
      <c r="A180" t="s">
        <v>545</v>
      </c>
      <c r="B180" t="s">
        <v>1001</v>
      </c>
      <c r="C180" t="s">
        <v>188</v>
      </c>
      <c r="E180">
        <v>4</v>
      </c>
      <c r="F180">
        <v>8</v>
      </c>
      <c r="G180">
        <v>5</v>
      </c>
      <c r="H180">
        <v>8</v>
      </c>
      <c r="I180">
        <v>5</v>
      </c>
      <c r="J180">
        <v>5</v>
      </c>
      <c r="K180">
        <v>7</v>
      </c>
      <c r="L180">
        <v>1</v>
      </c>
      <c r="M180">
        <v>4</v>
      </c>
      <c r="N180">
        <v>2</v>
      </c>
      <c r="O180">
        <v>4</v>
      </c>
      <c r="P180">
        <v>6</v>
      </c>
      <c r="Q180">
        <v>7</v>
      </c>
      <c r="R180">
        <v>7</v>
      </c>
      <c r="S180">
        <v>73</v>
      </c>
    </row>
    <row r="181" spans="1:20">
      <c r="A181" t="s">
        <v>547</v>
      </c>
      <c r="B181" t="s">
        <v>1002</v>
      </c>
      <c r="C181" t="s">
        <v>193</v>
      </c>
      <c r="E181">
        <v>4</v>
      </c>
      <c r="F181">
        <v>4</v>
      </c>
      <c r="H181">
        <v>1</v>
      </c>
      <c r="I181">
        <v>2</v>
      </c>
      <c r="J181">
        <v>3</v>
      </c>
      <c r="K181">
        <v>3</v>
      </c>
      <c r="L181">
        <v>2</v>
      </c>
      <c r="M181">
        <v>1</v>
      </c>
      <c r="N181">
        <v>1</v>
      </c>
      <c r="P181">
        <v>2</v>
      </c>
      <c r="Q181">
        <v>2</v>
      </c>
      <c r="R181">
        <v>1</v>
      </c>
      <c r="S181">
        <v>26</v>
      </c>
    </row>
    <row r="182" spans="1:20">
      <c r="A182" t="s">
        <v>549</v>
      </c>
      <c r="B182" t="s">
        <v>1003</v>
      </c>
      <c r="C182" t="s">
        <v>230</v>
      </c>
      <c r="E182">
        <v>9</v>
      </c>
      <c r="F182">
        <v>7</v>
      </c>
      <c r="G182">
        <v>6</v>
      </c>
      <c r="H182">
        <v>6</v>
      </c>
      <c r="I182">
        <v>12</v>
      </c>
      <c r="J182">
        <v>20</v>
      </c>
      <c r="K182">
        <v>13</v>
      </c>
      <c r="L182">
        <v>13</v>
      </c>
      <c r="M182">
        <v>11</v>
      </c>
      <c r="N182">
        <v>14</v>
      </c>
      <c r="O182">
        <v>14</v>
      </c>
      <c r="P182">
        <v>10</v>
      </c>
      <c r="Q182">
        <v>13</v>
      </c>
      <c r="R182">
        <v>17</v>
      </c>
      <c r="S182">
        <v>165</v>
      </c>
    </row>
    <row r="183" spans="1:20">
      <c r="A183" t="s">
        <v>551</v>
      </c>
      <c r="B183" t="s">
        <v>1004</v>
      </c>
      <c r="C183" t="s">
        <v>188</v>
      </c>
      <c r="E183">
        <v>84</v>
      </c>
      <c r="F183">
        <v>65</v>
      </c>
      <c r="G183">
        <v>96</v>
      </c>
      <c r="H183">
        <v>119</v>
      </c>
      <c r="I183">
        <v>143</v>
      </c>
      <c r="J183">
        <v>134</v>
      </c>
      <c r="K183">
        <v>141</v>
      </c>
      <c r="L183">
        <v>128</v>
      </c>
      <c r="M183">
        <v>132</v>
      </c>
      <c r="N183">
        <v>113</v>
      </c>
      <c r="O183">
        <v>108</v>
      </c>
      <c r="P183">
        <v>87</v>
      </c>
      <c r="Q183">
        <v>106</v>
      </c>
      <c r="R183">
        <v>119</v>
      </c>
      <c r="S183">
        <v>1575</v>
      </c>
    </row>
    <row r="184" spans="1:20" s="379" customFormat="1" hidden="1">
      <c r="A184" s="379" t="s">
        <v>1282</v>
      </c>
      <c r="B184" s="379" t="s">
        <v>1283</v>
      </c>
      <c r="C184" s="379" t="s">
        <v>227</v>
      </c>
      <c r="F184" s="379">
        <v>0</v>
      </c>
      <c r="P184" s="379">
        <v>1</v>
      </c>
      <c r="Q184" s="379">
        <v>1</v>
      </c>
      <c r="R184" s="379">
        <v>2</v>
      </c>
      <c r="S184" s="379">
        <v>4</v>
      </c>
      <c r="T184" s="379" t="s">
        <v>1260</v>
      </c>
    </row>
    <row r="185" spans="1:20">
      <c r="A185" t="s">
        <v>553</v>
      </c>
      <c r="B185" t="s">
        <v>1005</v>
      </c>
      <c r="C185" t="s">
        <v>230</v>
      </c>
      <c r="E185">
        <v>27</v>
      </c>
      <c r="F185">
        <v>33</v>
      </c>
      <c r="G185">
        <v>42</v>
      </c>
      <c r="H185">
        <v>60</v>
      </c>
      <c r="I185">
        <v>70</v>
      </c>
      <c r="J185">
        <v>70</v>
      </c>
      <c r="K185">
        <v>58</v>
      </c>
      <c r="L185">
        <v>92</v>
      </c>
      <c r="M185">
        <v>93</v>
      </c>
      <c r="N185">
        <v>100</v>
      </c>
      <c r="O185">
        <v>79</v>
      </c>
      <c r="P185">
        <v>75</v>
      </c>
      <c r="Q185">
        <v>62</v>
      </c>
      <c r="R185">
        <v>67</v>
      </c>
      <c r="S185">
        <v>928</v>
      </c>
    </row>
    <row r="186" spans="1:20">
      <c r="A186" t="s">
        <v>555</v>
      </c>
      <c r="B186" t="s">
        <v>1006</v>
      </c>
      <c r="C186" t="s">
        <v>188</v>
      </c>
      <c r="E186">
        <v>7</v>
      </c>
      <c r="F186">
        <v>7</v>
      </c>
      <c r="G186">
        <v>5</v>
      </c>
      <c r="H186">
        <v>8</v>
      </c>
      <c r="I186">
        <v>9</v>
      </c>
      <c r="J186">
        <v>11</v>
      </c>
      <c r="K186">
        <v>17</v>
      </c>
      <c r="L186">
        <v>11</v>
      </c>
      <c r="M186">
        <v>8</v>
      </c>
      <c r="N186">
        <v>8</v>
      </c>
      <c r="O186">
        <v>21</v>
      </c>
      <c r="P186">
        <v>14</v>
      </c>
      <c r="Q186">
        <v>10</v>
      </c>
      <c r="R186">
        <v>10</v>
      </c>
      <c r="S186">
        <v>146</v>
      </c>
    </row>
    <row r="187" spans="1:20">
      <c r="A187" t="s">
        <v>557</v>
      </c>
      <c r="B187" t="s">
        <v>1007</v>
      </c>
      <c r="C187" t="s">
        <v>193</v>
      </c>
      <c r="F187">
        <v>1</v>
      </c>
      <c r="G187">
        <v>1</v>
      </c>
      <c r="H187">
        <v>1</v>
      </c>
      <c r="I187">
        <v>1</v>
      </c>
      <c r="L187">
        <v>1</v>
      </c>
      <c r="M187">
        <v>2</v>
      </c>
      <c r="S187">
        <v>7</v>
      </c>
    </row>
    <row r="188" spans="1:20">
      <c r="A188" t="s">
        <v>559</v>
      </c>
      <c r="B188" t="s">
        <v>1008</v>
      </c>
      <c r="C188" t="s">
        <v>196</v>
      </c>
      <c r="E188">
        <v>7</v>
      </c>
      <c r="F188">
        <v>3</v>
      </c>
      <c r="H188">
        <v>7</v>
      </c>
      <c r="I188">
        <v>5</v>
      </c>
      <c r="J188">
        <v>6</v>
      </c>
      <c r="K188">
        <v>7</v>
      </c>
      <c r="L188">
        <v>8</v>
      </c>
      <c r="M188">
        <v>7</v>
      </c>
      <c r="N188">
        <v>6</v>
      </c>
      <c r="O188">
        <v>4</v>
      </c>
      <c r="P188">
        <v>4</v>
      </c>
      <c r="Q188">
        <v>9</v>
      </c>
      <c r="R188">
        <v>11</v>
      </c>
      <c r="S188">
        <v>84</v>
      </c>
    </row>
    <row r="189" spans="1:20">
      <c r="A189" t="s">
        <v>561</v>
      </c>
      <c r="B189" t="s">
        <v>1009</v>
      </c>
      <c r="C189" t="s">
        <v>193</v>
      </c>
      <c r="F189">
        <v>1</v>
      </c>
      <c r="H189">
        <v>2</v>
      </c>
      <c r="J189">
        <v>1</v>
      </c>
      <c r="M189">
        <v>1</v>
      </c>
      <c r="S189">
        <v>5</v>
      </c>
    </row>
    <row r="190" spans="1:20">
      <c r="A190" t="s">
        <v>563</v>
      </c>
      <c r="B190" t="s">
        <v>1010</v>
      </c>
      <c r="C190" t="s">
        <v>193</v>
      </c>
      <c r="F190">
        <v>0</v>
      </c>
      <c r="H190">
        <v>1</v>
      </c>
      <c r="K190">
        <v>1</v>
      </c>
      <c r="L190">
        <v>2</v>
      </c>
      <c r="N190">
        <v>2</v>
      </c>
      <c r="S190">
        <v>6</v>
      </c>
    </row>
    <row r="191" spans="1:20">
      <c r="A191" t="s">
        <v>565</v>
      </c>
      <c r="B191" t="s">
        <v>1011</v>
      </c>
      <c r="C191" t="s">
        <v>230</v>
      </c>
      <c r="D191" t="s">
        <v>818</v>
      </c>
      <c r="E191">
        <v>2</v>
      </c>
      <c r="F191">
        <v>2</v>
      </c>
      <c r="G191">
        <v>1</v>
      </c>
      <c r="H191">
        <v>5</v>
      </c>
      <c r="I191">
        <v>1</v>
      </c>
      <c r="K191">
        <v>3</v>
      </c>
      <c r="L191">
        <v>1</v>
      </c>
      <c r="M191">
        <v>2</v>
      </c>
      <c r="N191">
        <v>1</v>
      </c>
      <c r="S191">
        <v>18</v>
      </c>
    </row>
    <row r="192" spans="1:20">
      <c r="A192" t="s">
        <v>567</v>
      </c>
      <c r="B192" t="s">
        <v>1012</v>
      </c>
      <c r="C192" t="s">
        <v>230</v>
      </c>
      <c r="E192">
        <v>3</v>
      </c>
      <c r="F192">
        <v>3</v>
      </c>
      <c r="G192">
        <v>4</v>
      </c>
      <c r="H192">
        <v>4</v>
      </c>
      <c r="I192">
        <v>3</v>
      </c>
      <c r="J192">
        <v>8</v>
      </c>
      <c r="K192">
        <v>6</v>
      </c>
      <c r="L192">
        <v>5</v>
      </c>
      <c r="M192">
        <v>3</v>
      </c>
      <c r="N192">
        <v>4</v>
      </c>
      <c r="O192">
        <v>5</v>
      </c>
      <c r="P192">
        <v>8</v>
      </c>
      <c r="Q192">
        <v>5</v>
      </c>
      <c r="R192">
        <v>6</v>
      </c>
      <c r="S192">
        <v>67</v>
      </c>
    </row>
    <row r="193" spans="1:19">
      <c r="A193" t="s">
        <v>569</v>
      </c>
      <c r="B193" t="s">
        <v>1013</v>
      </c>
      <c r="C193" t="s">
        <v>204</v>
      </c>
      <c r="E193">
        <v>27</v>
      </c>
      <c r="F193">
        <v>25</v>
      </c>
      <c r="G193">
        <v>23</v>
      </c>
      <c r="H193">
        <v>25</v>
      </c>
      <c r="I193">
        <v>22</v>
      </c>
      <c r="J193">
        <v>37</v>
      </c>
      <c r="K193">
        <v>41</v>
      </c>
      <c r="L193">
        <v>42</v>
      </c>
      <c r="M193">
        <v>19</v>
      </c>
      <c r="N193">
        <v>33</v>
      </c>
      <c r="O193">
        <v>31</v>
      </c>
      <c r="P193">
        <v>37</v>
      </c>
      <c r="Q193">
        <v>24</v>
      </c>
      <c r="R193">
        <v>33</v>
      </c>
      <c r="S193">
        <v>419</v>
      </c>
    </row>
    <row r="194" spans="1:19">
      <c r="A194" t="s">
        <v>571</v>
      </c>
      <c r="B194" t="s">
        <v>1014</v>
      </c>
      <c r="C194" t="s">
        <v>201</v>
      </c>
      <c r="E194">
        <v>48</v>
      </c>
      <c r="F194">
        <v>36</v>
      </c>
      <c r="G194">
        <v>48</v>
      </c>
      <c r="H194">
        <v>26</v>
      </c>
      <c r="I194">
        <v>38</v>
      </c>
      <c r="J194">
        <v>39</v>
      </c>
      <c r="K194">
        <v>42</v>
      </c>
      <c r="L194">
        <v>43</v>
      </c>
      <c r="M194">
        <v>51</v>
      </c>
      <c r="N194">
        <v>49</v>
      </c>
      <c r="O194">
        <v>53</v>
      </c>
      <c r="P194">
        <v>55</v>
      </c>
      <c r="Q194">
        <v>45</v>
      </c>
      <c r="R194">
        <v>41</v>
      </c>
      <c r="S194">
        <v>614</v>
      </c>
    </row>
    <row r="195" spans="1:19">
      <c r="A195" t="s">
        <v>573</v>
      </c>
      <c r="B195" t="s">
        <v>1015</v>
      </c>
      <c r="C195" t="s">
        <v>230</v>
      </c>
      <c r="E195">
        <v>2</v>
      </c>
      <c r="F195">
        <v>0</v>
      </c>
      <c r="G195">
        <v>1</v>
      </c>
      <c r="H195">
        <v>1</v>
      </c>
      <c r="I195">
        <v>1</v>
      </c>
      <c r="L195">
        <v>1</v>
      </c>
      <c r="S195">
        <v>6</v>
      </c>
    </row>
    <row r="196" spans="1:19">
      <c r="A196" t="s">
        <v>575</v>
      </c>
      <c r="B196" t="s">
        <v>1016</v>
      </c>
      <c r="C196" t="s">
        <v>193</v>
      </c>
      <c r="F196">
        <v>1</v>
      </c>
      <c r="G196">
        <v>2</v>
      </c>
      <c r="H196">
        <v>3</v>
      </c>
      <c r="I196">
        <v>1</v>
      </c>
      <c r="J196">
        <v>3</v>
      </c>
      <c r="K196">
        <v>2</v>
      </c>
      <c r="L196">
        <v>1</v>
      </c>
      <c r="M196">
        <v>2</v>
      </c>
      <c r="N196">
        <v>1</v>
      </c>
      <c r="O196">
        <v>1</v>
      </c>
      <c r="P196">
        <v>2</v>
      </c>
      <c r="R196">
        <v>1</v>
      </c>
      <c r="S196">
        <v>20</v>
      </c>
    </row>
    <row r="197" spans="1:19">
      <c r="A197" t="s">
        <v>577</v>
      </c>
      <c r="B197" t="s">
        <v>1017</v>
      </c>
      <c r="C197" t="s">
        <v>201</v>
      </c>
      <c r="E197">
        <v>119</v>
      </c>
      <c r="F197">
        <v>112</v>
      </c>
      <c r="G197">
        <v>119</v>
      </c>
      <c r="H197">
        <v>155</v>
      </c>
      <c r="I197">
        <v>186</v>
      </c>
      <c r="J197">
        <v>170</v>
      </c>
      <c r="K197">
        <v>186</v>
      </c>
      <c r="L197">
        <v>168</v>
      </c>
      <c r="M197">
        <v>206</v>
      </c>
      <c r="N197">
        <v>218</v>
      </c>
      <c r="O197">
        <v>176</v>
      </c>
      <c r="P197">
        <v>189</v>
      </c>
      <c r="Q197">
        <v>183</v>
      </c>
      <c r="R197">
        <v>200</v>
      </c>
      <c r="S197">
        <v>2387</v>
      </c>
    </row>
    <row r="198" spans="1:19">
      <c r="A198" t="s">
        <v>579</v>
      </c>
      <c r="B198" t="s">
        <v>1018</v>
      </c>
      <c r="C198" t="s">
        <v>230</v>
      </c>
      <c r="E198">
        <v>2</v>
      </c>
      <c r="F198">
        <v>5</v>
      </c>
      <c r="H198">
        <v>3</v>
      </c>
      <c r="I198">
        <v>1</v>
      </c>
      <c r="J198">
        <v>3</v>
      </c>
      <c r="K198">
        <v>6</v>
      </c>
      <c r="L198">
        <v>5</v>
      </c>
      <c r="M198">
        <v>1</v>
      </c>
      <c r="N198">
        <v>5</v>
      </c>
      <c r="O198">
        <v>3</v>
      </c>
      <c r="P198">
        <v>2</v>
      </c>
      <c r="Q198">
        <v>3</v>
      </c>
      <c r="R198">
        <v>2</v>
      </c>
      <c r="S198">
        <v>41</v>
      </c>
    </row>
    <row r="199" spans="1:19">
      <c r="A199" t="s">
        <v>581</v>
      </c>
      <c r="B199" t="s">
        <v>1143</v>
      </c>
      <c r="C199" t="s">
        <v>201</v>
      </c>
      <c r="F199">
        <v>0</v>
      </c>
      <c r="G199">
        <v>3</v>
      </c>
      <c r="H199">
        <v>7</v>
      </c>
      <c r="I199">
        <v>5</v>
      </c>
      <c r="J199">
        <v>3</v>
      </c>
      <c r="L199">
        <v>2</v>
      </c>
      <c r="S199">
        <v>20</v>
      </c>
    </row>
    <row r="200" spans="1:19">
      <c r="A200" t="s">
        <v>583</v>
      </c>
      <c r="B200" t="s">
        <v>1019</v>
      </c>
      <c r="C200" t="s">
        <v>188</v>
      </c>
      <c r="E200">
        <v>5</v>
      </c>
      <c r="F200">
        <v>1</v>
      </c>
      <c r="G200">
        <v>5</v>
      </c>
      <c r="H200">
        <v>4</v>
      </c>
      <c r="I200">
        <v>3</v>
      </c>
      <c r="J200">
        <v>8</v>
      </c>
      <c r="K200">
        <v>4</v>
      </c>
      <c r="L200">
        <v>4</v>
      </c>
      <c r="M200">
        <v>5</v>
      </c>
      <c r="N200">
        <v>3</v>
      </c>
      <c r="P200">
        <v>2</v>
      </c>
      <c r="Q200">
        <v>1</v>
      </c>
      <c r="R200">
        <v>7</v>
      </c>
      <c r="S200">
        <v>52</v>
      </c>
    </row>
    <row r="201" spans="1:19">
      <c r="A201" t="s">
        <v>585</v>
      </c>
      <c r="B201" t="s">
        <v>1020</v>
      </c>
      <c r="C201" t="s">
        <v>204</v>
      </c>
      <c r="E201">
        <v>76</v>
      </c>
      <c r="F201">
        <v>87</v>
      </c>
      <c r="G201">
        <v>79</v>
      </c>
      <c r="H201">
        <v>109</v>
      </c>
      <c r="I201">
        <v>94</v>
      </c>
      <c r="J201">
        <v>78</v>
      </c>
      <c r="K201">
        <v>101</v>
      </c>
      <c r="L201">
        <v>78</v>
      </c>
      <c r="M201">
        <v>84</v>
      </c>
      <c r="N201">
        <v>64</v>
      </c>
      <c r="O201">
        <v>86</v>
      </c>
      <c r="P201">
        <v>64</v>
      </c>
      <c r="Q201">
        <v>72</v>
      </c>
      <c r="R201">
        <v>102</v>
      </c>
      <c r="S201">
        <v>1174</v>
      </c>
    </row>
    <row r="202" spans="1:19">
      <c r="A202" t="s">
        <v>1164</v>
      </c>
      <c r="B202" t="s">
        <v>1284</v>
      </c>
      <c r="C202" t="s">
        <v>230</v>
      </c>
      <c r="F202">
        <v>0</v>
      </c>
      <c r="L202">
        <v>5</v>
      </c>
      <c r="M202">
        <v>6</v>
      </c>
      <c r="S202">
        <v>11</v>
      </c>
    </row>
    <row r="203" spans="1:19">
      <c r="A203" t="s">
        <v>587</v>
      </c>
      <c r="B203" t="s">
        <v>1021</v>
      </c>
      <c r="C203" t="s">
        <v>188</v>
      </c>
      <c r="E203">
        <v>12</v>
      </c>
      <c r="F203">
        <v>11</v>
      </c>
      <c r="G203">
        <v>12</v>
      </c>
      <c r="H203">
        <v>12</v>
      </c>
      <c r="I203">
        <v>16</v>
      </c>
      <c r="J203">
        <v>12</v>
      </c>
      <c r="K203">
        <v>17</v>
      </c>
      <c r="L203">
        <v>8</v>
      </c>
      <c r="M203">
        <v>14</v>
      </c>
      <c r="N203">
        <v>8</v>
      </c>
      <c r="S203">
        <v>122</v>
      </c>
    </row>
    <row r="204" spans="1:19">
      <c r="A204" t="s">
        <v>589</v>
      </c>
      <c r="B204" t="s">
        <v>1022</v>
      </c>
      <c r="C204" t="s">
        <v>201</v>
      </c>
      <c r="E204">
        <v>5</v>
      </c>
      <c r="F204">
        <v>8</v>
      </c>
      <c r="G204">
        <v>8</v>
      </c>
      <c r="H204">
        <v>2</v>
      </c>
      <c r="I204">
        <v>5</v>
      </c>
      <c r="J204">
        <v>7</v>
      </c>
      <c r="K204">
        <v>3</v>
      </c>
      <c r="M204">
        <v>5</v>
      </c>
      <c r="N204">
        <v>2</v>
      </c>
      <c r="O204">
        <v>3</v>
      </c>
      <c r="P204">
        <v>4</v>
      </c>
      <c r="Q204">
        <v>4</v>
      </c>
      <c r="R204">
        <v>1</v>
      </c>
      <c r="S204">
        <v>57</v>
      </c>
    </row>
    <row r="205" spans="1:19">
      <c r="A205" t="s">
        <v>591</v>
      </c>
      <c r="B205" t="s">
        <v>1023</v>
      </c>
      <c r="C205" t="s">
        <v>227</v>
      </c>
      <c r="E205">
        <v>21</v>
      </c>
      <c r="F205">
        <v>48</v>
      </c>
      <c r="G205">
        <v>36</v>
      </c>
      <c r="H205">
        <v>41</v>
      </c>
      <c r="I205">
        <v>51</v>
      </c>
      <c r="J205">
        <v>39</v>
      </c>
      <c r="K205">
        <v>49</v>
      </c>
      <c r="L205">
        <v>46</v>
      </c>
      <c r="M205">
        <v>28</v>
      </c>
      <c r="N205">
        <v>36</v>
      </c>
      <c r="O205">
        <v>47</v>
      </c>
      <c r="P205">
        <v>41</v>
      </c>
      <c r="Q205">
        <v>39</v>
      </c>
      <c r="R205">
        <v>43</v>
      </c>
      <c r="S205">
        <v>565</v>
      </c>
    </row>
    <row r="206" spans="1:19">
      <c r="A206" t="s">
        <v>593</v>
      </c>
      <c r="B206" t="s">
        <v>1024</v>
      </c>
      <c r="C206" t="s">
        <v>227</v>
      </c>
      <c r="E206">
        <v>12</v>
      </c>
      <c r="F206">
        <v>2</v>
      </c>
      <c r="G206">
        <v>13</v>
      </c>
      <c r="H206">
        <v>5</v>
      </c>
      <c r="I206">
        <v>11</v>
      </c>
      <c r="J206">
        <v>12</v>
      </c>
      <c r="K206">
        <v>9</v>
      </c>
      <c r="L206">
        <v>12</v>
      </c>
      <c r="M206">
        <v>11</v>
      </c>
      <c r="N206">
        <v>17</v>
      </c>
      <c r="O206">
        <v>7</v>
      </c>
      <c r="P206">
        <v>14</v>
      </c>
      <c r="Q206">
        <v>12</v>
      </c>
      <c r="R206">
        <v>19</v>
      </c>
      <c r="S206">
        <v>156</v>
      </c>
    </row>
    <row r="207" spans="1:19">
      <c r="A207" t="s">
        <v>595</v>
      </c>
      <c r="B207" t="s">
        <v>1025</v>
      </c>
      <c r="C207" t="s">
        <v>201</v>
      </c>
      <c r="F207">
        <v>1</v>
      </c>
      <c r="G207">
        <v>6</v>
      </c>
      <c r="H207">
        <v>1</v>
      </c>
      <c r="I207">
        <v>2</v>
      </c>
      <c r="J207">
        <v>5</v>
      </c>
      <c r="K207">
        <v>3</v>
      </c>
      <c r="L207">
        <v>1</v>
      </c>
      <c r="N207">
        <v>3</v>
      </c>
      <c r="O207">
        <v>3</v>
      </c>
      <c r="P207">
        <v>2</v>
      </c>
      <c r="Q207">
        <v>3</v>
      </c>
      <c r="R207">
        <v>3</v>
      </c>
      <c r="S207">
        <v>33</v>
      </c>
    </row>
    <row r="208" spans="1:19">
      <c r="A208" t="s">
        <v>597</v>
      </c>
      <c r="B208" t="s">
        <v>1249</v>
      </c>
      <c r="C208" t="s">
        <v>193</v>
      </c>
      <c r="F208">
        <v>0</v>
      </c>
      <c r="L208">
        <v>7</v>
      </c>
      <c r="M208">
        <v>17</v>
      </c>
      <c r="N208">
        <v>16</v>
      </c>
      <c r="O208">
        <v>18</v>
      </c>
      <c r="P208">
        <v>10</v>
      </c>
      <c r="Q208">
        <v>24</v>
      </c>
      <c r="R208">
        <v>11</v>
      </c>
      <c r="S208">
        <v>103</v>
      </c>
    </row>
    <row r="209" spans="1:19">
      <c r="A209" t="s">
        <v>599</v>
      </c>
      <c r="B209" t="s">
        <v>1027</v>
      </c>
      <c r="C209" t="s">
        <v>201</v>
      </c>
      <c r="E209">
        <v>14</v>
      </c>
      <c r="F209">
        <v>9</v>
      </c>
      <c r="G209">
        <v>14</v>
      </c>
      <c r="H209">
        <v>26</v>
      </c>
      <c r="I209">
        <v>33</v>
      </c>
      <c r="J209">
        <v>25</v>
      </c>
      <c r="K209">
        <v>32</v>
      </c>
      <c r="L209">
        <v>19</v>
      </c>
      <c r="M209">
        <v>23</v>
      </c>
      <c r="N209">
        <v>27</v>
      </c>
      <c r="O209">
        <v>28</v>
      </c>
      <c r="P209">
        <v>23</v>
      </c>
      <c r="Q209">
        <v>22</v>
      </c>
      <c r="R209">
        <v>33</v>
      </c>
      <c r="S209">
        <v>328</v>
      </c>
    </row>
    <row r="210" spans="1:19">
      <c r="A210" t="s">
        <v>601</v>
      </c>
      <c r="B210" t="s">
        <v>1028</v>
      </c>
      <c r="C210" t="s">
        <v>193</v>
      </c>
      <c r="E210">
        <v>42</v>
      </c>
      <c r="F210">
        <v>17</v>
      </c>
      <c r="G210">
        <v>24</v>
      </c>
      <c r="H210">
        <v>23</v>
      </c>
      <c r="I210">
        <v>26</v>
      </c>
      <c r="J210">
        <v>23</v>
      </c>
      <c r="K210">
        <v>30</v>
      </c>
      <c r="L210">
        <v>30</v>
      </c>
      <c r="M210">
        <v>24</v>
      </c>
      <c r="N210">
        <v>24</v>
      </c>
      <c r="O210">
        <v>30</v>
      </c>
      <c r="P210">
        <v>25</v>
      </c>
      <c r="Q210">
        <v>14</v>
      </c>
      <c r="R210">
        <v>28</v>
      </c>
      <c r="S210">
        <v>360</v>
      </c>
    </row>
    <row r="211" spans="1:19">
      <c r="A211" t="s">
        <v>1166</v>
      </c>
      <c r="B211" t="s">
        <v>1285</v>
      </c>
      <c r="C211" t="s">
        <v>193</v>
      </c>
      <c r="F211">
        <v>1</v>
      </c>
      <c r="H211">
        <v>1</v>
      </c>
      <c r="J211">
        <v>3</v>
      </c>
      <c r="K211">
        <v>1</v>
      </c>
      <c r="S211">
        <v>6</v>
      </c>
    </row>
    <row r="212" spans="1:19">
      <c r="A212" t="s">
        <v>603</v>
      </c>
      <c r="B212" t="s">
        <v>1029</v>
      </c>
      <c r="C212" t="s">
        <v>204</v>
      </c>
      <c r="E212">
        <v>206</v>
      </c>
      <c r="F212">
        <v>175</v>
      </c>
      <c r="G212">
        <v>184</v>
      </c>
      <c r="H212">
        <v>206</v>
      </c>
      <c r="I212">
        <v>186</v>
      </c>
      <c r="J212">
        <v>175</v>
      </c>
      <c r="K212">
        <v>188</v>
      </c>
      <c r="L212">
        <v>205</v>
      </c>
      <c r="M212">
        <v>203</v>
      </c>
      <c r="N212">
        <v>211</v>
      </c>
      <c r="O212">
        <v>184</v>
      </c>
      <c r="P212">
        <v>199</v>
      </c>
      <c r="Q212">
        <v>178</v>
      </c>
      <c r="R212">
        <v>230</v>
      </c>
      <c r="S212">
        <v>2730</v>
      </c>
    </row>
    <row r="213" spans="1:19">
      <c r="A213" t="s">
        <v>605</v>
      </c>
      <c r="B213" t="s">
        <v>1030</v>
      </c>
      <c r="C213" t="s">
        <v>227</v>
      </c>
      <c r="E213">
        <v>1</v>
      </c>
      <c r="F213">
        <v>0</v>
      </c>
      <c r="J213">
        <v>3</v>
      </c>
      <c r="L213">
        <v>2</v>
      </c>
      <c r="M213">
        <v>2</v>
      </c>
      <c r="N213">
        <v>2</v>
      </c>
      <c r="S213">
        <v>10</v>
      </c>
    </row>
    <row r="214" spans="1:19">
      <c r="A214" t="s">
        <v>607</v>
      </c>
      <c r="B214" t="s">
        <v>1031</v>
      </c>
      <c r="C214" t="s">
        <v>227</v>
      </c>
      <c r="F214">
        <v>0</v>
      </c>
      <c r="G214">
        <v>2</v>
      </c>
      <c r="H214">
        <v>4</v>
      </c>
      <c r="I214">
        <v>5</v>
      </c>
      <c r="J214">
        <v>5</v>
      </c>
      <c r="K214">
        <v>5</v>
      </c>
      <c r="L214">
        <v>6</v>
      </c>
      <c r="M214">
        <v>5</v>
      </c>
      <c r="N214">
        <v>5</v>
      </c>
      <c r="O214">
        <v>3</v>
      </c>
      <c r="P214">
        <v>5</v>
      </c>
      <c r="Q214">
        <v>4</v>
      </c>
      <c r="R214">
        <v>7</v>
      </c>
      <c r="S214">
        <v>56</v>
      </c>
    </row>
    <row r="215" spans="1:19">
      <c r="A215" t="s">
        <v>611</v>
      </c>
      <c r="B215" t="s">
        <v>1032</v>
      </c>
      <c r="C215" t="s">
        <v>227</v>
      </c>
      <c r="E215">
        <v>9</v>
      </c>
      <c r="F215">
        <v>10</v>
      </c>
      <c r="G215">
        <v>7</v>
      </c>
      <c r="H215">
        <v>8</v>
      </c>
      <c r="I215">
        <v>17</v>
      </c>
      <c r="J215">
        <v>22</v>
      </c>
      <c r="K215">
        <v>21</v>
      </c>
      <c r="L215">
        <v>30</v>
      </c>
      <c r="M215">
        <v>34</v>
      </c>
      <c r="N215">
        <v>37</v>
      </c>
      <c r="O215">
        <v>52</v>
      </c>
      <c r="P215">
        <v>55</v>
      </c>
      <c r="Q215">
        <v>83</v>
      </c>
      <c r="R215">
        <v>157</v>
      </c>
      <c r="S215">
        <v>542</v>
      </c>
    </row>
    <row r="216" spans="1:19">
      <c r="A216" t="s">
        <v>613</v>
      </c>
      <c r="B216" t="s">
        <v>1033</v>
      </c>
      <c r="C216" t="s">
        <v>230</v>
      </c>
      <c r="E216">
        <v>11</v>
      </c>
      <c r="F216">
        <v>23</v>
      </c>
      <c r="G216">
        <v>31</v>
      </c>
      <c r="H216">
        <v>33</v>
      </c>
      <c r="I216">
        <v>36</v>
      </c>
      <c r="J216">
        <v>43</v>
      </c>
      <c r="K216">
        <v>51</v>
      </c>
      <c r="L216">
        <v>35</v>
      </c>
      <c r="M216">
        <v>31</v>
      </c>
      <c r="N216">
        <v>40</v>
      </c>
      <c r="O216">
        <v>19</v>
      </c>
      <c r="P216">
        <v>24</v>
      </c>
      <c r="Q216">
        <v>26</v>
      </c>
      <c r="R216">
        <v>39</v>
      </c>
      <c r="S216">
        <v>442</v>
      </c>
    </row>
    <row r="217" spans="1:19">
      <c r="A217" t="s">
        <v>615</v>
      </c>
      <c r="B217" t="s">
        <v>1034</v>
      </c>
      <c r="C217" t="s">
        <v>188</v>
      </c>
      <c r="E217">
        <v>5</v>
      </c>
      <c r="F217">
        <v>7</v>
      </c>
      <c r="G217">
        <v>7</v>
      </c>
      <c r="H217">
        <v>17</v>
      </c>
      <c r="I217">
        <v>11</v>
      </c>
      <c r="J217">
        <v>13</v>
      </c>
      <c r="K217">
        <v>10</v>
      </c>
      <c r="L217">
        <v>8</v>
      </c>
      <c r="M217">
        <v>15</v>
      </c>
      <c r="N217">
        <v>9</v>
      </c>
      <c r="O217">
        <v>8</v>
      </c>
      <c r="P217">
        <v>6</v>
      </c>
      <c r="Q217">
        <v>11</v>
      </c>
      <c r="R217">
        <v>8</v>
      </c>
      <c r="S217">
        <v>135</v>
      </c>
    </row>
    <row r="218" spans="1:19">
      <c r="A218" t="s">
        <v>617</v>
      </c>
      <c r="B218" t="s">
        <v>1035</v>
      </c>
      <c r="C218" t="s">
        <v>204</v>
      </c>
      <c r="F218">
        <v>0</v>
      </c>
      <c r="K218">
        <v>5</v>
      </c>
      <c r="L218">
        <v>3</v>
      </c>
      <c r="M218">
        <v>7</v>
      </c>
      <c r="N218">
        <v>9</v>
      </c>
      <c r="S218">
        <v>24</v>
      </c>
    </row>
    <row r="219" spans="1:19">
      <c r="A219" t="s">
        <v>619</v>
      </c>
      <c r="B219" t="s">
        <v>1236</v>
      </c>
      <c r="C219" t="s">
        <v>204</v>
      </c>
      <c r="F219">
        <v>0</v>
      </c>
      <c r="L219">
        <v>3</v>
      </c>
      <c r="M219">
        <v>3</v>
      </c>
      <c r="N219">
        <v>9</v>
      </c>
      <c r="O219">
        <v>6</v>
      </c>
      <c r="P219">
        <v>10</v>
      </c>
      <c r="Q219">
        <v>3</v>
      </c>
      <c r="R219">
        <v>3</v>
      </c>
      <c r="S219">
        <v>37</v>
      </c>
    </row>
    <row r="220" spans="1:19">
      <c r="A220" t="s">
        <v>620</v>
      </c>
      <c r="B220" t="s">
        <v>1267</v>
      </c>
      <c r="C220" t="s">
        <v>188</v>
      </c>
      <c r="E220">
        <v>1</v>
      </c>
      <c r="F220">
        <v>3</v>
      </c>
      <c r="G220">
        <v>8</v>
      </c>
      <c r="H220">
        <v>1</v>
      </c>
      <c r="I220">
        <v>4</v>
      </c>
      <c r="J220">
        <v>4</v>
      </c>
      <c r="K220">
        <v>3</v>
      </c>
      <c r="L220">
        <v>8</v>
      </c>
      <c r="M220">
        <v>6</v>
      </c>
      <c r="N220">
        <v>11</v>
      </c>
      <c r="O220">
        <v>7</v>
      </c>
      <c r="P220">
        <v>5</v>
      </c>
      <c r="Q220">
        <v>8</v>
      </c>
      <c r="R220">
        <v>8</v>
      </c>
      <c r="S220">
        <v>77</v>
      </c>
    </row>
    <row r="221" spans="1:19">
      <c r="A221" t="s">
        <v>622</v>
      </c>
      <c r="B221" t="s">
        <v>1036</v>
      </c>
      <c r="C221" t="s">
        <v>193</v>
      </c>
      <c r="E221">
        <v>1</v>
      </c>
      <c r="F221">
        <v>5</v>
      </c>
      <c r="G221">
        <v>3</v>
      </c>
      <c r="H221">
        <v>8</v>
      </c>
      <c r="I221">
        <v>2</v>
      </c>
      <c r="J221">
        <v>4</v>
      </c>
      <c r="K221">
        <v>11</v>
      </c>
      <c r="L221">
        <v>3</v>
      </c>
      <c r="M221">
        <v>5</v>
      </c>
      <c r="N221">
        <v>6</v>
      </c>
      <c r="O221">
        <v>9</v>
      </c>
      <c r="P221">
        <v>7</v>
      </c>
      <c r="Q221">
        <v>5</v>
      </c>
      <c r="R221">
        <v>12</v>
      </c>
      <c r="S221">
        <v>81</v>
      </c>
    </row>
    <row r="222" spans="1:19">
      <c r="A222" t="s">
        <v>624</v>
      </c>
      <c r="B222" t="s">
        <v>1037</v>
      </c>
      <c r="C222" t="s">
        <v>204</v>
      </c>
      <c r="E222">
        <v>174</v>
      </c>
      <c r="F222">
        <v>112</v>
      </c>
      <c r="G222">
        <v>131</v>
      </c>
      <c r="H222">
        <v>149</v>
      </c>
      <c r="I222">
        <v>169</v>
      </c>
      <c r="J222">
        <v>139</v>
      </c>
      <c r="K222">
        <v>180</v>
      </c>
      <c r="L222">
        <v>176</v>
      </c>
      <c r="M222">
        <v>173</v>
      </c>
      <c r="N222">
        <v>170</v>
      </c>
      <c r="O222">
        <v>166</v>
      </c>
      <c r="P222">
        <v>136</v>
      </c>
      <c r="Q222">
        <v>112</v>
      </c>
      <c r="R222">
        <v>146</v>
      </c>
      <c r="S222">
        <v>2133</v>
      </c>
    </row>
    <row r="223" spans="1:19">
      <c r="A223" t="s">
        <v>626</v>
      </c>
      <c r="B223" t="s">
        <v>1038</v>
      </c>
      <c r="C223" t="s">
        <v>193</v>
      </c>
      <c r="F223">
        <v>2</v>
      </c>
      <c r="G223">
        <v>3</v>
      </c>
      <c r="H223">
        <v>2</v>
      </c>
      <c r="I223">
        <v>4</v>
      </c>
      <c r="J223">
        <v>6</v>
      </c>
      <c r="K223">
        <v>11</v>
      </c>
      <c r="L223">
        <v>5</v>
      </c>
      <c r="M223">
        <v>7</v>
      </c>
      <c r="N223">
        <v>5</v>
      </c>
      <c r="O223">
        <v>6</v>
      </c>
      <c r="P223">
        <v>2</v>
      </c>
      <c r="Q223">
        <v>4</v>
      </c>
      <c r="R223">
        <v>3</v>
      </c>
      <c r="S223">
        <v>60</v>
      </c>
    </row>
    <row r="224" spans="1:19">
      <c r="A224" t="s">
        <v>628</v>
      </c>
      <c r="B224" t="s">
        <v>1039</v>
      </c>
      <c r="C224" t="s">
        <v>201</v>
      </c>
      <c r="E224">
        <v>114</v>
      </c>
      <c r="F224">
        <v>100</v>
      </c>
      <c r="G224">
        <v>117</v>
      </c>
      <c r="H224">
        <v>127</v>
      </c>
      <c r="I224">
        <v>129</v>
      </c>
      <c r="J224">
        <v>127</v>
      </c>
      <c r="K224">
        <v>155</v>
      </c>
      <c r="L224">
        <v>121</v>
      </c>
      <c r="M224">
        <v>113</v>
      </c>
      <c r="N224">
        <v>122</v>
      </c>
      <c r="O224">
        <v>130</v>
      </c>
      <c r="P224">
        <v>110</v>
      </c>
      <c r="Q224">
        <v>94</v>
      </c>
      <c r="R224">
        <v>146</v>
      </c>
      <c r="S224">
        <v>1705</v>
      </c>
    </row>
    <row r="225" spans="1:19">
      <c r="A225" t="s">
        <v>630</v>
      </c>
      <c r="B225" t="s">
        <v>1040</v>
      </c>
      <c r="C225" t="s">
        <v>209</v>
      </c>
      <c r="E225">
        <v>28</v>
      </c>
      <c r="F225">
        <v>18</v>
      </c>
      <c r="G225">
        <v>25</v>
      </c>
      <c r="H225">
        <v>47</v>
      </c>
      <c r="I225">
        <v>28</v>
      </c>
      <c r="J225">
        <v>39</v>
      </c>
      <c r="K225">
        <v>41</v>
      </c>
      <c r="L225">
        <v>34</v>
      </c>
      <c r="M225">
        <v>30</v>
      </c>
      <c r="N225">
        <v>27</v>
      </c>
      <c r="O225">
        <v>26</v>
      </c>
      <c r="P225">
        <v>27</v>
      </c>
      <c r="Q225">
        <v>25</v>
      </c>
      <c r="R225">
        <v>30</v>
      </c>
      <c r="S225">
        <v>425</v>
      </c>
    </row>
    <row r="226" spans="1:19">
      <c r="A226" t="s">
        <v>632</v>
      </c>
      <c r="B226" t="s">
        <v>1041</v>
      </c>
      <c r="C226" t="s">
        <v>193</v>
      </c>
      <c r="E226">
        <v>1</v>
      </c>
      <c r="F226">
        <v>1</v>
      </c>
      <c r="G226">
        <v>1</v>
      </c>
      <c r="H226">
        <v>5</v>
      </c>
      <c r="I226">
        <v>2</v>
      </c>
      <c r="J226">
        <v>7</v>
      </c>
      <c r="K226">
        <v>3</v>
      </c>
      <c r="L226">
        <v>3</v>
      </c>
      <c r="M226">
        <v>2</v>
      </c>
      <c r="N226">
        <v>2</v>
      </c>
      <c r="O226">
        <v>3</v>
      </c>
      <c r="P226">
        <v>1</v>
      </c>
      <c r="R226">
        <v>2</v>
      </c>
      <c r="S226">
        <v>33</v>
      </c>
    </row>
    <row r="227" spans="1:19">
      <c r="A227" t="s">
        <v>634</v>
      </c>
      <c r="B227" t="s">
        <v>1042</v>
      </c>
      <c r="C227" t="s">
        <v>193</v>
      </c>
      <c r="E227">
        <v>11</v>
      </c>
      <c r="F227">
        <v>14</v>
      </c>
      <c r="G227">
        <v>9</v>
      </c>
      <c r="H227">
        <v>19</v>
      </c>
      <c r="I227">
        <v>15</v>
      </c>
      <c r="J227">
        <v>16</v>
      </c>
      <c r="K227">
        <v>14</v>
      </c>
      <c r="L227">
        <v>14</v>
      </c>
      <c r="M227">
        <v>15</v>
      </c>
      <c r="N227">
        <v>10</v>
      </c>
      <c r="O227">
        <v>16</v>
      </c>
      <c r="P227">
        <v>15</v>
      </c>
      <c r="Q227">
        <v>14</v>
      </c>
      <c r="R227">
        <v>18</v>
      </c>
      <c r="S227">
        <v>200</v>
      </c>
    </row>
    <row r="228" spans="1:19">
      <c r="A228" t="s">
        <v>636</v>
      </c>
      <c r="B228" t="s">
        <v>1043</v>
      </c>
      <c r="C228" t="s">
        <v>204</v>
      </c>
      <c r="E228">
        <v>18</v>
      </c>
      <c r="F228">
        <v>23</v>
      </c>
      <c r="G228">
        <v>27</v>
      </c>
      <c r="H228">
        <v>25</v>
      </c>
      <c r="I228">
        <v>27</v>
      </c>
      <c r="J228">
        <v>21</v>
      </c>
      <c r="K228">
        <v>17</v>
      </c>
      <c r="L228">
        <v>24</v>
      </c>
      <c r="M228">
        <v>23</v>
      </c>
      <c r="N228">
        <v>22</v>
      </c>
      <c r="O228">
        <v>22</v>
      </c>
      <c r="P228">
        <v>24</v>
      </c>
      <c r="Q228">
        <v>30</v>
      </c>
      <c r="R228">
        <v>29</v>
      </c>
      <c r="S228">
        <v>332</v>
      </c>
    </row>
    <row r="229" spans="1:19">
      <c r="A229" t="s">
        <v>638</v>
      </c>
      <c r="B229" t="s">
        <v>1044</v>
      </c>
      <c r="C229" t="s">
        <v>188</v>
      </c>
      <c r="E229">
        <v>17</v>
      </c>
      <c r="F229">
        <v>23</v>
      </c>
      <c r="G229">
        <v>16</v>
      </c>
      <c r="H229">
        <v>11</v>
      </c>
      <c r="I229">
        <v>15</v>
      </c>
      <c r="J229">
        <v>18</v>
      </c>
      <c r="K229">
        <v>25</v>
      </c>
      <c r="L229">
        <v>26</v>
      </c>
      <c r="M229">
        <v>21</v>
      </c>
      <c r="N229">
        <v>20</v>
      </c>
      <c r="O229">
        <v>29</v>
      </c>
      <c r="P229">
        <v>16</v>
      </c>
      <c r="Q229">
        <v>26</v>
      </c>
      <c r="R229">
        <v>21</v>
      </c>
      <c r="S229">
        <v>284</v>
      </c>
    </row>
    <row r="230" spans="1:19">
      <c r="A230" t="s">
        <v>640</v>
      </c>
      <c r="B230" t="s">
        <v>1045</v>
      </c>
      <c r="C230" t="s">
        <v>209</v>
      </c>
      <c r="D230" t="s">
        <v>818</v>
      </c>
      <c r="F230">
        <v>0</v>
      </c>
      <c r="I230">
        <v>1</v>
      </c>
      <c r="J230">
        <v>3</v>
      </c>
      <c r="L230">
        <v>1</v>
      </c>
      <c r="S230">
        <v>5</v>
      </c>
    </row>
    <row r="231" spans="1:19">
      <c r="A231" t="s">
        <v>642</v>
      </c>
      <c r="B231" t="s">
        <v>1046</v>
      </c>
      <c r="C231" t="s">
        <v>193</v>
      </c>
      <c r="E231">
        <v>1</v>
      </c>
      <c r="F231">
        <v>0</v>
      </c>
      <c r="H231">
        <v>1</v>
      </c>
      <c r="J231">
        <v>2</v>
      </c>
      <c r="K231">
        <v>4</v>
      </c>
      <c r="L231">
        <v>2</v>
      </c>
      <c r="M231">
        <v>1</v>
      </c>
      <c r="N231">
        <v>1</v>
      </c>
      <c r="O231">
        <v>1</v>
      </c>
      <c r="P231">
        <v>2</v>
      </c>
      <c r="Q231">
        <v>1</v>
      </c>
      <c r="R231">
        <v>2</v>
      </c>
      <c r="S231">
        <v>18</v>
      </c>
    </row>
    <row r="232" spans="1:19">
      <c r="A232" t="s">
        <v>644</v>
      </c>
      <c r="B232" t="s">
        <v>1047</v>
      </c>
      <c r="C232" t="s">
        <v>220</v>
      </c>
      <c r="E232">
        <v>10</v>
      </c>
      <c r="F232">
        <v>11</v>
      </c>
      <c r="G232">
        <v>12</v>
      </c>
      <c r="H232">
        <v>15</v>
      </c>
      <c r="I232">
        <v>15</v>
      </c>
      <c r="J232">
        <v>26</v>
      </c>
      <c r="K232">
        <v>21</v>
      </c>
      <c r="L232">
        <v>16</v>
      </c>
      <c r="M232">
        <v>27</v>
      </c>
      <c r="N232">
        <v>21</v>
      </c>
      <c r="O232">
        <v>19</v>
      </c>
      <c r="P232">
        <v>21</v>
      </c>
      <c r="Q232">
        <v>12</v>
      </c>
      <c r="R232">
        <v>20</v>
      </c>
      <c r="S232">
        <v>246</v>
      </c>
    </row>
    <row r="233" spans="1:19">
      <c r="A233" t="s">
        <v>646</v>
      </c>
      <c r="B233" t="s">
        <v>1245</v>
      </c>
      <c r="C233" t="s">
        <v>196</v>
      </c>
      <c r="E233">
        <v>4</v>
      </c>
      <c r="F233">
        <v>7</v>
      </c>
      <c r="G233">
        <v>7</v>
      </c>
      <c r="H233">
        <v>5</v>
      </c>
      <c r="I233">
        <v>7</v>
      </c>
      <c r="J233">
        <v>10</v>
      </c>
      <c r="K233">
        <v>13</v>
      </c>
      <c r="L233">
        <v>18</v>
      </c>
      <c r="M233">
        <v>14</v>
      </c>
      <c r="N233">
        <v>9</v>
      </c>
      <c r="O233">
        <v>13</v>
      </c>
      <c r="P233">
        <v>11</v>
      </c>
      <c r="Q233">
        <v>17</v>
      </c>
      <c r="R233">
        <v>8</v>
      </c>
      <c r="S233">
        <v>143</v>
      </c>
    </row>
    <row r="234" spans="1:19">
      <c r="A234" t="s">
        <v>648</v>
      </c>
      <c r="B234" t="s">
        <v>1049</v>
      </c>
      <c r="C234" t="s">
        <v>188</v>
      </c>
      <c r="F234">
        <v>0</v>
      </c>
      <c r="G234">
        <v>1</v>
      </c>
      <c r="H234">
        <v>1</v>
      </c>
      <c r="I234">
        <v>3</v>
      </c>
      <c r="J234">
        <v>3</v>
      </c>
      <c r="K234">
        <v>1</v>
      </c>
      <c r="S234">
        <v>9</v>
      </c>
    </row>
    <row r="235" spans="1:19">
      <c r="A235" t="s">
        <v>650</v>
      </c>
      <c r="B235" t="s">
        <v>1253</v>
      </c>
      <c r="C235" t="s">
        <v>1254</v>
      </c>
      <c r="F235">
        <v>0</v>
      </c>
      <c r="L235">
        <v>1</v>
      </c>
      <c r="M235">
        <v>6</v>
      </c>
      <c r="N235">
        <v>6</v>
      </c>
      <c r="O235">
        <v>8</v>
      </c>
      <c r="P235">
        <v>12</v>
      </c>
      <c r="Q235">
        <v>10</v>
      </c>
      <c r="R235">
        <v>8</v>
      </c>
      <c r="S235">
        <v>51</v>
      </c>
    </row>
    <row r="236" spans="1:19">
      <c r="A236" t="s">
        <v>654</v>
      </c>
      <c r="B236" t="s">
        <v>1050</v>
      </c>
      <c r="C236" t="s">
        <v>204</v>
      </c>
      <c r="E236">
        <v>326</v>
      </c>
      <c r="F236">
        <v>265</v>
      </c>
      <c r="G236">
        <v>314</v>
      </c>
      <c r="H236">
        <v>447</v>
      </c>
      <c r="I236">
        <v>511</v>
      </c>
      <c r="J236">
        <v>610</v>
      </c>
      <c r="K236">
        <v>744</v>
      </c>
      <c r="L236">
        <v>562</v>
      </c>
      <c r="M236">
        <v>633</v>
      </c>
      <c r="N236">
        <v>565</v>
      </c>
      <c r="O236">
        <v>560</v>
      </c>
      <c r="P236">
        <v>467</v>
      </c>
      <c r="Q236">
        <v>461</v>
      </c>
      <c r="R236">
        <v>634</v>
      </c>
      <c r="S236">
        <v>7099</v>
      </c>
    </row>
    <row r="237" spans="1:19">
      <c r="A237" t="s">
        <v>656</v>
      </c>
      <c r="B237" t="s">
        <v>1051</v>
      </c>
      <c r="C237" t="s">
        <v>196</v>
      </c>
      <c r="E237">
        <v>49</v>
      </c>
      <c r="F237">
        <v>32</v>
      </c>
      <c r="G237">
        <v>52</v>
      </c>
      <c r="H237">
        <v>55</v>
      </c>
      <c r="I237">
        <v>57</v>
      </c>
      <c r="J237">
        <v>62</v>
      </c>
      <c r="K237">
        <v>55</v>
      </c>
      <c r="L237">
        <v>65</v>
      </c>
      <c r="M237">
        <v>56</v>
      </c>
      <c r="N237">
        <v>62</v>
      </c>
      <c r="O237">
        <v>56</v>
      </c>
      <c r="P237">
        <v>60</v>
      </c>
      <c r="Q237">
        <v>62</v>
      </c>
      <c r="R237">
        <v>81</v>
      </c>
      <c r="S237">
        <v>804</v>
      </c>
    </row>
    <row r="238" spans="1:19">
      <c r="A238" t="s">
        <v>658</v>
      </c>
      <c r="B238" t="s">
        <v>1052</v>
      </c>
      <c r="C238" t="s">
        <v>220</v>
      </c>
      <c r="E238">
        <v>29</v>
      </c>
      <c r="F238">
        <v>29</v>
      </c>
      <c r="G238">
        <v>18</v>
      </c>
      <c r="H238">
        <v>33</v>
      </c>
      <c r="I238">
        <v>19</v>
      </c>
      <c r="J238">
        <v>31</v>
      </c>
      <c r="K238">
        <v>39</v>
      </c>
      <c r="L238">
        <v>43</v>
      </c>
      <c r="M238">
        <v>33</v>
      </c>
      <c r="N238">
        <v>45</v>
      </c>
      <c r="O238">
        <v>36</v>
      </c>
      <c r="P238">
        <v>38</v>
      </c>
      <c r="Q238">
        <v>31</v>
      </c>
      <c r="R238">
        <v>44</v>
      </c>
      <c r="S238">
        <v>468</v>
      </c>
    </row>
    <row r="239" spans="1:19">
      <c r="A239" t="s">
        <v>660</v>
      </c>
      <c r="B239" t="s">
        <v>1053</v>
      </c>
      <c r="C239" t="s">
        <v>193</v>
      </c>
      <c r="E239">
        <v>7</v>
      </c>
      <c r="F239">
        <v>4</v>
      </c>
      <c r="G239">
        <v>4</v>
      </c>
      <c r="H239">
        <v>4</v>
      </c>
      <c r="I239">
        <v>2</v>
      </c>
      <c r="J239">
        <v>6</v>
      </c>
      <c r="K239">
        <v>2</v>
      </c>
      <c r="L239">
        <v>5</v>
      </c>
      <c r="M239">
        <v>5</v>
      </c>
      <c r="N239">
        <v>4</v>
      </c>
      <c r="O239">
        <v>1</v>
      </c>
      <c r="P239">
        <v>4</v>
      </c>
      <c r="R239">
        <v>2</v>
      </c>
      <c r="S239">
        <v>50</v>
      </c>
    </row>
    <row r="240" spans="1:19">
      <c r="A240" t="s">
        <v>662</v>
      </c>
      <c r="B240" t="s">
        <v>1054</v>
      </c>
      <c r="C240" t="s">
        <v>227</v>
      </c>
      <c r="E240">
        <v>34</v>
      </c>
      <c r="F240">
        <v>22</v>
      </c>
      <c r="G240">
        <v>25</v>
      </c>
      <c r="H240">
        <v>24</v>
      </c>
      <c r="I240">
        <v>37</v>
      </c>
      <c r="J240">
        <v>40</v>
      </c>
      <c r="K240">
        <v>31</v>
      </c>
      <c r="L240">
        <v>34</v>
      </c>
      <c r="M240">
        <v>31</v>
      </c>
      <c r="N240">
        <v>30</v>
      </c>
      <c r="O240">
        <v>30</v>
      </c>
      <c r="P240">
        <v>36</v>
      </c>
      <c r="Q240">
        <v>19</v>
      </c>
      <c r="R240">
        <v>32</v>
      </c>
      <c r="S240">
        <v>425</v>
      </c>
    </row>
    <row r="241" spans="1:19">
      <c r="A241" t="s">
        <v>666</v>
      </c>
      <c r="B241" t="s">
        <v>1055</v>
      </c>
      <c r="C241" t="s">
        <v>188</v>
      </c>
      <c r="E241">
        <v>64</v>
      </c>
      <c r="F241">
        <v>27</v>
      </c>
      <c r="G241">
        <v>43</v>
      </c>
      <c r="H241">
        <v>41</v>
      </c>
      <c r="I241">
        <v>42</v>
      </c>
      <c r="J241">
        <v>37</v>
      </c>
      <c r="K241">
        <v>32</v>
      </c>
      <c r="L241">
        <v>33</v>
      </c>
      <c r="M241">
        <v>39</v>
      </c>
      <c r="N241">
        <v>38</v>
      </c>
      <c r="O241">
        <v>63</v>
      </c>
      <c r="P241">
        <v>55</v>
      </c>
      <c r="Q241">
        <v>52</v>
      </c>
      <c r="R241">
        <v>58</v>
      </c>
      <c r="S241">
        <v>624</v>
      </c>
    </row>
    <row r="242" spans="1:19">
      <c r="A242" t="s">
        <v>668</v>
      </c>
      <c r="B242" t="s">
        <v>1056</v>
      </c>
      <c r="C242" t="s">
        <v>204</v>
      </c>
      <c r="E242">
        <v>70</v>
      </c>
      <c r="F242">
        <v>71</v>
      </c>
      <c r="G242">
        <v>69</v>
      </c>
      <c r="H242">
        <v>80</v>
      </c>
      <c r="I242">
        <v>76</v>
      </c>
      <c r="J242">
        <v>93</v>
      </c>
      <c r="K242">
        <v>82</v>
      </c>
      <c r="L242">
        <v>80</v>
      </c>
      <c r="M242">
        <v>67</v>
      </c>
      <c r="N242">
        <v>79</v>
      </c>
      <c r="O242">
        <v>93</v>
      </c>
      <c r="P242">
        <v>76</v>
      </c>
      <c r="Q242">
        <v>60</v>
      </c>
      <c r="R242">
        <v>105</v>
      </c>
      <c r="S242">
        <v>1101</v>
      </c>
    </row>
    <row r="243" spans="1:19">
      <c r="A243" t="s">
        <v>670</v>
      </c>
      <c r="B243" t="s">
        <v>1057</v>
      </c>
      <c r="C243" t="s">
        <v>209</v>
      </c>
      <c r="D243" t="s">
        <v>818</v>
      </c>
      <c r="F243">
        <v>3</v>
      </c>
      <c r="G243">
        <v>1</v>
      </c>
      <c r="J243">
        <v>4</v>
      </c>
      <c r="N243">
        <v>1</v>
      </c>
      <c r="S243">
        <v>9</v>
      </c>
    </row>
    <row r="244" spans="1:19">
      <c r="A244" t="s">
        <v>672</v>
      </c>
      <c r="B244" t="s">
        <v>1058</v>
      </c>
      <c r="C244" t="s">
        <v>204</v>
      </c>
      <c r="E244">
        <v>1</v>
      </c>
      <c r="F244">
        <v>0</v>
      </c>
      <c r="G244">
        <v>1</v>
      </c>
      <c r="I244">
        <v>1</v>
      </c>
      <c r="J244">
        <v>1</v>
      </c>
      <c r="K244">
        <v>2</v>
      </c>
      <c r="M244">
        <v>1</v>
      </c>
      <c r="O244">
        <v>3</v>
      </c>
      <c r="P244">
        <v>2</v>
      </c>
      <c r="R244">
        <v>2</v>
      </c>
      <c r="S244">
        <v>14</v>
      </c>
    </row>
    <row r="245" spans="1:19">
      <c r="A245" t="s">
        <v>674</v>
      </c>
      <c r="B245" t="s">
        <v>1059</v>
      </c>
      <c r="C245" t="s">
        <v>196</v>
      </c>
      <c r="E245">
        <v>84</v>
      </c>
      <c r="F245">
        <v>54</v>
      </c>
      <c r="G245">
        <v>64</v>
      </c>
      <c r="H245">
        <v>74</v>
      </c>
      <c r="I245">
        <v>78</v>
      </c>
      <c r="J245">
        <v>63</v>
      </c>
      <c r="K245">
        <v>87</v>
      </c>
      <c r="L245">
        <v>87</v>
      </c>
      <c r="M245">
        <v>91</v>
      </c>
      <c r="N245">
        <v>117</v>
      </c>
      <c r="O245">
        <v>86</v>
      </c>
      <c r="P245">
        <v>92</v>
      </c>
      <c r="Q245">
        <v>92</v>
      </c>
      <c r="R245">
        <v>121</v>
      </c>
      <c r="S245">
        <v>1190</v>
      </c>
    </row>
    <row r="246" spans="1:19">
      <c r="A246" t="s">
        <v>676</v>
      </c>
      <c r="B246" t="s">
        <v>1060</v>
      </c>
      <c r="C246" t="s">
        <v>204</v>
      </c>
      <c r="E246">
        <v>59</v>
      </c>
      <c r="F246">
        <v>34</v>
      </c>
      <c r="G246">
        <v>26</v>
      </c>
      <c r="H246">
        <v>51</v>
      </c>
      <c r="I246">
        <v>51</v>
      </c>
      <c r="J246">
        <v>48</v>
      </c>
      <c r="K246">
        <v>55</v>
      </c>
      <c r="L246">
        <v>52</v>
      </c>
      <c r="M246">
        <v>64</v>
      </c>
      <c r="N246">
        <v>49</v>
      </c>
      <c r="O246">
        <v>68</v>
      </c>
      <c r="P246">
        <v>59</v>
      </c>
      <c r="Q246">
        <v>40</v>
      </c>
      <c r="R246">
        <v>59</v>
      </c>
      <c r="S246">
        <v>715</v>
      </c>
    </row>
    <row r="247" spans="1:19">
      <c r="A247" t="s">
        <v>678</v>
      </c>
      <c r="B247" t="s">
        <v>1061</v>
      </c>
      <c r="C247" t="s">
        <v>230</v>
      </c>
      <c r="E247">
        <v>2</v>
      </c>
      <c r="F247">
        <v>17</v>
      </c>
      <c r="G247">
        <v>8</v>
      </c>
      <c r="H247">
        <v>9</v>
      </c>
      <c r="I247">
        <v>5</v>
      </c>
      <c r="J247">
        <v>6</v>
      </c>
      <c r="K247">
        <v>5</v>
      </c>
      <c r="L247">
        <v>8</v>
      </c>
      <c r="M247">
        <v>5</v>
      </c>
      <c r="N247">
        <v>7</v>
      </c>
      <c r="O247">
        <v>9</v>
      </c>
      <c r="P247">
        <v>11</v>
      </c>
      <c r="Q247">
        <v>5</v>
      </c>
      <c r="R247">
        <v>10</v>
      </c>
      <c r="S247">
        <v>107</v>
      </c>
    </row>
    <row r="248" spans="1:19">
      <c r="A248" t="s">
        <v>681</v>
      </c>
      <c r="B248" t="s">
        <v>1062</v>
      </c>
      <c r="C248" t="s">
        <v>188</v>
      </c>
      <c r="E248">
        <v>4</v>
      </c>
      <c r="F248">
        <v>6</v>
      </c>
      <c r="G248">
        <v>5</v>
      </c>
      <c r="H248">
        <v>2</v>
      </c>
      <c r="I248">
        <v>4</v>
      </c>
      <c r="J248">
        <v>4</v>
      </c>
      <c r="K248">
        <v>5</v>
      </c>
      <c r="L248">
        <v>6</v>
      </c>
      <c r="M248">
        <v>6</v>
      </c>
      <c r="N248">
        <v>9</v>
      </c>
      <c r="O248">
        <v>9</v>
      </c>
      <c r="P248">
        <v>8</v>
      </c>
      <c r="Q248">
        <v>7</v>
      </c>
      <c r="R248">
        <v>5</v>
      </c>
      <c r="S248">
        <v>80</v>
      </c>
    </row>
    <row r="249" spans="1:19">
      <c r="A249" t="s">
        <v>683</v>
      </c>
      <c r="B249" t="s">
        <v>1063</v>
      </c>
      <c r="C249" t="s">
        <v>227</v>
      </c>
      <c r="E249">
        <v>102</v>
      </c>
      <c r="F249">
        <v>83</v>
      </c>
      <c r="G249">
        <v>81</v>
      </c>
      <c r="H249">
        <v>96</v>
      </c>
      <c r="I249">
        <v>117</v>
      </c>
      <c r="J249">
        <v>114</v>
      </c>
      <c r="K249">
        <v>107</v>
      </c>
      <c r="L249">
        <v>96</v>
      </c>
      <c r="M249">
        <v>101</v>
      </c>
      <c r="N249">
        <v>122</v>
      </c>
      <c r="O249">
        <v>124</v>
      </c>
      <c r="P249">
        <v>124</v>
      </c>
      <c r="Q249">
        <v>104</v>
      </c>
      <c r="R249">
        <v>145</v>
      </c>
      <c r="S249">
        <v>1516</v>
      </c>
    </row>
    <row r="250" spans="1:19">
      <c r="A250" t="s">
        <v>685</v>
      </c>
      <c r="B250" t="s">
        <v>1064</v>
      </c>
      <c r="C250" t="s">
        <v>196</v>
      </c>
      <c r="E250">
        <v>5</v>
      </c>
      <c r="F250">
        <v>9</v>
      </c>
      <c r="G250">
        <v>6</v>
      </c>
      <c r="H250">
        <v>16</v>
      </c>
      <c r="I250">
        <v>15</v>
      </c>
      <c r="J250">
        <v>16</v>
      </c>
      <c r="K250">
        <v>10</v>
      </c>
      <c r="L250">
        <v>19</v>
      </c>
      <c r="M250">
        <v>14</v>
      </c>
      <c r="N250">
        <v>5</v>
      </c>
      <c r="O250">
        <v>17</v>
      </c>
      <c r="P250">
        <v>13</v>
      </c>
      <c r="Q250">
        <v>14</v>
      </c>
      <c r="R250">
        <v>24</v>
      </c>
      <c r="S250">
        <v>183</v>
      </c>
    </row>
    <row r="251" spans="1:19">
      <c r="A251" t="s">
        <v>687</v>
      </c>
      <c r="B251" t="s">
        <v>1065</v>
      </c>
      <c r="C251" t="s">
        <v>188</v>
      </c>
      <c r="F251">
        <v>3</v>
      </c>
      <c r="G251">
        <v>4</v>
      </c>
      <c r="H251">
        <v>4</v>
      </c>
      <c r="I251">
        <v>3</v>
      </c>
      <c r="J251">
        <v>3</v>
      </c>
      <c r="K251">
        <v>3</v>
      </c>
      <c r="L251">
        <v>4</v>
      </c>
      <c r="M251">
        <v>7</v>
      </c>
      <c r="S251">
        <v>31</v>
      </c>
    </row>
    <row r="252" spans="1:19">
      <c r="A252" t="s">
        <v>689</v>
      </c>
      <c r="B252" t="s">
        <v>1066</v>
      </c>
      <c r="C252" t="s">
        <v>193</v>
      </c>
      <c r="E252">
        <v>244</v>
      </c>
      <c r="F252">
        <v>268</v>
      </c>
      <c r="G252">
        <v>323</v>
      </c>
      <c r="H252">
        <v>379</v>
      </c>
      <c r="I252">
        <v>364</v>
      </c>
      <c r="J252">
        <v>381</v>
      </c>
      <c r="K252">
        <v>371</v>
      </c>
      <c r="L252">
        <v>374</v>
      </c>
      <c r="M252">
        <v>340</v>
      </c>
      <c r="N252">
        <v>375</v>
      </c>
      <c r="O252">
        <v>343</v>
      </c>
      <c r="P252">
        <v>303</v>
      </c>
      <c r="Q252">
        <v>279</v>
      </c>
      <c r="R252">
        <v>379</v>
      </c>
      <c r="S252">
        <v>4723</v>
      </c>
    </row>
    <row r="253" spans="1:19">
      <c r="A253" t="s">
        <v>691</v>
      </c>
      <c r="B253" t="s">
        <v>1248</v>
      </c>
      <c r="C253" t="s">
        <v>193</v>
      </c>
      <c r="F253">
        <v>5</v>
      </c>
      <c r="G253">
        <v>13</v>
      </c>
      <c r="H253">
        <v>11</v>
      </c>
      <c r="I253">
        <v>9</v>
      </c>
      <c r="J253">
        <v>8</v>
      </c>
      <c r="K253">
        <v>5</v>
      </c>
      <c r="L253">
        <v>7</v>
      </c>
      <c r="M253">
        <v>12</v>
      </c>
      <c r="N253">
        <v>5</v>
      </c>
      <c r="O253">
        <v>3</v>
      </c>
      <c r="S253">
        <v>78</v>
      </c>
    </row>
    <row r="254" spans="1:19">
      <c r="A254" t="s">
        <v>693</v>
      </c>
      <c r="B254" t="s">
        <v>1068</v>
      </c>
      <c r="C254" t="s">
        <v>193</v>
      </c>
      <c r="F254">
        <v>1</v>
      </c>
      <c r="H254">
        <v>2</v>
      </c>
      <c r="I254">
        <v>2</v>
      </c>
      <c r="J254">
        <v>2</v>
      </c>
      <c r="O254">
        <v>4</v>
      </c>
      <c r="P254">
        <v>2</v>
      </c>
      <c r="R254">
        <v>1</v>
      </c>
      <c r="S254">
        <v>14</v>
      </c>
    </row>
    <row r="255" spans="1:19">
      <c r="A255" t="s">
        <v>695</v>
      </c>
      <c r="B255" t="s">
        <v>1257</v>
      </c>
      <c r="C255" t="s">
        <v>193</v>
      </c>
      <c r="F255">
        <v>3</v>
      </c>
      <c r="G255">
        <v>1</v>
      </c>
      <c r="I255">
        <v>2</v>
      </c>
      <c r="K255">
        <v>4</v>
      </c>
      <c r="O255">
        <v>2</v>
      </c>
      <c r="P255">
        <v>2</v>
      </c>
      <c r="S255">
        <v>14</v>
      </c>
    </row>
    <row r="256" spans="1:19">
      <c r="A256" t="s">
        <v>697</v>
      </c>
      <c r="B256" t="s">
        <v>1070</v>
      </c>
      <c r="C256" t="s">
        <v>196</v>
      </c>
      <c r="E256">
        <v>57</v>
      </c>
      <c r="F256">
        <v>35</v>
      </c>
      <c r="G256">
        <v>41</v>
      </c>
      <c r="H256">
        <v>50</v>
      </c>
      <c r="I256">
        <v>50</v>
      </c>
      <c r="J256">
        <v>51</v>
      </c>
      <c r="K256">
        <v>62</v>
      </c>
      <c r="L256">
        <v>48</v>
      </c>
      <c r="M256">
        <v>54</v>
      </c>
      <c r="N256">
        <v>33</v>
      </c>
      <c r="O256">
        <v>41</v>
      </c>
      <c r="P256">
        <v>42</v>
      </c>
      <c r="Q256">
        <v>49</v>
      </c>
      <c r="R256">
        <v>70</v>
      </c>
      <c r="S256">
        <v>683</v>
      </c>
    </row>
    <row r="257" spans="1:19">
      <c r="A257" t="s">
        <v>701</v>
      </c>
      <c r="B257" t="s">
        <v>1071</v>
      </c>
      <c r="C257" t="s">
        <v>201</v>
      </c>
      <c r="F257">
        <v>0</v>
      </c>
      <c r="G257">
        <v>1</v>
      </c>
      <c r="S257">
        <v>1</v>
      </c>
    </row>
    <row r="258" spans="1:19">
      <c r="A258" t="s">
        <v>705</v>
      </c>
      <c r="B258" t="s">
        <v>1240</v>
      </c>
      <c r="C258" t="s">
        <v>204</v>
      </c>
      <c r="E258">
        <v>24</v>
      </c>
      <c r="F258">
        <v>30</v>
      </c>
      <c r="G258">
        <v>34</v>
      </c>
      <c r="H258">
        <v>29</v>
      </c>
      <c r="I258">
        <v>42</v>
      </c>
      <c r="J258">
        <v>32</v>
      </c>
      <c r="K258">
        <v>27</v>
      </c>
      <c r="L258">
        <v>23</v>
      </c>
      <c r="M258">
        <v>39</v>
      </c>
      <c r="N258">
        <v>37</v>
      </c>
      <c r="O258">
        <v>23</v>
      </c>
      <c r="P258">
        <v>32</v>
      </c>
      <c r="Q258">
        <v>18</v>
      </c>
      <c r="R258">
        <v>38</v>
      </c>
      <c r="S258">
        <v>428</v>
      </c>
    </row>
    <row r="259" spans="1:19">
      <c r="A259" t="s">
        <v>707</v>
      </c>
      <c r="B259" t="s">
        <v>1073</v>
      </c>
      <c r="C259" t="s">
        <v>193</v>
      </c>
      <c r="E259">
        <v>1</v>
      </c>
      <c r="F259">
        <v>0</v>
      </c>
      <c r="H259">
        <v>1</v>
      </c>
      <c r="K259">
        <v>1</v>
      </c>
      <c r="L259">
        <v>2</v>
      </c>
      <c r="M259">
        <v>1</v>
      </c>
      <c r="N259">
        <v>1</v>
      </c>
      <c r="S259">
        <v>7</v>
      </c>
    </row>
    <row r="260" spans="1:19">
      <c r="A260" t="s">
        <v>709</v>
      </c>
      <c r="B260" t="s">
        <v>1074</v>
      </c>
      <c r="C260" t="s">
        <v>209</v>
      </c>
      <c r="D260" t="s">
        <v>818</v>
      </c>
      <c r="E260">
        <v>10</v>
      </c>
      <c r="F260">
        <v>6</v>
      </c>
      <c r="G260">
        <v>6</v>
      </c>
      <c r="H260">
        <v>8</v>
      </c>
      <c r="I260">
        <v>9</v>
      </c>
      <c r="J260">
        <v>7</v>
      </c>
      <c r="K260">
        <v>10</v>
      </c>
      <c r="L260">
        <v>10</v>
      </c>
      <c r="M260">
        <v>14</v>
      </c>
      <c r="N260">
        <v>14</v>
      </c>
      <c r="O260">
        <v>12</v>
      </c>
      <c r="P260">
        <v>8</v>
      </c>
      <c r="Q260">
        <v>8</v>
      </c>
      <c r="R260">
        <v>13</v>
      </c>
      <c r="S260">
        <v>135</v>
      </c>
    </row>
    <row r="261" spans="1:19">
      <c r="A261" t="s">
        <v>711</v>
      </c>
      <c r="B261" t="s">
        <v>1075</v>
      </c>
      <c r="C261" t="s">
        <v>196</v>
      </c>
      <c r="E261">
        <v>19</v>
      </c>
      <c r="F261">
        <v>16</v>
      </c>
      <c r="G261">
        <v>17</v>
      </c>
      <c r="H261">
        <v>27</v>
      </c>
      <c r="I261">
        <v>30</v>
      </c>
      <c r="J261">
        <v>30</v>
      </c>
      <c r="K261">
        <v>28</v>
      </c>
      <c r="L261">
        <v>25</v>
      </c>
      <c r="M261">
        <v>29</v>
      </c>
      <c r="N261">
        <v>24</v>
      </c>
      <c r="O261">
        <v>26</v>
      </c>
      <c r="P261">
        <v>28</v>
      </c>
      <c r="Q261">
        <v>16</v>
      </c>
      <c r="R261">
        <v>22</v>
      </c>
      <c r="S261">
        <v>337</v>
      </c>
    </row>
    <row r="262" spans="1:19">
      <c r="A262" t="s">
        <v>715</v>
      </c>
      <c r="B262" t="s">
        <v>1243</v>
      </c>
      <c r="C262" t="s">
        <v>204</v>
      </c>
      <c r="F262">
        <v>0</v>
      </c>
      <c r="O262">
        <v>4</v>
      </c>
      <c r="P262">
        <v>10</v>
      </c>
      <c r="Q262">
        <v>6</v>
      </c>
      <c r="R262">
        <v>8</v>
      </c>
      <c r="S262">
        <v>28</v>
      </c>
    </row>
    <row r="263" spans="1:19">
      <c r="A263" t="s">
        <v>713</v>
      </c>
      <c r="B263" t="s">
        <v>1235</v>
      </c>
      <c r="C263" t="s">
        <v>204</v>
      </c>
      <c r="F263">
        <v>0</v>
      </c>
      <c r="L263">
        <v>8</v>
      </c>
      <c r="M263">
        <v>10</v>
      </c>
      <c r="N263">
        <v>9</v>
      </c>
      <c r="O263">
        <v>19</v>
      </c>
      <c r="P263">
        <v>20</v>
      </c>
      <c r="Q263">
        <v>11</v>
      </c>
      <c r="R263">
        <v>9</v>
      </c>
      <c r="S263">
        <v>86</v>
      </c>
    </row>
    <row r="264" spans="1:19">
      <c r="A264" t="s">
        <v>717</v>
      </c>
      <c r="B264" t="s">
        <v>1234</v>
      </c>
      <c r="C264" t="s">
        <v>204</v>
      </c>
      <c r="F264">
        <v>0</v>
      </c>
      <c r="O264">
        <v>15</v>
      </c>
      <c r="P264">
        <v>13</v>
      </c>
      <c r="Q264">
        <v>15</v>
      </c>
      <c r="R264">
        <v>17</v>
      </c>
      <c r="S264">
        <v>60</v>
      </c>
    </row>
    <row r="265" spans="1:19">
      <c r="A265" t="s">
        <v>719</v>
      </c>
      <c r="B265" t="s">
        <v>1079</v>
      </c>
      <c r="C265" t="s">
        <v>193</v>
      </c>
      <c r="F265">
        <v>0</v>
      </c>
      <c r="H265">
        <v>1</v>
      </c>
      <c r="I265">
        <v>1</v>
      </c>
      <c r="J265">
        <v>1</v>
      </c>
      <c r="K265">
        <v>3</v>
      </c>
      <c r="N265">
        <v>2</v>
      </c>
      <c r="S265">
        <v>8</v>
      </c>
    </row>
    <row r="266" spans="1:19">
      <c r="A266" t="s">
        <v>721</v>
      </c>
      <c r="B266" t="s">
        <v>1242</v>
      </c>
      <c r="C266" t="s">
        <v>204</v>
      </c>
      <c r="E266">
        <v>91</v>
      </c>
      <c r="F266">
        <v>74</v>
      </c>
      <c r="G266">
        <v>74</v>
      </c>
      <c r="H266">
        <v>87</v>
      </c>
      <c r="I266">
        <v>94</v>
      </c>
      <c r="J266">
        <v>84</v>
      </c>
      <c r="K266">
        <v>78</v>
      </c>
      <c r="L266">
        <v>98</v>
      </c>
      <c r="M266">
        <v>86</v>
      </c>
      <c r="N266">
        <v>97</v>
      </c>
      <c r="O266">
        <v>100</v>
      </c>
      <c r="P266">
        <v>101</v>
      </c>
      <c r="Q266">
        <v>85</v>
      </c>
      <c r="R266">
        <v>98</v>
      </c>
      <c r="S266">
        <v>1247</v>
      </c>
    </row>
    <row r="267" spans="1:19">
      <c r="A267" t="s">
        <v>723</v>
      </c>
      <c r="B267" t="s">
        <v>1081</v>
      </c>
      <c r="C267" t="s">
        <v>220</v>
      </c>
      <c r="E267">
        <v>35</v>
      </c>
      <c r="F267">
        <v>46</v>
      </c>
      <c r="G267">
        <v>49</v>
      </c>
      <c r="H267">
        <v>69</v>
      </c>
      <c r="I267">
        <v>64</v>
      </c>
      <c r="J267">
        <v>74</v>
      </c>
      <c r="K267">
        <v>79</v>
      </c>
      <c r="L267">
        <v>56</v>
      </c>
      <c r="M267">
        <v>74</v>
      </c>
      <c r="N267">
        <v>84</v>
      </c>
      <c r="O267">
        <v>69</v>
      </c>
      <c r="P267">
        <v>78</v>
      </c>
      <c r="Q267">
        <v>54</v>
      </c>
      <c r="R267">
        <v>72</v>
      </c>
      <c r="S267">
        <v>903</v>
      </c>
    </row>
    <row r="268" spans="1:19">
      <c r="A268" t="s">
        <v>725</v>
      </c>
      <c r="B268" t="s">
        <v>1238</v>
      </c>
      <c r="C268" t="s">
        <v>227</v>
      </c>
      <c r="F268">
        <v>0</v>
      </c>
      <c r="L268">
        <v>1</v>
      </c>
      <c r="M268">
        <v>5</v>
      </c>
      <c r="N268">
        <v>1</v>
      </c>
      <c r="O268">
        <v>3</v>
      </c>
      <c r="P268">
        <v>2</v>
      </c>
      <c r="Q268">
        <v>2</v>
      </c>
      <c r="R268">
        <v>4</v>
      </c>
      <c r="S268">
        <v>18</v>
      </c>
    </row>
    <row r="269" spans="1:19">
      <c r="A269" t="s">
        <v>727</v>
      </c>
      <c r="B269" t="s">
        <v>1083</v>
      </c>
      <c r="C269" t="s">
        <v>204</v>
      </c>
      <c r="E269">
        <v>254</v>
      </c>
      <c r="F269">
        <v>228</v>
      </c>
      <c r="G269">
        <v>230</v>
      </c>
      <c r="H269">
        <v>275</v>
      </c>
      <c r="I269">
        <v>312</v>
      </c>
      <c r="J269">
        <v>297</v>
      </c>
      <c r="K269">
        <v>331</v>
      </c>
      <c r="L269">
        <v>324</v>
      </c>
      <c r="M269">
        <v>342</v>
      </c>
      <c r="N269">
        <v>330</v>
      </c>
      <c r="O269">
        <v>324</v>
      </c>
      <c r="P269">
        <v>296</v>
      </c>
      <c r="Q269">
        <v>302</v>
      </c>
      <c r="R269">
        <v>369</v>
      </c>
      <c r="S269">
        <v>4214</v>
      </c>
    </row>
    <row r="270" spans="1:19">
      <c r="A270" t="s">
        <v>729</v>
      </c>
      <c r="B270" t="s">
        <v>1147</v>
      </c>
      <c r="C270" t="s">
        <v>188</v>
      </c>
      <c r="F270">
        <v>1</v>
      </c>
      <c r="H270">
        <v>1</v>
      </c>
      <c r="I270">
        <v>4</v>
      </c>
      <c r="J270">
        <v>4</v>
      </c>
      <c r="K270">
        <v>4</v>
      </c>
      <c r="L270">
        <v>1</v>
      </c>
      <c r="M270">
        <v>6</v>
      </c>
      <c r="N270">
        <v>2</v>
      </c>
      <c r="O270">
        <v>1</v>
      </c>
      <c r="P270">
        <v>10</v>
      </c>
      <c r="Q270">
        <v>5</v>
      </c>
      <c r="R270">
        <v>4</v>
      </c>
      <c r="S270">
        <v>43</v>
      </c>
    </row>
    <row r="271" spans="1:19">
      <c r="A271" t="s">
        <v>731</v>
      </c>
      <c r="B271" t="s">
        <v>1084</v>
      </c>
      <c r="C271" t="s">
        <v>204</v>
      </c>
      <c r="E271">
        <v>95</v>
      </c>
      <c r="F271">
        <v>52</v>
      </c>
      <c r="G271">
        <v>79</v>
      </c>
      <c r="H271">
        <v>93</v>
      </c>
      <c r="I271">
        <v>76</v>
      </c>
      <c r="J271">
        <v>83</v>
      </c>
      <c r="K271">
        <v>85</v>
      </c>
      <c r="L271">
        <v>72</v>
      </c>
      <c r="M271">
        <v>78</v>
      </c>
      <c r="N271">
        <v>69</v>
      </c>
      <c r="O271">
        <v>74</v>
      </c>
      <c r="P271">
        <v>73</v>
      </c>
      <c r="Q271">
        <v>85</v>
      </c>
      <c r="R271">
        <v>79</v>
      </c>
      <c r="S271">
        <v>1093</v>
      </c>
    </row>
    <row r="272" spans="1:19">
      <c r="A272" t="s">
        <v>733</v>
      </c>
      <c r="B272" t="s">
        <v>1085</v>
      </c>
      <c r="C272" t="s">
        <v>193</v>
      </c>
      <c r="E272">
        <v>3</v>
      </c>
      <c r="F272">
        <v>2</v>
      </c>
      <c r="G272">
        <v>1</v>
      </c>
      <c r="H272">
        <v>2</v>
      </c>
      <c r="I272">
        <v>5</v>
      </c>
      <c r="J272">
        <v>4</v>
      </c>
      <c r="K272">
        <v>4</v>
      </c>
      <c r="L272">
        <v>1</v>
      </c>
      <c r="M272">
        <v>1</v>
      </c>
      <c r="N272">
        <v>4</v>
      </c>
      <c r="P272">
        <v>4</v>
      </c>
      <c r="Q272">
        <v>7</v>
      </c>
      <c r="R272">
        <v>3</v>
      </c>
      <c r="S272">
        <v>41</v>
      </c>
    </row>
    <row r="273" spans="1:19">
      <c r="A273" t="s">
        <v>735</v>
      </c>
      <c r="B273" t="s">
        <v>1086</v>
      </c>
      <c r="C273" t="s">
        <v>188</v>
      </c>
      <c r="E273">
        <v>10</v>
      </c>
      <c r="F273">
        <v>9</v>
      </c>
      <c r="G273">
        <v>11</v>
      </c>
      <c r="H273">
        <v>21</v>
      </c>
      <c r="I273">
        <v>16</v>
      </c>
      <c r="J273">
        <v>17</v>
      </c>
      <c r="K273">
        <v>14</v>
      </c>
      <c r="L273">
        <v>14</v>
      </c>
      <c r="M273">
        <v>13</v>
      </c>
      <c r="N273">
        <v>15</v>
      </c>
      <c r="O273">
        <v>12</v>
      </c>
      <c r="P273">
        <v>16</v>
      </c>
      <c r="Q273">
        <v>13</v>
      </c>
      <c r="R273">
        <v>22</v>
      </c>
      <c r="S273">
        <v>203</v>
      </c>
    </row>
    <row r="274" spans="1:19">
      <c r="A274" t="s">
        <v>737</v>
      </c>
      <c r="B274" t="s">
        <v>1087</v>
      </c>
      <c r="C274" t="s">
        <v>220</v>
      </c>
      <c r="E274">
        <v>3</v>
      </c>
      <c r="F274">
        <v>5</v>
      </c>
      <c r="G274">
        <v>2</v>
      </c>
      <c r="H274">
        <v>3</v>
      </c>
      <c r="I274">
        <v>4</v>
      </c>
      <c r="J274">
        <v>4</v>
      </c>
      <c r="K274">
        <v>2</v>
      </c>
      <c r="L274">
        <v>2</v>
      </c>
      <c r="M274">
        <v>1</v>
      </c>
      <c r="N274">
        <v>3</v>
      </c>
      <c r="O274">
        <v>3</v>
      </c>
      <c r="Q274">
        <v>1</v>
      </c>
      <c r="R274">
        <v>2</v>
      </c>
      <c r="S274">
        <v>35</v>
      </c>
    </row>
    <row r="275" spans="1:19">
      <c r="A275" t="s">
        <v>739</v>
      </c>
      <c r="B275" t="s">
        <v>1088</v>
      </c>
      <c r="C275" t="s">
        <v>188</v>
      </c>
      <c r="E275">
        <v>8</v>
      </c>
      <c r="F275">
        <v>6</v>
      </c>
      <c r="G275">
        <v>5</v>
      </c>
      <c r="H275">
        <v>12</v>
      </c>
      <c r="I275">
        <v>14</v>
      </c>
      <c r="J275">
        <v>11</v>
      </c>
      <c r="K275">
        <v>6</v>
      </c>
      <c r="L275">
        <v>7</v>
      </c>
      <c r="M275">
        <v>10</v>
      </c>
      <c r="N275">
        <v>7</v>
      </c>
      <c r="O275">
        <v>12</v>
      </c>
      <c r="P275">
        <v>15</v>
      </c>
      <c r="Q275">
        <v>7</v>
      </c>
      <c r="R275">
        <v>13</v>
      </c>
      <c r="S275">
        <v>133</v>
      </c>
    </row>
    <row r="276" spans="1:19">
      <c r="A276" t="s">
        <v>741</v>
      </c>
      <c r="B276" t="s">
        <v>1089</v>
      </c>
      <c r="C276" t="s">
        <v>230</v>
      </c>
      <c r="E276">
        <v>8</v>
      </c>
      <c r="F276">
        <v>4</v>
      </c>
      <c r="G276">
        <v>6</v>
      </c>
      <c r="H276">
        <v>7</v>
      </c>
      <c r="I276">
        <v>13</v>
      </c>
      <c r="J276">
        <v>8</v>
      </c>
      <c r="K276">
        <v>13</v>
      </c>
      <c r="L276">
        <v>11</v>
      </c>
      <c r="M276">
        <v>9</v>
      </c>
      <c r="N276">
        <v>8</v>
      </c>
      <c r="O276">
        <v>12</v>
      </c>
      <c r="P276">
        <v>9</v>
      </c>
      <c r="Q276">
        <v>14</v>
      </c>
      <c r="R276">
        <v>10</v>
      </c>
      <c r="S276">
        <v>132</v>
      </c>
    </row>
    <row r="277" spans="1:19">
      <c r="A277" t="s">
        <v>743</v>
      </c>
      <c r="B277" t="s">
        <v>1090</v>
      </c>
      <c r="C277" t="s">
        <v>220</v>
      </c>
      <c r="E277">
        <v>28</v>
      </c>
      <c r="F277">
        <v>19</v>
      </c>
      <c r="G277">
        <v>28</v>
      </c>
      <c r="H277">
        <v>31</v>
      </c>
      <c r="I277">
        <v>26</v>
      </c>
      <c r="J277">
        <v>29</v>
      </c>
      <c r="K277">
        <v>42</v>
      </c>
      <c r="L277">
        <v>50</v>
      </c>
      <c r="M277">
        <v>52</v>
      </c>
      <c r="N277">
        <v>53</v>
      </c>
      <c r="O277">
        <v>40</v>
      </c>
      <c r="P277">
        <v>43</v>
      </c>
      <c r="Q277">
        <v>42</v>
      </c>
      <c r="R277">
        <v>73</v>
      </c>
      <c r="S277">
        <v>556</v>
      </c>
    </row>
    <row r="278" spans="1:19">
      <c r="A278" t="s">
        <v>745</v>
      </c>
      <c r="B278" t="s">
        <v>1091</v>
      </c>
      <c r="C278" t="s">
        <v>201</v>
      </c>
      <c r="F278">
        <v>1</v>
      </c>
      <c r="G278">
        <v>2</v>
      </c>
      <c r="I278">
        <v>1</v>
      </c>
      <c r="J278">
        <v>2</v>
      </c>
      <c r="L278">
        <v>3</v>
      </c>
      <c r="M278">
        <v>1</v>
      </c>
      <c r="N278">
        <v>1</v>
      </c>
      <c r="O278">
        <v>2</v>
      </c>
      <c r="P278">
        <v>2</v>
      </c>
      <c r="Q278">
        <v>6</v>
      </c>
      <c r="R278">
        <v>2</v>
      </c>
      <c r="S278">
        <v>23</v>
      </c>
    </row>
    <row r="279" spans="1:19">
      <c r="A279" t="s">
        <v>747</v>
      </c>
      <c r="B279" t="s">
        <v>1092</v>
      </c>
      <c r="C279" t="s">
        <v>209</v>
      </c>
      <c r="D279" t="s">
        <v>818</v>
      </c>
      <c r="E279">
        <v>5</v>
      </c>
      <c r="F279">
        <v>7</v>
      </c>
      <c r="G279">
        <v>4</v>
      </c>
      <c r="H279">
        <v>7</v>
      </c>
      <c r="I279">
        <v>7</v>
      </c>
      <c r="J279">
        <v>14</v>
      </c>
      <c r="K279">
        <v>16</v>
      </c>
      <c r="L279">
        <v>8</v>
      </c>
      <c r="M279">
        <v>3</v>
      </c>
      <c r="N279">
        <v>7</v>
      </c>
      <c r="O279">
        <v>7</v>
      </c>
      <c r="P279">
        <v>10</v>
      </c>
      <c r="Q279">
        <v>5</v>
      </c>
      <c r="R279">
        <v>8</v>
      </c>
      <c r="S279">
        <v>108</v>
      </c>
    </row>
    <row r="280" spans="1:19">
      <c r="A280" t="s">
        <v>749</v>
      </c>
      <c r="B280" t="s">
        <v>1093</v>
      </c>
      <c r="C280" t="s">
        <v>209</v>
      </c>
      <c r="D280" t="s">
        <v>818</v>
      </c>
      <c r="E280">
        <v>1</v>
      </c>
      <c r="F280">
        <v>0</v>
      </c>
      <c r="H280">
        <v>1</v>
      </c>
      <c r="I280">
        <v>2</v>
      </c>
      <c r="K280">
        <v>2</v>
      </c>
      <c r="L280">
        <v>2</v>
      </c>
      <c r="M280">
        <v>2</v>
      </c>
      <c r="N280">
        <v>1</v>
      </c>
      <c r="O280">
        <v>3</v>
      </c>
      <c r="P280">
        <v>2</v>
      </c>
      <c r="Q280">
        <v>1</v>
      </c>
      <c r="R280">
        <v>1</v>
      </c>
      <c r="S280">
        <v>18</v>
      </c>
    </row>
    <row r="281" spans="1:19">
      <c r="A281" t="s">
        <v>751</v>
      </c>
      <c r="B281" t="s">
        <v>1094</v>
      </c>
      <c r="C281" t="s">
        <v>204</v>
      </c>
      <c r="E281">
        <v>19</v>
      </c>
      <c r="F281">
        <v>6</v>
      </c>
      <c r="G281">
        <v>15</v>
      </c>
      <c r="H281">
        <v>26</v>
      </c>
      <c r="I281">
        <v>29</v>
      </c>
      <c r="J281">
        <v>26</v>
      </c>
      <c r="K281">
        <v>31</v>
      </c>
      <c r="L281">
        <v>22</v>
      </c>
      <c r="M281">
        <v>24</v>
      </c>
      <c r="N281">
        <v>29</v>
      </c>
      <c r="O281">
        <v>27</v>
      </c>
      <c r="P281">
        <v>19</v>
      </c>
      <c r="Q281">
        <v>18</v>
      </c>
      <c r="R281">
        <v>17</v>
      </c>
      <c r="S281">
        <v>308</v>
      </c>
    </row>
    <row r="282" spans="1:19">
      <c r="A282" t="s">
        <v>753</v>
      </c>
      <c r="B282" t="s">
        <v>1095</v>
      </c>
      <c r="C282" t="s">
        <v>188</v>
      </c>
      <c r="E282">
        <v>46</v>
      </c>
      <c r="F282">
        <v>56</v>
      </c>
      <c r="G282">
        <v>58</v>
      </c>
      <c r="H282">
        <v>59</v>
      </c>
      <c r="I282">
        <v>76</v>
      </c>
      <c r="J282">
        <v>89</v>
      </c>
      <c r="K282">
        <v>84</v>
      </c>
      <c r="L282">
        <v>72</v>
      </c>
      <c r="M282">
        <v>49</v>
      </c>
      <c r="N282">
        <v>64</v>
      </c>
      <c r="O282">
        <v>51</v>
      </c>
      <c r="P282">
        <v>53</v>
      </c>
      <c r="Q282">
        <v>57</v>
      </c>
      <c r="R282">
        <v>71</v>
      </c>
      <c r="S282">
        <v>885</v>
      </c>
    </row>
    <row r="283" spans="1:19">
      <c r="A283" t="s">
        <v>755</v>
      </c>
      <c r="B283" t="s">
        <v>1096</v>
      </c>
      <c r="C283" t="s">
        <v>220</v>
      </c>
      <c r="E283">
        <v>6</v>
      </c>
      <c r="F283">
        <v>7</v>
      </c>
      <c r="G283">
        <v>6</v>
      </c>
      <c r="H283">
        <v>8</v>
      </c>
      <c r="I283">
        <v>7</v>
      </c>
      <c r="J283">
        <v>6</v>
      </c>
      <c r="K283">
        <v>6</v>
      </c>
      <c r="L283">
        <v>10</v>
      </c>
      <c r="M283">
        <v>9</v>
      </c>
      <c r="N283">
        <v>9</v>
      </c>
      <c r="S283">
        <v>74</v>
      </c>
    </row>
    <row r="284" spans="1:19">
      <c r="A284" t="s">
        <v>757</v>
      </c>
      <c r="B284" t="s">
        <v>1097</v>
      </c>
      <c r="C284" t="s">
        <v>204</v>
      </c>
      <c r="E284">
        <v>38</v>
      </c>
      <c r="F284">
        <v>30</v>
      </c>
      <c r="G284">
        <v>48</v>
      </c>
      <c r="H284">
        <v>44</v>
      </c>
      <c r="I284">
        <v>51</v>
      </c>
      <c r="J284">
        <v>54</v>
      </c>
      <c r="K284">
        <v>30</v>
      </c>
      <c r="L284">
        <v>46</v>
      </c>
      <c r="M284">
        <v>53</v>
      </c>
      <c r="N284">
        <v>32</v>
      </c>
      <c r="O284">
        <v>47</v>
      </c>
      <c r="P284">
        <v>30</v>
      </c>
      <c r="Q284">
        <v>31</v>
      </c>
      <c r="R284">
        <v>49</v>
      </c>
      <c r="S284">
        <v>583</v>
      </c>
    </row>
    <row r="285" spans="1:19">
      <c r="A285" t="s">
        <v>759</v>
      </c>
      <c r="B285" t="s">
        <v>1250</v>
      </c>
      <c r="C285" t="s">
        <v>193</v>
      </c>
      <c r="E285">
        <v>4</v>
      </c>
      <c r="F285">
        <v>7</v>
      </c>
      <c r="G285">
        <v>7</v>
      </c>
      <c r="H285">
        <v>7</v>
      </c>
      <c r="I285">
        <v>10</v>
      </c>
      <c r="J285">
        <v>12</v>
      </c>
      <c r="K285">
        <v>16</v>
      </c>
      <c r="L285">
        <v>15</v>
      </c>
      <c r="M285">
        <v>13</v>
      </c>
      <c r="N285">
        <v>14</v>
      </c>
      <c r="O285">
        <v>7</v>
      </c>
      <c r="P285">
        <v>1</v>
      </c>
      <c r="Q285">
        <v>2</v>
      </c>
      <c r="R285">
        <v>2</v>
      </c>
      <c r="S285">
        <v>117</v>
      </c>
    </row>
    <row r="286" spans="1:19">
      <c r="A286" t="s">
        <v>761</v>
      </c>
      <c r="B286" t="s">
        <v>1099</v>
      </c>
      <c r="C286" t="s">
        <v>209</v>
      </c>
      <c r="E286">
        <v>177</v>
      </c>
      <c r="F286">
        <v>158</v>
      </c>
      <c r="G286">
        <v>176</v>
      </c>
      <c r="H286">
        <v>233</v>
      </c>
      <c r="I286">
        <v>250</v>
      </c>
      <c r="J286">
        <v>253</v>
      </c>
      <c r="K286">
        <v>230</v>
      </c>
      <c r="L286">
        <v>216</v>
      </c>
      <c r="M286">
        <v>255</v>
      </c>
      <c r="N286">
        <v>238</v>
      </c>
      <c r="O286">
        <v>215</v>
      </c>
      <c r="P286">
        <v>189</v>
      </c>
      <c r="Q286">
        <v>175</v>
      </c>
      <c r="R286">
        <v>257</v>
      </c>
      <c r="S286">
        <v>3022</v>
      </c>
    </row>
    <row r="287" spans="1:19">
      <c r="A287" t="s">
        <v>763</v>
      </c>
      <c r="B287" t="s">
        <v>1100</v>
      </c>
      <c r="C287" t="s">
        <v>204</v>
      </c>
      <c r="E287">
        <v>12</v>
      </c>
      <c r="F287">
        <v>6</v>
      </c>
      <c r="G287">
        <v>4</v>
      </c>
      <c r="H287">
        <v>10</v>
      </c>
      <c r="I287">
        <v>15</v>
      </c>
      <c r="J287">
        <v>9</v>
      </c>
      <c r="K287">
        <v>13</v>
      </c>
      <c r="L287">
        <v>17</v>
      </c>
      <c r="M287">
        <v>18</v>
      </c>
      <c r="N287">
        <v>17</v>
      </c>
      <c r="O287">
        <v>16</v>
      </c>
      <c r="P287">
        <v>17</v>
      </c>
      <c r="Q287">
        <v>14</v>
      </c>
      <c r="R287">
        <v>10</v>
      </c>
      <c r="S287">
        <v>178</v>
      </c>
    </row>
    <row r="288" spans="1:19">
      <c r="A288" t="s">
        <v>765</v>
      </c>
      <c r="B288" t="s">
        <v>1101</v>
      </c>
      <c r="C288" t="s">
        <v>209</v>
      </c>
      <c r="D288" t="s">
        <v>818</v>
      </c>
      <c r="E288">
        <v>3</v>
      </c>
      <c r="F288">
        <v>1</v>
      </c>
      <c r="G288">
        <v>3</v>
      </c>
      <c r="H288">
        <v>6</v>
      </c>
      <c r="I288">
        <v>4</v>
      </c>
      <c r="J288">
        <v>8</v>
      </c>
      <c r="K288">
        <v>4</v>
      </c>
      <c r="L288">
        <v>4</v>
      </c>
      <c r="M288">
        <v>8</v>
      </c>
      <c r="N288">
        <v>3</v>
      </c>
      <c r="O288">
        <v>9</v>
      </c>
      <c r="P288">
        <v>5</v>
      </c>
      <c r="Q288">
        <v>14</v>
      </c>
      <c r="R288">
        <v>10</v>
      </c>
      <c r="S288">
        <v>82</v>
      </c>
    </row>
    <row r="289" spans="1:20">
      <c r="A289" t="s">
        <v>767</v>
      </c>
      <c r="B289" t="s">
        <v>1102</v>
      </c>
      <c r="C289" t="s">
        <v>220</v>
      </c>
      <c r="E289">
        <v>22</v>
      </c>
      <c r="F289">
        <v>11</v>
      </c>
      <c r="G289">
        <v>22</v>
      </c>
      <c r="H289">
        <v>8</v>
      </c>
      <c r="I289">
        <v>18</v>
      </c>
      <c r="J289">
        <v>16</v>
      </c>
      <c r="K289">
        <v>25</v>
      </c>
      <c r="L289">
        <v>22</v>
      </c>
      <c r="M289">
        <v>19</v>
      </c>
      <c r="N289">
        <v>37</v>
      </c>
      <c r="O289">
        <v>24</v>
      </c>
      <c r="P289">
        <v>18</v>
      </c>
      <c r="Q289">
        <v>44</v>
      </c>
      <c r="R289">
        <v>27</v>
      </c>
      <c r="S289">
        <v>313</v>
      </c>
    </row>
    <row r="290" spans="1:20">
      <c r="A290" t="s">
        <v>769</v>
      </c>
      <c r="B290" t="s">
        <v>1103</v>
      </c>
      <c r="C290" t="s">
        <v>201</v>
      </c>
      <c r="E290">
        <v>3</v>
      </c>
      <c r="F290">
        <v>2</v>
      </c>
      <c r="G290">
        <v>3</v>
      </c>
      <c r="H290">
        <v>1</v>
      </c>
      <c r="I290">
        <v>1</v>
      </c>
      <c r="J290">
        <v>2</v>
      </c>
      <c r="K290">
        <v>1</v>
      </c>
      <c r="L290">
        <v>2</v>
      </c>
      <c r="N290">
        <v>3</v>
      </c>
      <c r="O290">
        <v>1</v>
      </c>
      <c r="P290">
        <v>2</v>
      </c>
      <c r="Q290">
        <v>2</v>
      </c>
      <c r="R290">
        <v>1</v>
      </c>
      <c r="S290">
        <v>24</v>
      </c>
    </row>
    <row r="291" spans="1:20">
      <c r="A291" t="s">
        <v>771</v>
      </c>
      <c r="B291" t="s">
        <v>1104</v>
      </c>
      <c r="C291" t="s">
        <v>201</v>
      </c>
      <c r="E291">
        <v>26</v>
      </c>
      <c r="F291">
        <v>44</v>
      </c>
      <c r="G291">
        <v>50</v>
      </c>
      <c r="H291">
        <v>54</v>
      </c>
      <c r="I291">
        <v>53</v>
      </c>
      <c r="J291">
        <v>56</v>
      </c>
      <c r="K291">
        <v>68</v>
      </c>
      <c r="L291">
        <v>67</v>
      </c>
      <c r="M291">
        <v>83</v>
      </c>
      <c r="N291">
        <v>61</v>
      </c>
      <c r="O291">
        <v>68</v>
      </c>
      <c r="P291">
        <v>54</v>
      </c>
      <c r="Q291">
        <v>60</v>
      </c>
      <c r="R291">
        <v>77</v>
      </c>
      <c r="S291">
        <v>821</v>
      </c>
    </row>
    <row r="292" spans="1:20">
      <c r="A292" t="s">
        <v>773</v>
      </c>
      <c r="B292" t="s">
        <v>1105</v>
      </c>
      <c r="C292" t="s">
        <v>220</v>
      </c>
      <c r="E292">
        <v>22</v>
      </c>
      <c r="F292">
        <v>27</v>
      </c>
      <c r="G292">
        <v>20</v>
      </c>
      <c r="H292">
        <v>31</v>
      </c>
      <c r="I292">
        <v>28</v>
      </c>
      <c r="J292">
        <v>29</v>
      </c>
      <c r="K292">
        <v>38</v>
      </c>
      <c r="L292">
        <v>38</v>
      </c>
      <c r="M292">
        <v>45</v>
      </c>
      <c r="N292">
        <v>37</v>
      </c>
      <c r="O292">
        <v>23</v>
      </c>
      <c r="P292">
        <v>33</v>
      </c>
      <c r="Q292">
        <v>23</v>
      </c>
      <c r="R292">
        <v>24</v>
      </c>
      <c r="S292">
        <v>418</v>
      </c>
    </row>
    <row r="293" spans="1:20">
      <c r="A293" t="s">
        <v>775</v>
      </c>
      <c r="B293" t="s">
        <v>1106</v>
      </c>
      <c r="C293" t="s">
        <v>230</v>
      </c>
      <c r="E293">
        <v>6</v>
      </c>
      <c r="F293">
        <v>5</v>
      </c>
      <c r="G293">
        <v>8</v>
      </c>
      <c r="H293">
        <v>4</v>
      </c>
      <c r="I293">
        <v>5</v>
      </c>
      <c r="J293">
        <v>9</v>
      </c>
      <c r="K293">
        <v>11</v>
      </c>
      <c r="L293">
        <v>12</v>
      </c>
      <c r="M293">
        <v>10</v>
      </c>
      <c r="N293">
        <v>7</v>
      </c>
      <c r="O293">
        <v>15</v>
      </c>
      <c r="P293">
        <v>13</v>
      </c>
      <c r="Q293">
        <v>9</v>
      </c>
      <c r="R293">
        <v>15</v>
      </c>
      <c r="S293">
        <v>129</v>
      </c>
    </row>
    <row r="294" spans="1:20">
      <c r="A294" t="s">
        <v>652</v>
      </c>
      <c r="B294" t="s">
        <v>1255</v>
      </c>
      <c r="C294" t="s">
        <v>1254</v>
      </c>
      <c r="E294">
        <v>3</v>
      </c>
      <c r="F294">
        <v>4</v>
      </c>
      <c r="G294">
        <v>1</v>
      </c>
      <c r="H294">
        <v>2</v>
      </c>
      <c r="I294">
        <v>3</v>
      </c>
      <c r="J294">
        <v>4</v>
      </c>
      <c r="K294">
        <v>10</v>
      </c>
      <c r="L294">
        <v>5</v>
      </c>
      <c r="M294">
        <v>12</v>
      </c>
      <c r="N294">
        <v>10</v>
      </c>
      <c r="O294">
        <v>10</v>
      </c>
      <c r="P294">
        <v>15</v>
      </c>
      <c r="Q294">
        <v>3</v>
      </c>
      <c r="R294">
        <v>18</v>
      </c>
      <c r="S294">
        <v>100</v>
      </c>
    </row>
    <row r="295" spans="1:20" s="379" customFormat="1" hidden="1">
      <c r="A295" s="379" t="s">
        <v>1286</v>
      </c>
      <c r="B295" s="379" t="s">
        <v>1287</v>
      </c>
      <c r="C295" s="379" t="s">
        <v>188</v>
      </c>
      <c r="F295" s="379">
        <v>0</v>
      </c>
      <c r="O295" s="379">
        <v>5</v>
      </c>
      <c r="P295" s="379">
        <v>13</v>
      </c>
      <c r="Q295" s="379">
        <v>5</v>
      </c>
      <c r="R295" s="379">
        <v>3</v>
      </c>
      <c r="S295" s="379">
        <v>26</v>
      </c>
      <c r="T295" s="379" t="s">
        <v>1260</v>
      </c>
    </row>
    <row r="296" spans="1:20">
      <c r="A296" t="s">
        <v>777</v>
      </c>
      <c r="B296" t="s">
        <v>1107</v>
      </c>
      <c r="C296" t="s">
        <v>209</v>
      </c>
      <c r="E296">
        <v>35</v>
      </c>
      <c r="F296">
        <v>30</v>
      </c>
      <c r="G296">
        <v>24</v>
      </c>
      <c r="H296">
        <v>31</v>
      </c>
      <c r="I296">
        <v>34</v>
      </c>
      <c r="J296">
        <v>28</v>
      </c>
      <c r="K296">
        <v>30</v>
      </c>
      <c r="L296">
        <v>40</v>
      </c>
      <c r="M296">
        <v>45</v>
      </c>
      <c r="N296">
        <v>36</v>
      </c>
      <c r="O296">
        <v>30</v>
      </c>
      <c r="P296">
        <v>38</v>
      </c>
      <c r="Q296">
        <v>27</v>
      </c>
      <c r="R296">
        <v>43</v>
      </c>
      <c r="S296">
        <v>471</v>
      </c>
    </row>
    <row r="297" spans="1:20">
      <c r="A297" t="s">
        <v>779</v>
      </c>
      <c r="B297" t="s">
        <v>1108</v>
      </c>
      <c r="C297" t="s">
        <v>193</v>
      </c>
      <c r="F297">
        <v>2</v>
      </c>
      <c r="G297">
        <v>1</v>
      </c>
      <c r="H297">
        <v>1</v>
      </c>
      <c r="I297">
        <v>1</v>
      </c>
      <c r="K297">
        <v>1</v>
      </c>
      <c r="L297">
        <v>1</v>
      </c>
      <c r="M297">
        <v>1</v>
      </c>
      <c r="O297">
        <v>1</v>
      </c>
      <c r="R297">
        <v>1</v>
      </c>
      <c r="S297">
        <v>10</v>
      </c>
    </row>
    <row r="298" spans="1:20">
      <c r="A298" t="s">
        <v>781</v>
      </c>
      <c r="B298" t="s">
        <v>1109</v>
      </c>
      <c r="C298" t="s">
        <v>230</v>
      </c>
      <c r="D298" t="s">
        <v>818</v>
      </c>
      <c r="E298">
        <v>1</v>
      </c>
      <c r="F298">
        <v>7</v>
      </c>
      <c r="H298">
        <v>3</v>
      </c>
      <c r="I298">
        <v>2</v>
      </c>
      <c r="J298">
        <v>3</v>
      </c>
      <c r="K298">
        <v>1</v>
      </c>
      <c r="L298">
        <v>1</v>
      </c>
      <c r="M298">
        <v>3</v>
      </c>
      <c r="N298">
        <v>2</v>
      </c>
      <c r="O298">
        <v>8</v>
      </c>
      <c r="P298">
        <v>5</v>
      </c>
      <c r="Q298">
        <v>5</v>
      </c>
      <c r="R298">
        <v>2</v>
      </c>
      <c r="S298">
        <v>43</v>
      </c>
    </row>
    <row r="299" spans="1:20">
      <c r="A299" t="s">
        <v>783</v>
      </c>
      <c r="B299" t="s">
        <v>1110</v>
      </c>
      <c r="C299" t="s">
        <v>193</v>
      </c>
      <c r="E299">
        <v>4</v>
      </c>
      <c r="F299">
        <v>0</v>
      </c>
      <c r="G299">
        <v>4</v>
      </c>
      <c r="H299">
        <v>4</v>
      </c>
      <c r="I299">
        <v>4</v>
      </c>
      <c r="J299">
        <v>6</v>
      </c>
      <c r="K299">
        <v>7</v>
      </c>
      <c r="L299">
        <v>3</v>
      </c>
      <c r="M299">
        <v>2</v>
      </c>
      <c r="N299">
        <v>2</v>
      </c>
      <c r="O299">
        <v>8</v>
      </c>
      <c r="P299">
        <v>7</v>
      </c>
      <c r="Q299">
        <v>10</v>
      </c>
      <c r="R299">
        <v>10</v>
      </c>
      <c r="S299">
        <v>71</v>
      </c>
    </row>
    <row r="300" spans="1:20">
      <c r="A300" t="s">
        <v>785</v>
      </c>
      <c r="B300" t="s">
        <v>1111</v>
      </c>
      <c r="C300" t="s">
        <v>230</v>
      </c>
      <c r="E300">
        <v>77</v>
      </c>
      <c r="F300">
        <v>49</v>
      </c>
      <c r="G300">
        <v>70</v>
      </c>
      <c r="H300">
        <v>86</v>
      </c>
      <c r="I300">
        <v>62</v>
      </c>
      <c r="J300">
        <v>69</v>
      </c>
      <c r="K300">
        <v>74</v>
      </c>
      <c r="L300">
        <v>79</v>
      </c>
      <c r="M300">
        <v>81</v>
      </c>
      <c r="N300">
        <v>69</v>
      </c>
      <c r="O300">
        <v>72</v>
      </c>
      <c r="P300">
        <v>74</v>
      </c>
      <c r="Q300">
        <v>70</v>
      </c>
      <c r="R300">
        <v>97</v>
      </c>
      <c r="S300">
        <v>1029</v>
      </c>
    </row>
    <row r="301" spans="1:20">
      <c r="A301" t="s">
        <v>787</v>
      </c>
      <c r="B301" t="s">
        <v>1259</v>
      </c>
      <c r="C301" t="s">
        <v>220</v>
      </c>
      <c r="E301">
        <v>54</v>
      </c>
      <c r="F301">
        <v>45</v>
      </c>
      <c r="G301">
        <v>59</v>
      </c>
      <c r="H301">
        <v>69</v>
      </c>
      <c r="I301">
        <v>71</v>
      </c>
      <c r="J301">
        <v>76</v>
      </c>
      <c r="K301">
        <v>54</v>
      </c>
      <c r="L301">
        <v>49</v>
      </c>
      <c r="M301">
        <v>48</v>
      </c>
      <c r="N301">
        <v>55</v>
      </c>
      <c r="O301">
        <v>47</v>
      </c>
      <c r="P301">
        <v>54</v>
      </c>
      <c r="Q301">
        <v>36</v>
      </c>
      <c r="R301">
        <v>54</v>
      </c>
      <c r="S301">
        <v>771</v>
      </c>
    </row>
    <row r="302" spans="1:20">
      <c r="A302" t="s">
        <v>789</v>
      </c>
      <c r="B302" t="s">
        <v>1247</v>
      </c>
      <c r="C302" t="s">
        <v>193</v>
      </c>
      <c r="E302">
        <v>34</v>
      </c>
      <c r="F302">
        <v>24</v>
      </c>
      <c r="G302">
        <v>28</v>
      </c>
      <c r="H302">
        <v>27</v>
      </c>
      <c r="I302">
        <v>27</v>
      </c>
      <c r="J302">
        <v>21</v>
      </c>
      <c r="K302">
        <v>37</v>
      </c>
      <c r="L302">
        <v>35</v>
      </c>
      <c r="M302">
        <v>33</v>
      </c>
      <c r="N302">
        <v>35</v>
      </c>
      <c r="O302">
        <v>37</v>
      </c>
      <c r="P302">
        <v>46</v>
      </c>
      <c r="Q302">
        <v>46</v>
      </c>
      <c r="R302">
        <v>41</v>
      </c>
      <c r="S302">
        <v>471</v>
      </c>
    </row>
    <row r="303" spans="1:20">
      <c r="A303" t="s">
        <v>1168</v>
      </c>
      <c r="B303" t="s">
        <v>1288</v>
      </c>
      <c r="C303" t="s">
        <v>196</v>
      </c>
      <c r="F303">
        <v>0</v>
      </c>
      <c r="O303">
        <v>2</v>
      </c>
      <c r="P303">
        <v>1</v>
      </c>
      <c r="S303">
        <v>3</v>
      </c>
    </row>
    <row r="304" spans="1:20">
      <c r="A304" t="s">
        <v>791</v>
      </c>
      <c r="B304" t="s">
        <v>1114</v>
      </c>
      <c r="C304" t="s">
        <v>188</v>
      </c>
      <c r="E304">
        <v>1</v>
      </c>
      <c r="F304">
        <v>5</v>
      </c>
      <c r="G304">
        <v>6</v>
      </c>
      <c r="H304">
        <v>3</v>
      </c>
      <c r="I304">
        <v>6</v>
      </c>
      <c r="J304">
        <v>4</v>
      </c>
      <c r="K304">
        <v>5</v>
      </c>
      <c r="L304">
        <v>6</v>
      </c>
      <c r="M304">
        <v>5</v>
      </c>
      <c r="N304">
        <v>5</v>
      </c>
      <c r="O304">
        <v>2</v>
      </c>
      <c r="P304">
        <v>4</v>
      </c>
      <c r="Q304">
        <v>7</v>
      </c>
      <c r="R304">
        <v>4</v>
      </c>
      <c r="S304">
        <v>63</v>
      </c>
    </row>
    <row r="305" spans="1:20">
      <c r="A305" t="s">
        <v>793</v>
      </c>
      <c r="B305" t="s">
        <v>1115</v>
      </c>
      <c r="C305" t="s">
        <v>204</v>
      </c>
      <c r="E305">
        <v>41</v>
      </c>
      <c r="F305">
        <v>47</v>
      </c>
      <c r="G305">
        <v>30</v>
      </c>
      <c r="H305">
        <v>51</v>
      </c>
      <c r="I305">
        <v>38</v>
      </c>
      <c r="J305">
        <v>36</v>
      </c>
      <c r="K305">
        <v>52</v>
      </c>
      <c r="L305">
        <v>41</v>
      </c>
      <c r="M305">
        <v>39</v>
      </c>
      <c r="N305">
        <v>41</v>
      </c>
      <c r="O305">
        <v>50</v>
      </c>
      <c r="P305">
        <v>43</v>
      </c>
      <c r="Q305">
        <v>40</v>
      </c>
      <c r="R305">
        <v>53</v>
      </c>
      <c r="S305">
        <v>602</v>
      </c>
    </row>
    <row r="306" spans="1:20">
      <c r="A306" t="s">
        <v>795</v>
      </c>
      <c r="B306" t="s">
        <v>1116</v>
      </c>
      <c r="C306" t="s">
        <v>209</v>
      </c>
      <c r="D306" t="s">
        <v>818</v>
      </c>
      <c r="E306">
        <v>4</v>
      </c>
      <c r="F306">
        <v>10</v>
      </c>
      <c r="G306">
        <v>10</v>
      </c>
      <c r="H306">
        <v>11</v>
      </c>
      <c r="I306">
        <v>14</v>
      </c>
      <c r="J306">
        <v>15</v>
      </c>
      <c r="K306">
        <v>10</v>
      </c>
      <c r="L306">
        <v>9</v>
      </c>
      <c r="M306">
        <v>6</v>
      </c>
      <c r="N306">
        <v>5</v>
      </c>
      <c r="O306">
        <v>15</v>
      </c>
      <c r="P306">
        <v>10</v>
      </c>
      <c r="Q306">
        <v>5</v>
      </c>
      <c r="R306">
        <v>23</v>
      </c>
      <c r="S306">
        <v>147</v>
      </c>
    </row>
    <row r="307" spans="1:20">
      <c r="A307" s="368" t="s">
        <v>246</v>
      </c>
      <c r="B307" t="s">
        <v>1289</v>
      </c>
      <c r="C307" s="368" t="s">
        <v>204</v>
      </c>
      <c r="O307">
        <v>19</v>
      </c>
      <c r="S307">
        <v>19</v>
      </c>
    </row>
    <row r="308" spans="1:20">
      <c r="A308" t="s">
        <v>797</v>
      </c>
      <c r="B308" t="s">
        <v>1117</v>
      </c>
      <c r="C308" t="s">
        <v>193</v>
      </c>
      <c r="F308">
        <v>2</v>
      </c>
      <c r="G308">
        <v>2</v>
      </c>
      <c r="H308">
        <v>2</v>
      </c>
      <c r="I308">
        <v>5</v>
      </c>
      <c r="J308">
        <v>5</v>
      </c>
      <c r="K308">
        <v>1</v>
      </c>
      <c r="L308">
        <v>1</v>
      </c>
      <c r="M308">
        <v>3</v>
      </c>
      <c r="N308">
        <v>3</v>
      </c>
      <c r="O308">
        <v>1</v>
      </c>
      <c r="P308">
        <v>5</v>
      </c>
      <c r="Q308">
        <v>3</v>
      </c>
      <c r="R308">
        <v>6</v>
      </c>
      <c r="S308">
        <v>39</v>
      </c>
    </row>
    <row r="309" spans="1:20">
      <c r="A309" t="s">
        <v>799</v>
      </c>
      <c r="B309" t="s">
        <v>1118</v>
      </c>
      <c r="C309" t="s">
        <v>188</v>
      </c>
      <c r="F309">
        <v>2</v>
      </c>
      <c r="G309">
        <v>3</v>
      </c>
      <c r="I309">
        <v>2</v>
      </c>
      <c r="J309">
        <v>2</v>
      </c>
      <c r="K309">
        <v>5</v>
      </c>
      <c r="L309">
        <v>5</v>
      </c>
      <c r="M309">
        <v>2</v>
      </c>
      <c r="N309">
        <v>4</v>
      </c>
      <c r="O309">
        <v>3</v>
      </c>
      <c r="P309">
        <v>2</v>
      </c>
      <c r="Q309">
        <v>6</v>
      </c>
      <c r="R309">
        <v>6</v>
      </c>
      <c r="S309">
        <v>42</v>
      </c>
    </row>
    <row r="310" spans="1:20">
      <c r="A310" t="s">
        <v>801</v>
      </c>
      <c r="B310" t="s">
        <v>1148</v>
      </c>
      <c r="C310" t="s">
        <v>230</v>
      </c>
      <c r="F310">
        <v>0</v>
      </c>
      <c r="G310">
        <v>3</v>
      </c>
      <c r="H310">
        <v>2</v>
      </c>
      <c r="J310">
        <v>3</v>
      </c>
      <c r="L310">
        <v>2</v>
      </c>
      <c r="O310">
        <v>2</v>
      </c>
      <c r="P310">
        <v>1</v>
      </c>
      <c r="Q310">
        <v>2</v>
      </c>
      <c r="S310">
        <v>15</v>
      </c>
    </row>
    <row r="311" spans="1:20">
      <c r="A311" t="s">
        <v>803</v>
      </c>
      <c r="B311" t="s">
        <v>1119</v>
      </c>
      <c r="C311" t="s">
        <v>188</v>
      </c>
      <c r="E311">
        <v>6</v>
      </c>
      <c r="F311">
        <v>2</v>
      </c>
      <c r="G311">
        <v>9</v>
      </c>
      <c r="H311">
        <v>11</v>
      </c>
      <c r="I311">
        <v>7</v>
      </c>
      <c r="J311">
        <v>10</v>
      </c>
      <c r="K311">
        <v>9</v>
      </c>
      <c r="L311">
        <v>7</v>
      </c>
      <c r="M311">
        <v>7</v>
      </c>
      <c r="N311">
        <v>9</v>
      </c>
      <c r="O311">
        <v>4</v>
      </c>
      <c r="P311">
        <v>8</v>
      </c>
      <c r="Q311">
        <v>11</v>
      </c>
      <c r="R311">
        <v>10</v>
      </c>
      <c r="S311">
        <v>110</v>
      </c>
    </row>
    <row r="312" spans="1:20">
      <c r="A312" t="s">
        <v>805</v>
      </c>
      <c r="B312" t="s">
        <v>1120</v>
      </c>
      <c r="C312" t="s">
        <v>188</v>
      </c>
      <c r="F312">
        <v>1</v>
      </c>
      <c r="I312">
        <v>1</v>
      </c>
      <c r="K312">
        <v>5</v>
      </c>
      <c r="L312">
        <v>4</v>
      </c>
      <c r="M312">
        <v>5</v>
      </c>
      <c r="Q312">
        <v>2</v>
      </c>
      <c r="S312">
        <v>18</v>
      </c>
    </row>
    <row r="313" spans="1:20">
      <c r="A313" t="s">
        <v>807</v>
      </c>
      <c r="B313" t="s">
        <v>1121</v>
      </c>
      <c r="C313" t="s">
        <v>209</v>
      </c>
      <c r="D313" t="s">
        <v>818</v>
      </c>
      <c r="E313">
        <v>1</v>
      </c>
      <c r="F313">
        <v>0</v>
      </c>
      <c r="J313">
        <v>1</v>
      </c>
      <c r="M313">
        <v>1</v>
      </c>
      <c r="N313">
        <v>2</v>
      </c>
      <c r="P313">
        <v>1</v>
      </c>
      <c r="Q313">
        <v>1</v>
      </c>
      <c r="S313">
        <v>7</v>
      </c>
    </row>
    <row r="314" spans="1:20">
      <c r="A314" t="s">
        <v>809</v>
      </c>
      <c r="B314" t="s">
        <v>1122</v>
      </c>
      <c r="C314" t="s">
        <v>209</v>
      </c>
      <c r="E314">
        <v>22</v>
      </c>
      <c r="F314">
        <v>8</v>
      </c>
      <c r="G314">
        <v>19</v>
      </c>
      <c r="H314">
        <v>22</v>
      </c>
      <c r="I314">
        <v>22</v>
      </c>
      <c r="J314">
        <v>20</v>
      </c>
      <c r="K314">
        <v>29</v>
      </c>
      <c r="L314">
        <v>26</v>
      </c>
      <c r="M314">
        <v>22</v>
      </c>
      <c r="N314">
        <v>30</v>
      </c>
      <c r="O314">
        <v>22</v>
      </c>
      <c r="P314">
        <v>13</v>
      </c>
      <c r="Q314">
        <v>39</v>
      </c>
      <c r="R314">
        <v>43</v>
      </c>
      <c r="S314">
        <v>337</v>
      </c>
    </row>
    <row r="315" spans="1:20">
      <c r="A315" t="s">
        <v>811</v>
      </c>
      <c r="B315" t="s">
        <v>1123</v>
      </c>
      <c r="C315" t="s">
        <v>220</v>
      </c>
      <c r="E315">
        <v>185</v>
      </c>
      <c r="F315">
        <v>132</v>
      </c>
      <c r="G315">
        <v>160</v>
      </c>
      <c r="H315">
        <v>151</v>
      </c>
      <c r="I315">
        <v>163</v>
      </c>
      <c r="J315">
        <v>152</v>
      </c>
      <c r="K315">
        <v>142</v>
      </c>
      <c r="L315">
        <v>156</v>
      </c>
      <c r="M315">
        <v>144</v>
      </c>
      <c r="N315">
        <v>163</v>
      </c>
      <c r="O315">
        <v>181</v>
      </c>
      <c r="P315">
        <v>158</v>
      </c>
      <c r="Q315">
        <v>139</v>
      </c>
      <c r="R315">
        <v>193</v>
      </c>
      <c r="S315">
        <v>2219</v>
      </c>
    </row>
    <row r="316" spans="1:20">
      <c r="A316" t="s">
        <v>813</v>
      </c>
      <c r="B316" t="s">
        <v>1124</v>
      </c>
      <c r="C316" t="s">
        <v>188</v>
      </c>
      <c r="E316">
        <v>36</v>
      </c>
      <c r="F316">
        <v>48</v>
      </c>
      <c r="G316">
        <v>49</v>
      </c>
      <c r="H316">
        <v>60</v>
      </c>
      <c r="I316">
        <v>61</v>
      </c>
      <c r="J316">
        <v>66</v>
      </c>
      <c r="K316">
        <v>60</v>
      </c>
      <c r="L316">
        <v>55</v>
      </c>
      <c r="M316">
        <v>60</v>
      </c>
      <c r="N316">
        <v>57</v>
      </c>
      <c r="O316">
        <v>55</v>
      </c>
      <c r="P316">
        <v>61</v>
      </c>
      <c r="Q316">
        <v>57</v>
      </c>
      <c r="R316">
        <v>63</v>
      </c>
      <c r="S316">
        <v>788</v>
      </c>
    </row>
    <row r="317" spans="1:20" ht="15" thickBot="1">
      <c r="A317" s="375" t="s">
        <v>815</v>
      </c>
      <c r="B317" s="375" t="s">
        <v>1125</v>
      </c>
      <c r="C317" s="375" t="s">
        <v>220</v>
      </c>
      <c r="D317" s="375"/>
      <c r="E317" s="375">
        <v>6</v>
      </c>
      <c r="F317" s="375">
        <v>12</v>
      </c>
      <c r="G317" s="375">
        <v>6</v>
      </c>
      <c r="H317" s="375">
        <v>9</v>
      </c>
      <c r="I317" s="375">
        <v>11</v>
      </c>
      <c r="J317" s="375">
        <v>11</v>
      </c>
      <c r="K317" s="375">
        <v>7</v>
      </c>
      <c r="L317" s="375">
        <v>15</v>
      </c>
      <c r="M317" s="375">
        <v>15</v>
      </c>
      <c r="N317" s="375">
        <v>4</v>
      </c>
      <c r="O317" s="375">
        <v>12</v>
      </c>
      <c r="P317" s="375">
        <v>10</v>
      </c>
      <c r="Q317" s="375">
        <v>10</v>
      </c>
      <c r="R317" s="375">
        <v>6</v>
      </c>
      <c r="S317" s="375">
        <v>134</v>
      </c>
    </row>
    <row r="318" spans="1:20" s="374" customFormat="1">
      <c r="A318" s="374" t="s">
        <v>1229</v>
      </c>
      <c r="E318" s="374">
        <v>9486</v>
      </c>
      <c r="F318" s="374">
        <v>7815</v>
      </c>
      <c r="G318" s="374">
        <v>8766</v>
      </c>
      <c r="H318" s="374">
        <v>10133</v>
      </c>
      <c r="I318" s="374">
        <v>10856</v>
      </c>
      <c r="J318" s="374">
        <v>11106</v>
      </c>
      <c r="K318" s="374">
        <v>11545</v>
      </c>
      <c r="L318" s="374">
        <v>11103</v>
      </c>
      <c r="M318" s="374">
        <v>11329</v>
      </c>
      <c r="N318" s="374">
        <v>11219</v>
      </c>
      <c r="O318" s="374">
        <v>10867</v>
      </c>
      <c r="P318" s="374">
        <v>10229</v>
      </c>
      <c r="Q318" s="374">
        <v>9679</v>
      </c>
      <c r="R318" s="374">
        <v>12623</v>
      </c>
      <c r="S318" s="374">
        <f>SUBTOTAL(9,S3:S317)</f>
        <v>146756</v>
      </c>
      <c r="T318" s="397"/>
    </row>
    <row r="319" spans="1:20">
      <c r="T319" s="398"/>
    </row>
  </sheetData>
  <autoFilter ref="A2:T319" xr:uid="{97DEC117-733A-47D9-8009-04BC612469FD}"/>
  <sortState xmlns:xlrd2="http://schemas.microsoft.com/office/spreadsheetml/2017/richdata2" ref="A3:U314">
    <sortCondition ref="B3:B314"/>
  </sortState>
  <mergeCells count="1">
    <mergeCell ref="U2:Y2"/>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3485E-7934-419B-9366-18701F2BCAE7}">
  <dimension ref="A1:V320"/>
  <sheetViews>
    <sheetView topLeftCell="A284" workbookViewId="0">
      <selection activeCell="V4" sqref="V4:V318"/>
    </sheetView>
  </sheetViews>
  <sheetFormatPr defaultColWidth="9.54296875" defaultRowHeight="14.5"/>
  <cols>
    <col min="1" max="1" width="9.54296875" style="457"/>
    <col min="2" max="2" width="33.1796875" style="457" customWidth="1"/>
    <col min="3" max="3" width="9.453125" style="457" customWidth="1"/>
    <col min="4" max="21" width="9.54296875" style="457" customWidth="1"/>
    <col min="22" max="22" width="12.7265625" style="457" customWidth="1"/>
    <col min="23" max="16384" width="9.54296875" style="457"/>
  </cols>
  <sheetData>
    <row r="1" spans="1:22">
      <c r="A1" s="458" t="s">
        <v>1360</v>
      </c>
    </row>
    <row r="2" spans="1:22">
      <c r="B2" s="457">
        <v>1</v>
      </c>
      <c r="C2" s="457">
        <v>2</v>
      </c>
      <c r="D2" s="457">
        <v>3</v>
      </c>
      <c r="E2" s="457">
        <v>4</v>
      </c>
      <c r="F2" s="457">
        <v>5</v>
      </c>
      <c r="G2" s="457">
        <v>6</v>
      </c>
      <c r="H2" s="457">
        <v>7</v>
      </c>
      <c r="I2" s="457">
        <v>8</v>
      </c>
      <c r="J2" s="457">
        <v>9</v>
      </c>
      <c r="K2" s="457">
        <v>10</v>
      </c>
      <c r="L2" s="457">
        <v>11</v>
      </c>
      <c r="M2" s="457">
        <v>12</v>
      </c>
      <c r="N2" s="457">
        <v>13</v>
      </c>
      <c r="O2" s="457">
        <v>14</v>
      </c>
      <c r="P2" s="457">
        <v>15</v>
      </c>
      <c r="Q2" s="457">
        <v>16</v>
      </c>
      <c r="R2" s="457">
        <v>17</v>
      </c>
      <c r="S2" s="457">
        <v>18</v>
      </c>
      <c r="T2" s="457">
        <v>19</v>
      </c>
      <c r="U2" s="457">
        <v>20</v>
      </c>
      <c r="V2" s="457">
        <v>21</v>
      </c>
    </row>
    <row r="3" spans="1:22">
      <c r="A3" s="457" t="s">
        <v>1268</v>
      </c>
      <c r="B3" s="457" t="s">
        <v>1362</v>
      </c>
      <c r="C3" s="457" t="s">
        <v>1363</v>
      </c>
      <c r="D3" s="457" t="s">
        <v>818</v>
      </c>
      <c r="E3" s="457" t="s">
        <v>1215</v>
      </c>
      <c r="F3" s="457" t="s">
        <v>1216</v>
      </c>
      <c r="G3" s="457" t="s">
        <v>1217</v>
      </c>
      <c r="H3" s="457" t="s">
        <v>1218</v>
      </c>
      <c r="I3" s="457" t="s">
        <v>1219</v>
      </c>
      <c r="J3" s="457" t="s">
        <v>1220</v>
      </c>
      <c r="K3" s="457" t="s">
        <v>1221</v>
      </c>
      <c r="L3" s="457" t="s">
        <v>1222</v>
      </c>
      <c r="M3" s="457" t="s">
        <v>1223</v>
      </c>
      <c r="N3" s="457" t="s">
        <v>1224</v>
      </c>
      <c r="O3" s="457" t="s">
        <v>1225</v>
      </c>
      <c r="P3" s="457" t="s">
        <v>1226</v>
      </c>
      <c r="Q3" s="457" t="s">
        <v>1227</v>
      </c>
      <c r="R3" s="457" t="s">
        <v>1228</v>
      </c>
      <c r="T3" s="457" t="s">
        <v>1364</v>
      </c>
      <c r="V3" s="457" t="s">
        <v>1365</v>
      </c>
    </row>
    <row r="4" spans="1:22">
      <c r="A4" s="457" t="s">
        <v>187</v>
      </c>
      <c r="B4" s="457" t="s">
        <v>830</v>
      </c>
      <c r="C4" s="457" t="s">
        <v>188</v>
      </c>
      <c r="E4" s="457">
        <v>59</v>
      </c>
      <c r="F4" s="457">
        <v>30</v>
      </c>
      <c r="G4" s="457">
        <v>44</v>
      </c>
      <c r="H4" s="457">
        <v>37</v>
      </c>
      <c r="I4" s="457">
        <v>42</v>
      </c>
      <c r="J4" s="457">
        <v>49</v>
      </c>
      <c r="K4" s="457">
        <v>31</v>
      </c>
      <c r="L4" s="457">
        <v>41</v>
      </c>
      <c r="M4" s="457">
        <v>40</v>
      </c>
      <c r="N4" s="457">
        <v>43</v>
      </c>
      <c r="O4" s="457">
        <v>44</v>
      </c>
      <c r="P4" s="457">
        <v>45</v>
      </c>
      <c r="Q4" s="457">
        <v>36</v>
      </c>
      <c r="R4" s="457">
        <v>49</v>
      </c>
      <c r="T4" s="457">
        <v>590</v>
      </c>
      <c r="V4" s="457">
        <f t="shared" ref="V4:V67" si="0">T4</f>
        <v>590</v>
      </c>
    </row>
    <row r="5" spans="1:22">
      <c r="A5" s="457" t="s">
        <v>190</v>
      </c>
      <c r="B5" s="457" t="s">
        <v>831</v>
      </c>
      <c r="C5" s="457" t="s">
        <v>188</v>
      </c>
      <c r="E5" s="457">
        <v>3</v>
      </c>
      <c r="F5" s="457">
        <v>4</v>
      </c>
      <c r="G5" s="457">
        <v>6</v>
      </c>
      <c r="H5" s="457">
        <v>9</v>
      </c>
      <c r="I5" s="457">
        <v>12</v>
      </c>
      <c r="J5" s="457">
        <v>6</v>
      </c>
      <c r="K5" s="457">
        <v>6</v>
      </c>
      <c r="L5" s="457">
        <v>6</v>
      </c>
      <c r="M5" s="457">
        <v>4</v>
      </c>
      <c r="N5" s="457">
        <v>7</v>
      </c>
      <c r="O5" s="457">
        <v>4</v>
      </c>
      <c r="P5" s="457">
        <v>8</v>
      </c>
      <c r="Q5" s="457">
        <v>4</v>
      </c>
      <c r="R5" s="457">
        <v>1</v>
      </c>
      <c r="T5" s="457">
        <v>80</v>
      </c>
      <c r="V5" s="457">
        <f t="shared" si="0"/>
        <v>80</v>
      </c>
    </row>
    <row r="6" spans="1:22">
      <c r="A6" s="457" t="s">
        <v>192</v>
      </c>
      <c r="B6" s="457" t="s">
        <v>1134</v>
      </c>
      <c r="C6" s="457" t="s">
        <v>193</v>
      </c>
      <c r="G6" s="457">
        <v>2</v>
      </c>
      <c r="H6" s="457">
        <v>2</v>
      </c>
      <c r="I6" s="457">
        <v>3</v>
      </c>
      <c r="J6" s="457">
        <v>3</v>
      </c>
      <c r="L6" s="457">
        <v>3</v>
      </c>
      <c r="M6" s="457">
        <v>3</v>
      </c>
      <c r="N6" s="457">
        <v>4</v>
      </c>
      <c r="T6" s="457">
        <v>20</v>
      </c>
      <c r="V6" s="457">
        <f t="shared" si="0"/>
        <v>20</v>
      </c>
    </row>
    <row r="7" spans="1:22">
      <c r="A7" s="457" t="s">
        <v>195</v>
      </c>
      <c r="B7" s="457" t="s">
        <v>839</v>
      </c>
      <c r="C7" s="457" t="s">
        <v>196</v>
      </c>
      <c r="E7" s="457">
        <v>30</v>
      </c>
      <c r="F7" s="457">
        <v>24</v>
      </c>
      <c r="G7" s="457">
        <v>30</v>
      </c>
      <c r="H7" s="457">
        <v>29</v>
      </c>
      <c r="I7" s="457">
        <v>21</v>
      </c>
      <c r="J7" s="457">
        <v>24</v>
      </c>
      <c r="K7" s="457">
        <v>26</v>
      </c>
      <c r="L7" s="457">
        <v>14</v>
      </c>
      <c r="M7" s="457">
        <v>26</v>
      </c>
      <c r="N7" s="457">
        <v>19</v>
      </c>
      <c r="O7" s="457">
        <v>15</v>
      </c>
      <c r="P7" s="457">
        <v>19</v>
      </c>
      <c r="Q7" s="457">
        <v>12</v>
      </c>
      <c r="R7" s="457">
        <v>27</v>
      </c>
      <c r="T7" s="457">
        <v>316</v>
      </c>
      <c r="V7" s="457">
        <f t="shared" si="0"/>
        <v>316</v>
      </c>
    </row>
    <row r="8" spans="1:22">
      <c r="A8" s="457" t="s">
        <v>198</v>
      </c>
      <c r="B8" s="457" t="s">
        <v>840</v>
      </c>
      <c r="C8" s="457" t="s">
        <v>196</v>
      </c>
      <c r="E8" s="457">
        <v>55</v>
      </c>
      <c r="F8" s="457">
        <v>34</v>
      </c>
      <c r="G8" s="457">
        <v>59</v>
      </c>
      <c r="H8" s="457">
        <v>62</v>
      </c>
      <c r="I8" s="457">
        <v>78</v>
      </c>
      <c r="J8" s="457">
        <v>65</v>
      </c>
      <c r="K8" s="457">
        <v>58</v>
      </c>
      <c r="L8" s="457">
        <v>60</v>
      </c>
      <c r="M8" s="457">
        <v>57</v>
      </c>
      <c r="N8" s="457">
        <v>70</v>
      </c>
      <c r="O8" s="457">
        <v>64</v>
      </c>
      <c r="P8" s="457">
        <v>62</v>
      </c>
      <c r="Q8" s="457">
        <v>50</v>
      </c>
      <c r="R8" s="457">
        <v>82</v>
      </c>
      <c r="T8" s="457">
        <v>856</v>
      </c>
      <c r="V8" s="457">
        <f t="shared" si="0"/>
        <v>856</v>
      </c>
    </row>
    <row r="9" spans="1:22">
      <c r="A9" s="457" t="s">
        <v>200</v>
      </c>
      <c r="B9" s="457" t="s">
        <v>841</v>
      </c>
      <c r="C9" s="457" t="s">
        <v>201</v>
      </c>
      <c r="E9" s="457">
        <v>4</v>
      </c>
      <c r="F9" s="457">
        <v>8</v>
      </c>
      <c r="G9" s="457">
        <v>2</v>
      </c>
      <c r="H9" s="457">
        <v>10</v>
      </c>
      <c r="I9" s="457">
        <v>4</v>
      </c>
      <c r="J9" s="457">
        <v>13</v>
      </c>
      <c r="K9" s="457">
        <v>4</v>
      </c>
      <c r="L9" s="457">
        <v>11</v>
      </c>
      <c r="M9" s="457">
        <v>5</v>
      </c>
      <c r="N9" s="457">
        <v>11</v>
      </c>
      <c r="O9" s="457">
        <v>12</v>
      </c>
      <c r="P9" s="457">
        <v>2</v>
      </c>
      <c r="Q9" s="457">
        <v>5</v>
      </c>
      <c r="R9" s="457">
        <v>5</v>
      </c>
      <c r="T9" s="457">
        <v>96</v>
      </c>
      <c r="V9" s="457">
        <f t="shared" si="0"/>
        <v>96</v>
      </c>
    </row>
    <row r="10" spans="1:22">
      <c r="A10" s="457" t="s">
        <v>203</v>
      </c>
      <c r="B10" s="457" t="s">
        <v>842</v>
      </c>
      <c r="C10" s="457" t="s">
        <v>204</v>
      </c>
      <c r="E10" s="457">
        <v>186</v>
      </c>
      <c r="F10" s="457">
        <v>141</v>
      </c>
      <c r="G10" s="457">
        <v>148</v>
      </c>
      <c r="H10" s="457">
        <v>153</v>
      </c>
      <c r="I10" s="457">
        <v>174</v>
      </c>
      <c r="J10" s="457">
        <v>173</v>
      </c>
      <c r="K10" s="457">
        <v>143</v>
      </c>
      <c r="L10" s="457">
        <v>124</v>
      </c>
      <c r="M10" s="457">
        <v>148</v>
      </c>
      <c r="N10" s="457">
        <v>111</v>
      </c>
      <c r="O10" s="457">
        <v>128</v>
      </c>
      <c r="P10" s="457">
        <v>117</v>
      </c>
      <c r="Q10" s="457">
        <v>114</v>
      </c>
      <c r="R10" s="457">
        <v>161</v>
      </c>
      <c r="T10" s="457">
        <v>2021</v>
      </c>
      <c r="V10" s="457">
        <f t="shared" si="0"/>
        <v>2021</v>
      </c>
    </row>
    <row r="11" spans="1:22">
      <c r="A11" s="457" t="s">
        <v>206</v>
      </c>
      <c r="B11" s="457" t="s">
        <v>843</v>
      </c>
      <c r="C11" s="457" t="s">
        <v>204</v>
      </c>
      <c r="E11" s="457">
        <v>32</v>
      </c>
      <c r="F11" s="457">
        <v>18</v>
      </c>
      <c r="G11" s="457">
        <v>29</v>
      </c>
      <c r="H11" s="457">
        <v>31</v>
      </c>
      <c r="I11" s="457">
        <v>48</v>
      </c>
      <c r="J11" s="457">
        <v>46</v>
      </c>
      <c r="K11" s="457">
        <v>38</v>
      </c>
      <c r="L11" s="457">
        <v>40</v>
      </c>
      <c r="M11" s="457">
        <v>24</v>
      </c>
      <c r="N11" s="457">
        <v>22</v>
      </c>
      <c r="O11" s="457">
        <v>31</v>
      </c>
      <c r="P11" s="457">
        <v>27</v>
      </c>
      <c r="Q11" s="457">
        <v>32</v>
      </c>
      <c r="R11" s="457">
        <v>40</v>
      </c>
      <c r="T11" s="457">
        <v>458</v>
      </c>
      <c r="V11" s="457">
        <f t="shared" si="0"/>
        <v>458</v>
      </c>
    </row>
    <row r="12" spans="1:22">
      <c r="A12" s="457" t="s">
        <v>208</v>
      </c>
      <c r="B12" s="457" t="s">
        <v>844</v>
      </c>
      <c r="C12" s="457" t="s">
        <v>209</v>
      </c>
      <c r="E12" s="457">
        <v>72</v>
      </c>
      <c r="F12" s="457">
        <v>74</v>
      </c>
      <c r="G12" s="457">
        <v>110</v>
      </c>
      <c r="H12" s="457">
        <v>107</v>
      </c>
      <c r="I12" s="457">
        <v>107</v>
      </c>
      <c r="J12" s="457">
        <v>147</v>
      </c>
      <c r="K12" s="457">
        <v>138</v>
      </c>
      <c r="L12" s="457">
        <v>127</v>
      </c>
      <c r="M12" s="457">
        <v>130</v>
      </c>
      <c r="N12" s="457">
        <v>146</v>
      </c>
      <c r="O12" s="457">
        <v>145</v>
      </c>
      <c r="P12" s="457">
        <v>138</v>
      </c>
      <c r="Q12" s="457">
        <v>116</v>
      </c>
      <c r="R12" s="457">
        <v>142</v>
      </c>
      <c r="T12" s="457">
        <v>1699</v>
      </c>
      <c r="V12" s="457">
        <f t="shared" si="0"/>
        <v>1699</v>
      </c>
    </row>
    <row r="13" spans="1:22">
      <c r="A13" s="457" t="s">
        <v>211</v>
      </c>
      <c r="B13" s="457" t="s">
        <v>845</v>
      </c>
      <c r="C13" s="457" t="s">
        <v>204</v>
      </c>
      <c r="E13" s="457">
        <v>132</v>
      </c>
      <c r="F13" s="457">
        <v>82</v>
      </c>
      <c r="G13" s="457">
        <v>104</v>
      </c>
      <c r="H13" s="457">
        <v>114</v>
      </c>
      <c r="I13" s="457">
        <v>110</v>
      </c>
      <c r="J13" s="457">
        <v>130</v>
      </c>
      <c r="K13" s="457">
        <v>128</v>
      </c>
      <c r="L13" s="457">
        <v>138</v>
      </c>
      <c r="M13" s="457">
        <v>140</v>
      </c>
      <c r="N13" s="457">
        <v>144</v>
      </c>
      <c r="O13" s="457">
        <v>136</v>
      </c>
      <c r="P13" s="457">
        <v>143</v>
      </c>
      <c r="Q13" s="457">
        <v>140</v>
      </c>
      <c r="R13" s="457">
        <v>179</v>
      </c>
      <c r="T13" s="457">
        <v>1820</v>
      </c>
      <c r="V13" s="457">
        <f t="shared" si="0"/>
        <v>1820</v>
      </c>
    </row>
    <row r="14" spans="1:22">
      <c r="A14" s="457" t="s">
        <v>213</v>
      </c>
      <c r="B14" s="457" t="s">
        <v>846</v>
      </c>
      <c r="C14" s="457" t="s">
        <v>196</v>
      </c>
      <c r="E14" s="457">
        <v>50</v>
      </c>
      <c r="F14" s="457">
        <v>131</v>
      </c>
      <c r="G14" s="457">
        <v>107</v>
      </c>
      <c r="H14" s="457">
        <v>110</v>
      </c>
      <c r="I14" s="457">
        <v>133</v>
      </c>
      <c r="J14" s="457">
        <v>138</v>
      </c>
      <c r="K14" s="457">
        <v>151</v>
      </c>
      <c r="L14" s="457">
        <v>120</v>
      </c>
      <c r="M14" s="457">
        <v>138</v>
      </c>
      <c r="N14" s="457">
        <v>151</v>
      </c>
      <c r="O14" s="457">
        <v>125</v>
      </c>
      <c r="P14" s="457">
        <v>123</v>
      </c>
      <c r="Q14" s="457">
        <v>102</v>
      </c>
      <c r="R14" s="457">
        <v>205</v>
      </c>
      <c r="T14" s="457">
        <v>1784</v>
      </c>
      <c r="V14" s="457">
        <f t="shared" si="0"/>
        <v>1784</v>
      </c>
    </row>
    <row r="15" spans="1:22">
      <c r="A15" s="457" t="s">
        <v>215</v>
      </c>
      <c r="B15" s="457" t="s">
        <v>847</v>
      </c>
      <c r="C15" s="457" t="s">
        <v>230</v>
      </c>
      <c r="V15" s="457">
        <f t="shared" si="0"/>
        <v>0</v>
      </c>
    </row>
    <row r="16" spans="1:22">
      <c r="A16" s="457" t="s">
        <v>217</v>
      </c>
      <c r="B16" s="457" t="s">
        <v>848</v>
      </c>
      <c r="C16" s="457" t="s">
        <v>204</v>
      </c>
      <c r="E16" s="457">
        <v>180</v>
      </c>
      <c r="F16" s="457">
        <v>177</v>
      </c>
      <c r="G16" s="457">
        <v>184</v>
      </c>
      <c r="H16" s="457">
        <v>159</v>
      </c>
      <c r="I16" s="457">
        <v>193</v>
      </c>
      <c r="J16" s="457">
        <v>190</v>
      </c>
      <c r="K16" s="457">
        <v>201</v>
      </c>
      <c r="L16" s="457">
        <v>213</v>
      </c>
      <c r="M16" s="457">
        <v>201</v>
      </c>
      <c r="N16" s="457">
        <v>232</v>
      </c>
      <c r="O16" s="457">
        <v>259</v>
      </c>
      <c r="P16" s="457">
        <v>192</v>
      </c>
      <c r="Q16" s="457">
        <v>201</v>
      </c>
      <c r="R16" s="457">
        <v>276</v>
      </c>
      <c r="T16" s="457">
        <v>2858</v>
      </c>
      <c r="V16" s="457">
        <f t="shared" si="0"/>
        <v>2858</v>
      </c>
    </row>
    <row r="17" spans="1:22">
      <c r="A17" s="457" t="s">
        <v>219</v>
      </c>
      <c r="B17" s="457" t="s">
        <v>849</v>
      </c>
      <c r="C17" s="457" t="s">
        <v>220</v>
      </c>
      <c r="D17" s="457" t="s">
        <v>818</v>
      </c>
      <c r="G17" s="457">
        <v>5</v>
      </c>
      <c r="H17" s="457">
        <v>1</v>
      </c>
      <c r="I17" s="457">
        <v>1</v>
      </c>
      <c r="K17" s="457">
        <v>3</v>
      </c>
      <c r="L17" s="457">
        <v>2</v>
      </c>
      <c r="M17" s="457">
        <v>1</v>
      </c>
      <c r="N17" s="457">
        <v>2</v>
      </c>
      <c r="O17" s="457">
        <v>1</v>
      </c>
      <c r="Q17" s="457">
        <v>1</v>
      </c>
      <c r="R17" s="457">
        <v>1</v>
      </c>
      <c r="T17" s="457">
        <v>18</v>
      </c>
      <c r="V17" s="457">
        <f t="shared" si="0"/>
        <v>18</v>
      </c>
    </row>
    <row r="18" spans="1:22">
      <c r="A18" s="457" t="s">
        <v>222</v>
      </c>
      <c r="B18" s="457" t="s">
        <v>850</v>
      </c>
      <c r="C18" s="457" t="s">
        <v>196</v>
      </c>
      <c r="E18" s="457">
        <v>25</v>
      </c>
      <c r="F18" s="457">
        <v>28</v>
      </c>
      <c r="G18" s="457">
        <v>23</v>
      </c>
      <c r="H18" s="457">
        <v>23</v>
      </c>
      <c r="I18" s="457">
        <v>21</v>
      </c>
      <c r="J18" s="457">
        <v>23</v>
      </c>
      <c r="K18" s="457">
        <v>26</v>
      </c>
      <c r="L18" s="457">
        <v>23</v>
      </c>
      <c r="M18" s="457">
        <v>27</v>
      </c>
      <c r="N18" s="457">
        <v>27</v>
      </c>
      <c r="O18" s="457">
        <v>18</v>
      </c>
      <c r="P18" s="457">
        <v>20</v>
      </c>
      <c r="Q18" s="457">
        <v>19</v>
      </c>
      <c r="R18" s="457">
        <v>24</v>
      </c>
      <c r="T18" s="457">
        <v>327</v>
      </c>
      <c r="V18" s="457">
        <f t="shared" si="0"/>
        <v>327</v>
      </c>
    </row>
    <row r="19" spans="1:22">
      <c r="A19" s="457" t="s">
        <v>224</v>
      </c>
      <c r="B19" s="457" t="s">
        <v>851</v>
      </c>
      <c r="C19" s="457" t="s">
        <v>188</v>
      </c>
      <c r="E19" s="457">
        <v>4</v>
      </c>
      <c r="F19" s="457">
        <v>1</v>
      </c>
      <c r="I19" s="457">
        <v>3</v>
      </c>
      <c r="J19" s="457">
        <v>3</v>
      </c>
      <c r="K19" s="457">
        <v>1</v>
      </c>
      <c r="L19" s="457">
        <v>5</v>
      </c>
      <c r="M19" s="457">
        <v>2</v>
      </c>
      <c r="N19" s="457">
        <v>2</v>
      </c>
      <c r="T19" s="457">
        <v>21</v>
      </c>
      <c r="V19" s="457">
        <f t="shared" si="0"/>
        <v>21</v>
      </c>
    </row>
    <row r="20" spans="1:22">
      <c r="A20" s="457" t="s">
        <v>226</v>
      </c>
      <c r="B20" s="457" t="s">
        <v>852</v>
      </c>
      <c r="C20" s="457" t="s">
        <v>227</v>
      </c>
      <c r="E20" s="457">
        <v>73</v>
      </c>
      <c r="F20" s="457">
        <v>33</v>
      </c>
      <c r="G20" s="457">
        <v>50</v>
      </c>
      <c r="H20" s="457">
        <v>43</v>
      </c>
      <c r="I20" s="457">
        <v>59</v>
      </c>
      <c r="J20" s="457">
        <v>50</v>
      </c>
      <c r="K20" s="457">
        <v>54</v>
      </c>
      <c r="L20" s="457">
        <v>53</v>
      </c>
      <c r="M20" s="457">
        <v>49</v>
      </c>
      <c r="N20" s="457">
        <v>48</v>
      </c>
      <c r="O20" s="457">
        <v>49</v>
      </c>
      <c r="P20" s="457">
        <v>49</v>
      </c>
      <c r="Q20" s="457">
        <v>51</v>
      </c>
      <c r="R20" s="457">
        <v>70</v>
      </c>
      <c r="T20" s="457">
        <v>731</v>
      </c>
      <c r="V20" s="457">
        <f t="shared" si="0"/>
        <v>731</v>
      </c>
    </row>
    <row r="21" spans="1:22">
      <c r="A21" s="457" t="s">
        <v>229</v>
      </c>
      <c r="B21" s="457" t="s">
        <v>853</v>
      </c>
      <c r="C21" s="457" t="s">
        <v>230</v>
      </c>
      <c r="E21" s="457">
        <v>7</v>
      </c>
      <c r="F21" s="457">
        <v>15</v>
      </c>
      <c r="G21" s="457">
        <v>7</v>
      </c>
      <c r="H21" s="457">
        <v>8</v>
      </c>
      <c r="I21" s="457">
        <v>3</v>
      </c>
      <c r="J21" s="457">
        <v>8</v>
      </c>
      <c r="K21" s="457">
        <v>9</v>
      </c>
      <c r="L21" s="457">
        <v>8</v>
      </c>
      <c r="M21" s="457">
        <v>8</v>
      </c>
      <c r="N21" s="457">
        <v>7</v>
      </c>
      <c r="O21" s="457">
        <v>6</v>
      </c>
      <c r="P21" s="457">
        <v>6</v>
      </c>
      <c r="Q21" s="457">
        <v>9</v>
      </c>
      <c r="R21" s="457">
        <v>9</v>
      </c>
      <c r="T21" s="457">
        <v>110</v>
      </c>
      <c r="V21" s="457">
        <f t="shared" si="0"/>
        <v>110</v>
      </c>
    </row>
    <row r="22" spans="1:22">
      <c r="A22" s="457" t="s">
        <v>232</v>
      </c>
      <c r="B22" s="457" t="s">
        <v>854</v>
      </c>
      <c r="C22" s="457" t="s">
        <v>230</v>
      </c>
      <c r="E22" s="457">
        <v>10</v>
      </c>
      <c r="F22" s="457">
        <v>11</v>
      </c>
      <c r="G22" s="457">
        <v>6</v>
      </c>
      <c r="H22" s="457">
        <v>5</v>
      </c>
      <c r="I22" s="457">
        <v>6</v>
      </c>
      <c r="J22" s="457">
        <v>4</v>
      </c>
      <c r="K22" s="457">
        <v>5</v>
      </c>
      <c r="L22" s="457">
        <v>3</v>
      </c>
      <c r="M22" s="457">
        <v>4</v>
      </c>
      <c r="N22" s="457">
        <v>6</v>
      </c>
      <c r="O22" s="457">
        <v>4</v>
      </c>
      <c r="P22" s="457">
        <v>8</v>
      </c>
      <c r="Q22" s="457">
        <v>5</v>
      </c>
      <c r="R22" s="457">
        <v>6</v>
      </c>
      <c r="T22" s="457">
        <v>83</v>
      </c>
      <c r="V22" s="457">
        <f t="shared" si="0"/>
        <v>83</v>
      </c>
    </row>
    <row r="23" spans="1:22">
      <c r="A23" s="457" t="s">
        <v>234</v>
      </c>
      <c r="B23" s="457" t="s">
        <v>1135</v>
      </c>
      <c r="C23" s="457" t="s">
        <v>227</v>
      </c>
      <c r="F23" s="457">
        <v>2</v>
      </c>
      <c r="H23" s="457">
        <v>2</v>
      </c>
      <c r="I23" s="457">
        <v>2</v>
      </c>
      <c r="J23" s="457">
        <v>1</v>
      </c>
      <c r="L23" s="457">
        <v>1</v>
      </c>
      <c r="T23" s="457">
        <v>8</v>
      </c>
      <c r="V23" s="457">
        <f t="shared" si="0"/>
        <v>8</v>
      </c>
    </row>
    <row r="24" spans="1:22">
      <c r="A24" s="457" t="s">
        <v>236</v>
      </c>
      <c r="B24" s="457" t="s">
        <v>856</v>
      </c>
      <c r="C24" s="457" t="s">
        <v>196</v>
      </c>
      <c r="E24" s="457">
        <v>29</v>
      </c>
      <c r="F24" s="457">
        <v>22</v>
      </c>
      <c r="G24" s="457">
        <v>42</v>
      </c>
      <c r="H24" s="457">
        <v>39</v>
      </c>
      <c r="I24" s="457">
        <v>43</v>
      </c>
      <c r="J24" s="457">
        <v>43</v>
      </c>
      <c r="K24" s="457">
        <v>44</v>
      </c>
      <c r="L24" s="457">
        <v>37</v>
      </c>
      <c r="M24" s="457">
        <v>45</v>
      </c>
      <c r="N24" s="457">
        <v>39</v>
      </c>
      <c r="O24" s="457">
        <v>42</v>
      </c>
      <c r="P24" s="457">
        <v>32</v>
      </c>
      <c r="Q24" s="457">
        <v>42</v>
      </c>
      <c r="R24" s="457">
        <v>54</v>
      </c>
      <c r="T24" s="457">
        <v>553</v>
      </c>
      <c r="V24" s="457">
        <f t="shared" si="0"/>
        <v>553</v>
      </c>
    </row>
    <row r="25" spans="1:22">
      <c r="A25" s="457" t="s">
        <v>238</v>
      </c>
      <c r="B25" s="457" t="s">
        <v>857</v>
      </c>
      <c r="C25" s="457" t="s">
        <v>209</v>
      </c>
      <c r="E25" s="457">
        <v>51</v>
      </c>
      <c r="F25" s="457">
        <v>43</v>
      </c>
      <c r="G25" s="457">
        <v>56</v>
      </c>
      <c r="H25" s="457">
        <v>55</v>
      </c>
      <c r="I25" s="457">
        <v>67</v>
      </c>
      <c r="J25" s="457">
        <v>71</v>
      </c>
      <c r="K25" s="457">
        <v>51</v>
      </c>
      <c r="L25" s="457">
        <v>67</v>
      </c>
      <c r="M25" s="457">
        <v>69</v>
      </c>
      <c r="N25" s="457">
        <v>56</v>
      </c>
      <c r="O25" s="457">
        <v>63</v>
      </c>
      <c r="P25" s="457">
        <v>69</v>
      </c>
      <c r="Q25" s="457">
        <v>62</v>
      </c>
      <c r="R25" s="457">
        <v>79</v>
      </c>
      <c r="T25" s="457">
        <v>859</v>
      </c>
      <c r="V25" s="457">
        <f t="shared" si="0"/>
        <v>859</v>
      </c>
    </row>
    <row r="26" spans="1:22">
      <c r="A26" s="457" t="s">
        <v>240</v>
      </c>
      <c r="B26" s="457" t="s">
        <v>858</v>
      </c>
      <c r="C26" s="457" t="s">
        <v>227</v>
      </c>
      <c r="E26" s="457">
        <v>3</v>
      </c>
      <c r="F26" s="457">
        <v>3</v>
      </c>
      <c r="G26" s="457">
        <v>5</v>
      </c>
      <c r="H26" s="457">
        <v>6</v>
      </c>
      <c r="I26" s="457">
        <v>4</v>
      </c>
      <c r="J26" s="457">
        <v>8</v>
      </c>
      <c r="K26" s="457">
        <v>12</v>
      </c>
      <c r="L26" s="457">
        <v>4</v>
      </c>
      <c r="M26" s="457">
        <v>5</v>
      </c>
      <c r="N26" s="457">
        <v>7</v>
      </c>
      <c r="O26" s="457">
        <v>8</v>
      </c>
      <c r="P26" s="457">
        <v>5</v>
      </c>
      <c r="Q26" s="457">
        <v>7</v>
      </c>
      <c r="R26" s="457">
        <v>1</v>
      </c>
      <c r="T26" s="457">
        <v>78</v>
      </c>
      <c r="V26" s="457">
        <f t="shared" si="0"/>
        <v>78</v>
      </c>
    </row>
    <row r="27" spans="1:22">
      <c r="A27" s="457" t="s">
        <v>242</v>
      </c>
      <c r="B27" s="457" t="s">
        <v>1241</v>
      </c>
      <c r="C27" s="457" t="s">
        <v>204</v>
      </c>
      <c r="E27" s="457">
        <v>1</v>
      </c>
      <c r="F27" s="457">
        <v>3</v>
      </c>
      <c r="G27" s="457">
        <v>3</v>
      </c>
      <c r="H27" s="457">
        <v>2</v>
      </c>
      <c r="J27" s="457">
        <v>6</v>
      </c>
      <c r="K27" s="457">
        <v>7</v>
      </c>
      <c r="L27" s="457">
        <v>3</v>
      </c>
      <c r="M27" s="457">
        <v>2</v>
      </c>
      <c r="N27" s="457">
        <v>2</v>
      </c>
      <c r="T27" s="457">
        <v>29</v>
      </c>
      <c r="V27" s="457">
        <f t="shared" si="0"/>
        <v>29</v>
      </c>
    </row>
    <row r="28" spans="1:22">
      <c r="A28" s="457" t="s">
        <v>244</v>
      </c>
      <c r="B28" s="457" t="s">
        <v>860</v>
      </c>
      <c r="C28" s="457" t="s">
        <v>230</v>
      </c>
      <c r="E28" s="457">
        <v>6</v>
      </c>
      <c r="F28" s="457">
        <v>8</v>
      </c>
      <c r="G28" s="457">
        <v>9</v>
      </c>
      <c r="H28" s="457">
        <v>11</v>
      </c>
      <c r="I28" s="457">
        <v>7</v>
      </c>
      <c r="J28" s="457">
        <v>5</v>
      </c>
      <c r="K28" s="457">
        <v>12</v>
      </c>
      <c r="L28" s="457">
        <v>9</v>
      </c>
      <c r="M28" s="457">
        <v>13</v>
      </c>
      <c r="N28" s="457">
        <v>8</v>
      </c>
      <c r="O28" s="457">
        <v>16</v>
      </c>
      <c r="P28" s="457">
        <v>6</v>
      </c>
      <c r="Q28" s="457">
        <v>4</v>
      </c>
      <c r="R28" s="457">
        <v>10</v>
      </c>
      <c r="T28" s="457">
        <v>124</v>
      </c>
      <c r="V28" s="457">
        <f t="shared" si="0"/>
        <v>124</v>
      </c>
    </row>
    <row r="29" spans="1:22">
      <c r="A29" s="457" t="s">
        <v>247</v>
      </c>
      <c r="B29" s="457" t="s">
        <v>861</v>
      </c>
      <c r="C29" s="457" t="s">
        <v>230</v>
      </c>
      <c r="E29" s="457">
        <v>16</v>
      </c>
      <c r="F29" s="457">
        <v>16</v>
      </c>
      <c r="G29" s="457">
        <v>14</v>
      </c>
      <c r="H29" s="457">
        <v>13</v>
      </c>
      <c r="I29" s="457">
        <v>11</v>
      </c>
      <c r="J29" s="457">
        <v>14</v>
      </c>
      <c r="K29" s="457">
        <v>15</v>
      </c>
      <c r="L29" s="457">
        <v>16</v>
      </c>
      <c r="M29" s="457">
        <v>10</v>
      </c>
      <c r="N29" s="457">
        <v>14</v>
      </c>
      <c r="O29" s="457">
        <v>15</v>
      </c>
      <c r="P29" s="457">
        <v>13</v>
      </c>
      <c r="Q29" s="457">
        <v>12</v>
      </c>
      <c r="R29" s="457">
        <v>13</v>
      </c>
      <c r="T29" s="457">
        <v>192</v>
      </c>
      <c r="V29" s="457">
        <f t="shared" si="0"/>
        <v>192</v>
      </c>
    </row>
    <row r="30" spans="1:22">
      <c r="A30" s="457" t="s">
        <v>253</v>
      </c>
      <c r="B30" s="457" t="s">
        <v>863</v>
      </c>
      <c r="C30" s="457" t="s">
        <v>209</v>
      </c>
      <c r="D30" s="457" t="s">
        <v>818</v>
      </c>
      <c r="F30" s="457">
        <v>1</v>
      </c>
      <c r="G30" s="457">
        <v>1</v>
      </c>
      <c r="J30" s="457">
        <v>2</v>
      </c>
      <c r="L30" s="457">
        <v>1</v>
      </c>
      <c r="M30" s="457">
        <v>1</v>
      </c>
      <c r="N30" s="457">
        <v>2</v>
      </c>
      <c r="T30" s="457">
        <v>8</v>
      </c>
      <c r="V30" s="457">
        <f t="shared" si="0"/>
        <v>8</v>
      </c>
    </row>
    <row r="31" spans="1:22">
      <c r="A31" s="457" t="s">
        <v>249</v>
      </c>
      <c r="B31" s="457" t="s">
        <v>862</v>
      </c>
      <c r="C31" s="457" t="s">
        <v>209</v>
      </c>
      <c r="E31" s="457">
        <v>15</v>
      </c>
      <c r="F31" s="457">
        <v>12</v>
      </c>
      <c r="G31" s="457">
        <v>13</v>
      </c>
      <c r="H31" s="457">
        <v>14</v>
      </c>
      <c r="I31" s="457">
        <v>15</v>
      </c>
      <c r="J31" s="457">
        <v>18</v>
      </c>
      <c r="K31" s="457">
        <v>13</v>
      </c>
      <c r="L31" s="457">
        <v>25</v>
      </c>
      <c r="M31" s="457">
        <v>20</v>
      </c>
      <c r="N31" s="457">
        <v>19</v>
      </c>
      <c r="O31" s="457">
        <v>28</v>
      </c>
      <c r="P31" s="457">
        <v>15</v>
      </c>
      <c r="Q31" s="457">
        <v>17</v>
      </c>
      <c r="R31" s="457">
        <v>18</v>
      </c>
      <c r="T31" s="457">
        <v>242</v>
      </c>
      <c r="V31" s="457">
        <f t="shared" si="0"/>
        <v>242</v>
      </c>
    </row>
    <row r="32" spans="1:22">
      <c r="A32" s="457" t="s">
        <v>251</v>
      </c>
      <c r="B32" s="457" t="s">
        <v>1237</v>
      </c>
      <c r="C32" s="457" t="s">
        <v>227</v>
      </c>
      <c r="F32" s="457">
        <v>2</v>
      </c>
      <c r="G32" s="457">
        <v>5</v>
      </c>
      <c r="H32" s="457">
        <v>6</v>
      </c>
      <c r="I32" s="457">
        <v>8</v>
      </c>
      <c r="J32" s="457">
        <v>6</v>
      </c>
      <c r="K32" s="457">
        <v>4</v>
      </c>
      <c r="L32" s="457">
        <v>7</v>
      </c>
      <c r="M32" s="457">
        <v>6</v>
      </c>
      <c r="N32" s="457">
        <v>8</v>
      </c>
      <c r="T32" s="457">
        <v>52</v>
      </c>
      <c r="V32" s="457">
        <f t="shared" si="0"/>
        <v>52</v>
      </c>
    </row>
    <row r="33" spans="1:22">
      <c r="A33" s="457" t="s">
        <v>255</v>
      </c>
      <c r="B33" s="457" t="s">
        <v>864</v>
      </c>
      <c r="C33" s="457" t="s">
        <v>227</v>
      </c>
      <c r="E33" s="457">
        <v>154</v>
      </c>
      <c r="F33" s="457">
        <v>82</v>
      </c>
      <c r="G33" s="457">
        <v>131</v>
      </c>
      <c r="H33" s="457">
        <v>126</v>
      </c>
      <c r="I33" s="457">
        <v>158</v>
      </c>
      <c r="J33" s="457">
        <v>161</v>
      </c>
      <c r="K33" s="457">
        <v>137</v>
      </c>
      <c r="L33" s="457">
        <v>117</v>
      </c>
      <c r="M33" s="457">
        <v>110</v>
      </c>
      <c r="N33" s="457">
        <v>102</v>
      </c>
      <c r="O33" s="457">
        <v>120</v>
      </c>
      <c r="P33" s="457">
        <v>108</v>
      </c>
      <c r="Q33" s="457">
        <v>88</v>
      </c>
      <c r="R33" s="457">
        <v>149</v>
      </c>
      <c r="T33" s="457">
        <v>1743</v>
      </c>
      <c r="V33" s="457">
        <f t="shared" si="0"/>
        <v>1743</v>
      </c>
    </row>
    <row r="34" spans="1:22">
      <c r="A34" s="457" t="s">
        <v>257</v>
      </c>
      <c r="B34" s="457" t="s">
        <v>865</v>
      </c>
      <c r="C34" s="457" t="s">
        <v>193</v>
      </c>
      <c r="E34" s="457">
        <v>170</v>
      </c>
      <c r="F34" s="457">
        <v>112</v>
      </c>
      <c r="G34" s="457">
        <v>153</v>
      </c>
      <c r="H34" s="457">
        <v>161</v>
      </c>
      <c r="I34" s="457">
        <v>198</v>
      </c>
      <c r="J34" s="457">
        <v>195</v>
      </c>
      <c r="K34" s="457">
        <v>162</v>
      </c>
      <c r="L34" s="457">
        <v>157</v>
      </c>
      <c r="M34" s="457">
        <v>172</v>
      </c>
      <c r="N34" s="457">
        <v>151</v>
      </c>
      <c r="O34" s="457">
        <v>149</v>
      </c>
      <c r="P34" s="457">
        <v>158</v>
      </c>
      <c r="Q34" s="457">
        <v>137</v>
      </c>
      <c r="R34" s="457">
        <v>159</v>
      </c>
      <c r="T34" s="457">
        <v>2234</v>
      </c>
      <c r="V34" s="457">
        <f t="shared" si="0"/>
        <v>2234</v>
      </c>
    </row>
    <row r="35" spans="1:22">
      <c r="A35" s="457" t="s">
        <v>259</v>
      </c>
      <c r="B35" s="457" t="s">
        <v>866</v>
      </c>
      <c r="C35" s="457" t="s">
        <v>188</v>
      </c>
      <c r="E35" s="457">
        <v>32</v>
      </c>
      <c r="F35" s="457">
        <v>22</v>
      </c>
      <c r="G35" s="457">
        <v>28</v>
      </c>
      <c r="H35" s="457">
        <v>47</v>
      </c>
      <c r="I35" s="457">
        <v>29</v>
      </c>
      <c r="J35" s="457">
        <v>40</v>
      </c>
      <c r="K35" s="457">
        <v>39</v>
      </c>
      <c r="L35" s="457">
        <v>34</v>
      </c>
      <c r="M35" s="457">
        <v>40</v>
      </c>
      <c r="N35" s="457">
        <v>36</v>
      </c>
      <c r="O35" s="457">
        <v>25</v>
      </c>
      <c r="P35" s="457">
        <v>40</v>
      </c>
      <c r="Q35" s="457">
        <v>27</v>
      </c>
      <c r="R35" s="457">
        <v>43</v>
      </c>
      <c r="T35" s="457">
        <v>482</v>
      </c>
      <c r="V35" s="457">
        <f t="shared" si="0"/>
        <v>482</v>
      </c>
    </row>
    <row r="36" spans="1:22">
      <c r="A36" s="457" t="s">
        <v>261</v>
      </c>
      <c r="B36" s="457" t="s">
        <v>867</v>
      </c>
      <c r="C36" s="457" t="s">
        <v>188</v>
      </c>
      <c r="E36" s="457">
        <v>20</v>
      </c>
      <c r="F36" s="457">
        <v>12</v>
      </c>
      <c r="G36" s="457">
        <v>26</v>
      </c>
      <c r="H36" s="457">
        <v>23</v>
      </c>
      <c r="I36" s="457">
        <v>25</v>
      </c>
      <c r="J36" s="457">
        <v>28</v>
      </c>
      <c r="K36" s="457">
        <v>27</v>
      </c>
      <c r="L36" s="457">
        <v>29</v>
      </c>
      <c r="M36" s="457">
        <v>33</v>
      </c>
      <c r="N36" s="457">
        <v>28</v>
      </c>
      <c r="O36" s="457">
        <v>33</v>
      </c>
      <c r="P36" s="457">
        <v>31</v>
      </c>
      <c r="Q36" s="457">
        <v>28</v>
      </c>
      <c r="R36" s="457">
        <v>48</v>
      </c>
      <c r="T36" s="457">
        <v>391</v>
      </c>
      <c r="V36" s="457">
        <f t="shared" si="0"/>
        <v>391</v>
      </c>
    </row>
    <row r="37" spans="1:22">
      <c r="A37" s="457" t="s">
        <v>263</v>
      </c>
      <c r="B37" s="457" t="s">
        <v>868</v>
      </c>
      <c r="C37" s="457" t="s">
        <v>193</v>
      </c>
      <c r="E37" s="457">
        <v>81</v>
      </c>
      <c r="F37" s="457">
        <v>59</v>
      </c>
      <c r="G37" s="457">
        <v>86</v>
      </c>
      <c r="H37" s="457">
        <v>66</v>
      </c>
      <c r="I37" s="457">
        <v>70</v>
      </c>
      <c r="J37" s="457">
        <v>77</v>
      </c>
      <c r="K37" s="457">
        <v>56</v>
      </c>
      <c r="L37" s="457">
        <v>59</v>
      </c>
      <c r="M37" s="457">
        <v>70</v>
      </c>
      <c r="N37" s="457">
        <v>50</v>
      </c>
      <c r="O37" s="457">
        <v>46</v>
      </c>
      <c r="P37" s="457">
        <v>54</v>
      </c>
      <c r="Q37" s="457">
        <v>40</v>
      </c>
      <c r="R37" s="457">
        <v>42</v>
      </c>
      <c r="T37" s="457">
        <v>856</v>
      </c>
      <c r="V37" s="457">
        <f t="shared" si="0"/>
        <v>856</v>
      </c>
    </row>
    <row r="38" spans="1:22">
      <c r="A38" s="457" t="s">
        <v>265</v>
      </c>
      <c r="B38" s="457" t="s">
        <v>869</v>
      </c>
      <c r="C38" s="457" t="s">
        <v>193</v>
      </c>
      <c r="E38" s="457">
        <v>2</v>
      </c>
      <c r="F38" s="457">
        <v>5</v>
      </c>
      <c r="G38" s="457">
        <v>10</v>
      </c>
      <c r="H38" s="457">
        <v>5</v>
      </c>
      <c r="I38" s="457">
        <v>9</v>
      </c>
      <c r="J38" s="457">
        <v>16</v>
      </c>
      <c r="K38" s="457">
        <v>8</v>
      </c>
      <c r="L38" s="457">
        <v>14</v>
      </c>
      <c r="M38" s="457">
        <v>11</v>
      </c>
      <c r="N38" s="457">
        <v>5</v>
      </c>
      <c r="O38" s="457">
        <v>7</v>
      </c>
      <c r="P38" s="457">
        <v>9</v>
      </c>
      <c r="Q38" s="457">
        <v>9</v>
      </c>
      <c r="R38" s="457">
        <v>17</v>
      </c>
      <c r="T38" s="457">
        <v>127</v>
      </c>
      <c r="V38" s="457">
        <f t="shared" si="0"/>
        <v>127</v>
      </c>
    </row>
    <row r="39" spans="1:22">
      <c r="A39" s="457" t="s">
        <v>267</v>
      </c>
      <c r="B39" s="457" t="s">
        <v>870</v>
      </c>
      <c r="C39" s="457" t="s">
        <v>227</v>
      </c>
      <c r="E39" s="457">
        <v>13</v>
      </c>
      <c r="F39" s="457">
        <v>10</v>
      </c>
      <c r="G39" s="457">
        <v>14</v>
      </c>
      <c r="H39" s="457">
        <v>6</v>
      </c>
      <c r="I39" s="457">
        <v>10</v>
      </c>
      <c r="J39" s="457">
        <v>8</v>
      </c>
      <c r="K39" s="457">
        <v>8</v>
      </c>
      <c r="L39" s="457">
        <v>9</v>
      </c>
      <c r="M39" s="457">
        <v>5</v>
      </c>
      <c r="N39" s="457">
        <v>7</v>
      </c>
      <c r="O39" s="457">
        <v>9</v>
      </c>
      <c r="P39" s="457">
        <v>5</v>
      </c>
      <c r="Q39" s="457">
        <v>8</v>
      </c>
      <c r="R39" s="457">
        <v>10</v>
      </c>
      <c r="T39" s="457">
        <v>122</v>
      </c>
      <c r="V39" s="457">
        <f t="shared" si="0"/>
        <v>122</v>
      </c>
    </row>
    <row r="40" spans="1:22">
      <c r="A40" s="457" t="s">
        <v>269</v>
      </c>
      <c r="B40" s="457" t="s">
        <v>871</v>
      </c>
      <c r="C40" s="457" t="s">
        <v>201</v>
      </c>
      <c r="E40" s="457">
        <v>28</v>
      </c>
      <c r="F40" s="457">
        <v>29</v>
      </c>
      <c r="G40" s="457">
        <v>26</v>
      </c>
      <c r="H40" s="457">
        <v>43</v>
      </c>
      <c r="I40" s="457">
        <v>37</v>
      </c>
      <c r="J40" s="457">
        <v>39</v>
      </c>
      <c r="K40" s="457">
        <v>42</v>
      </c>
      <c r="L40" s="457">
        <v>31</v>
      </c>
      <c r="M40" s="457">
        <v>32</v>
      </c>
      <c r="N40" s="457">
        <v>32</v>
      </c>
      <c r="O40" s="457">
        <v>26</v>
      </c>
      <c r="P40" s="457">
        <v>35</v>
      </c>
      <c r="Q40" s="457">
        <v>34</v>
      </c>
      <c r="R40" s="457">
        <v>39</v>
      </c>
      <c r="T40" s="457">
        <v>473</v>
      </c>
      <c r="V40" s="457">
        <f t="shared" si="0"/>
        <v>473</v>
      </c>
    </row>
    <row r="41" spans="1:22">
      <c r="A41" s="457" t="s">
        <v>271</v>
      </c>
      <c r="B41" s="457" t="s">
        <v>872</v>
      </c>
      <c r="C41" s="457" t="s">
        <v>220</v>
      </c>
      <c r="E41" s="457">
        <v>12</v>
      </c>
      <c r="F41" s="457">
        <v>7</v>
      </c>
      <c r="G41" s="457">
        <v>8</v>
      </c>
      <c r="H41" s="457">
        <v>8</v>
      </c>
      <c r="I41" s="457">
        <v>8</v>
      </c>
      <c r="J41" s="457">
        <v>10</v>
      </c>
      <c r="K41" s="457">
        <v>10</v>
      </c>
      <c r="L41" s="457">
        <v>14</v>
      </c>
      <c r="M41" s="457">
        <v>13</v>
      </c>
      <c r="N41" s="457">
        <v>12</v>
      </c>
      <c r="O41" s="457">
        <v>13</v>
      </c>
      <c r="P41" s="457">
        <v>9</v>
      </c>
      <c r="Q41" s="457">
        <v>8</v>
      </c>
      <c r="R41" s="457">
        <v>5</v>
      </c>
      <c r="T41" s="457">
        <v>137</v>
      </c>
      <c r="V41" s="457">
        <f t="shared" si="0"/>
        <v>137</v>
      </c>
    </row>
    <row r="42" spans="1:22">
      <c r="A42" s="457" t="s">
        <v>273</v>
      </c>
      <c r="B42" s="457" t="s">
        <v>873</v>
      </c>
      <c r="C42" s="457" t="s">
        <v>204</v>
      </c>
      <c r="E42" s="457">
        <v>197</v>
      </c>
      <c r="F42" s="457">
        <v>151</v>
      </c>
      <c r="G42" s="457">
        <v>180</v>
      </c>
      <c r="H42" s="457">
        <v>150</v>
      </c>
      <c r="I42" s="457">
        <v>149</v>
      </c>
      <c r="J42" s="457">
        <v>161</v>
      </c>
      <c r="K42" s="457">
        <v>161</v>
      </c>
      <c r="L42" s="457">
        <v>140</v>
      </c>
      <c r="M42" s="457">
        <v>139</v>
      </c>
      <c r="N42" s="457">
        <v>113</v>
      </c>
      <c r="O42" s="457">
        <v>133</v>
      </c>
      <c r="P42" s="457">
        <v>125</v>
      </c>
      <c r="Q42" s="457">
        <v>120</v>
      </c>
      <c r="R42" s="457">
        <v>113</v>
      </c>
      <c r="T42" s="457">
        <v>2032</v>
      </c>
      <c r="V42" s="457">
        <f t="shared" si="0"/>
        <v>2032</v>
      </c>
    </row>
    <row r="43" spans="1:22">
      <c r="A43" s="457" t="s">
        <v>275</v>
      </c>
      <c r="B43" s="457" t="s">
        <v>874</v>
      </c>
      <c r="C43" s="457" t="s">
        <v>193</v>
      </c>
      <c r="E43" s="457">
        <v>3</v>
      </c>
      <c r="F43" s="457">
        <v>6</v>
      </c>
      <c r="G43" s="457">
        <v>4</v>
      </c>
      <c r="H43" s="457">
        <v>5</v>
      </c>
      <c r="I43" s="457">
        <v>6</v>
      </c>
      <c r="J43" s="457">
        <v>5</v>
      </c>
      <c r="K43" s="457">
        <v>6</v>
      </c>
      <c r="L43" s="457">
        <v>6</v>
      </c>
      <c r="M43" s="457">
        <v>4</v>
      </c>
      <c r="N43" s="457">
        <v>5</v>
      </c>
      <c r="O43" s="457">
        <v>10</v>
      </c>
      <c r="P43" s="457">
        <v>5</v>
      </c>
      <c r="Q43" s="457">
        <v>5</v>
      </c>
      <c r="R43" s="457">
        <v>8</v>
      </c>
      <c r="T43" s="457">
        <v>78</v>
      </c>
      <c r="V43" s="457">
        <f t="shared" si="0"/>
        <v>78</v>
      </c>
    </row>
    <row r="44" spans="1:22">
      <c r="A44" s="457" t="s">
        <v>277</v>
      </c>
      <c r="B44" s="457" t="s">
        <v>875</v>
      </c>
      <c r="C44" s="457" t="s">
        <v>201</v>
      </c>
      <c r="E44" s="457">
        <v>24</v>
      </c>
      <c r="F44" s="457">
        <v>12</v>
      </c>
      <c r="G44" s="457">
        <v>22</v>
      </c>
      <c r="H44" s="457">
        <v>12</v>
      </c>
      <c r="I44" s="457">
        <v>23</v>
      </c>
      <c r="J44" s="457">
        <v>11</v>
      </c>
      <c r="K44" s="457">
        <v>18</v>
      </c>
      <c r="L44" s="457">
        <v>14</v>
      </c>
      <c r="M44" s="457">
        <v>14</v>
      </c>
      <c r="N44" s="457">
        <v>18</v>
      </c>
      <c r="O44" s="457">
        <v>16</v>
      </c>
      <c r="P44" s="457">
        <v>12</v>
      </c>
      <c r="Q44" s="457">
        <v>10</v>
      </c>
      <c r="R44" s="457">
        <v>8</v>
      </c>
      <c r="T44" s="457">
        <v>214</v>
      </c>
      <c r="V44" s="457">
        <f t="shared" si="0"/>
        <v>214</v>
      </c>
    </row>
    <row r="45" spans="1:22">
      <c r="A45" s="457" t="s">
        <v>279</v>
      </c>
      <c r="B45" s="457" t="s">
        <v>876</v>
      </c>
      <c r="C45" s="457" t="s">
        <v>193</v>
      </c>
      <c r="E45" s="457">
        <v>1</v>
      </c>
      <c r="F45" s="457">
        <v>2</v>
      </c>
      <c r="G45" s="457">
        <v>1</v>
      </c>
      <c r="H45" s="457">
        <v>1</v>
      </c>
      <c r="I45" s="457">
        <v>3</v>
      </c>
      <c r="J45" s="457">
        <v>5</v>
      </c>
      <c r="K45" s="457">
        <v>3</v>
      </c>
      <c r="L45" s="457">
        <v>3</v>
      </c>
      <c r="M45" s="457">
        <v>2</v>
      </c>
      <c r="N45" s="457">
        <v>2</v>
      </c>
      <c r="O45" s="457">
        <v>3</v>
      </c>
      <c r="P45" s="457">
        <v>1</v>
      </c>
      <c r="Q45" s="457">
        <v>1</v>
      </c>
      <c r="T45" s="457">
        <v>28</v>
      </c>
      <c r="V45" s="457">
        <f t="shared" si="0"/>
        <v>28</v>
      </c>
    </row>
    <row r="46" spans="1:22">
      <c r="A46" s="457" t="s">
        <v>281</v>
      </c>
      <c r="B46" s="457" t="s">
        <v>1252</v>
      </c>
      <c r="C46" s="457" t="s">
        <v>193</v>
      </c>
      <c r="E46" s="457">
        <v>1</v>
      </c>
      <c r="F46" s="457">
        <v>2</v>
      </c>
      <c r="H46" s="457">
        <v>1</v>
      </c>
      <c r="I46" s="457">
        <v>2</v>
      </c>
      <c r="J46" s="457">
        <v>2</v>
      </c>
      <c r="K46" s="457">
        <v>3</v>
      </c>
      <c r="M46" s="457">
        <v>1</v>
      </c>
      <c r="N46" s="457">
        <v>3</v>
      </c>
      <c r="O46" s="457">
        <v>2</v>
      </c>
      <c r="P46" s="457">
        <v>2</v>
      </c>
      <c r="Q46" s="457">
        <v>1</v>
      </c>
      <c r="R46" s="457">
        <v>3</v>
      </c>
      <c r="T46" s="457">
        <v>23</v>
      </c>
      <c r="V46" s="457">
        <f t="shared" si="0"/>
        <v>23</v>
      </c>
    </row>
    <row r="47" spans="1:22">
      <c r="A47" s="457" t="s">
        <v>283</v>
      </c>
      <c r="B47" s="457" t="s">
        <v>1256</v>
      </c>
      <c r="C47" s="457" t="s">
        <v>201</v>
      </c>
      <c r="E47" s="457">
        <v>10</v>
      </c>
      <c r="F47" s="457">
        <v>6</v>
      </c>
      <c r="G47" s="457">
        <v>13</v>
      </c>
      <c r="H47" s="457">
        <v>9</v>
      </c>
      <c r="I47" s="457">
        <v>8</v>
      </c>
      <c r="J47" s="457">
        <v>8</v>
      </c>
      <c r="K47" s="457">
        <v>6</v>
      </c>
      <c r="L47" s="457">
        <v>10</v>
      </c>
      <c r="M47" s="457">
        <v>10</v>
      </c>
      <c r="N47" s="457">
        <v>7</v>
      </c>
      <c r="O47" s="457">
        <v>4</v>
      </c>
      <c r="P47" s="457">
        <v>7</v>
      </c>
      <c r="Q47" s="457">
        <v>9</v>
      </c>
      <c r="R47" s="457">
        <v>3</v>
      </c>
      <c r="T47" s="457">
        <v>110</v>
      </c>
      <c r="V47" s="457">
        <f t="shared" si="0"/>
        <v>110</v>
      </c>
    </row>
    <row r="48" spans="1:22">
      <c r="A48" s="457" t="s">
        <v>285</v>
      </c>
      <c r="B48" s="457" t="s">
        <v>1136</v>
      </c>
      <c r="C48" s="457" t="s">
        <v>193</v>
      </c>
      <c r="E48" s="457">
        <v>17</v>
      </c>
      <c r="F48" s="457">
        <v>22</v>
      </c>
      <c r="G48" s="457">
        <v>17</v>
      </c>
      <c r="H48" s="457">
        <v>24</v>
      </c>
      <c r="I48" s="457">
        <v>27</v>
      </c>
      <c r="J48" s="457">
        <v>32</v>
      </c>
      <c r="K48" s="457">
        <v>28</v>
      </c>
      <c r="L48" s="457">
        <v>22</v>
      </c>
      <c r="M48" s="457">
        <v>20</v>
      </c>
      <c r="N48" s="457">
        <v>18</v>
      </c>
      <c r="O48" s="457">
        <v>15</v>
      </c>
      <c r="P48" s="457">
        <v>13</v>
      </c>
      <c r="Q48" s="457">
        <v>10</v>
      </c>
      <c r="R48" s="457">
        <v>15</v>
      </c>
      <c r="T48" s="457">
        <v>280</v>
      </c>
      <c r="V48" s="457">
        <f t="shared" si="0"/>
        <v>280</v>
      </c>
    </row>
    <row r="49" spans="1:22">
      <c r="A49" s="457" t="s">
        <v>287</v>
      </c>
      <c r="B49" s="457" t="s">
        <v>880</v>
      </c>
      <c r="C49" s="457" t="s">
        <v>196</v>
      </c>
      <c r="E49" s="457">
        <v>1</v>
      </c>
      <c r="F49" s="457">
        <v>6</v>
      </c>
      <c r="G49" s="457">
        <v>7</v>
      </c>
      <c r="H49" s="457">
        <v>10</v>
      </c>
      <c r="I49" s="457">
        <v>6</v>
      </c>
      <c r="J49" s="457">
        <v>5</v>
      </c>
      <c r="K49" s="457">
        <v>14</v>
      </c>
      <c r="L49" s="457">
        <v>8</v>
      </c>
      <c r="M49" s="457">
        <v>11</v>
      </c>
      <c r="N49" s="457">
        <v>11</v>
      </c>
      <c r="O49" s="457">
        <v>8</v>
      </c>
      <c r="P49" s="457">
        <v>4</v>
      </c>
      <c r="Q49" s="457">
        <v>5</v>
      </c>
      <c r="R49" s="457">
        <v>1</v>
      </c>
      <c r="T49" s="457">
        <v>97</v>
      </c>
      <c r="V49" s="457">
        <f t="shared" si="0"/>
        <v>97</v>
      </c>
    </row>
    <row r="50" spans="1:22">
      <c r="A50" s="457" t="s">
        <v>289</v>
      </c>
      <c r="B50" s="457" t="s">
        <v>881</v>
      </c>
      <c r="C50" s="457" t="s">
        <v>196</v>
      </c>
      <c r="F50" s="457">
        <v>1</v>
      </c>
      <c r="G50" s="457">
        <v>4</v>
      </c>
      <c r="H50" s="457">
        <v>6</v>
      </c>
      <c r="I50" s="457">
        <v>3</v>
      </c>
      <c r="J50" s="457">
        <v>2</v>
      </c>
      <c r="K50" s="457">
        <v>7</v>
      </c>
      <c r="L50" s="457">
        <v>5</v>
      </c>
      <c r="M50" s="457">
        <v>4</v>
      </c>
      <c r="N50" s="457">
        <v>6</v>
      </c>
      <c r="T50" s="457">
        <v>38</v>
      </c>
      <c r="V50" s="457">
        <f t="shared" si="0"/>
        <v>38</v>
      </c>
    </row>
    <row r="51" spans="1:22">
      <c r="A51" s="457" t="s">
        <v>291</v>
      </c>
      <c r="B51" s="457" t="s">
        <v>882</v>
      </c>
      <c r="C51" s="457" t="s">
        <v>188</v>
      </c>
      <c r="E51" s="457">
        <v>1</v>
      </c>
      <c r="G51" s="457">
        <v>4</v>
      </c>
      <c r="H51" s="457">
        <v>5</v>
      </c>
      <c r="I51" s="457">
        <v>2</v>
      </c>
      <c r="J51" s="457">
        <v>3</v>
      </c>
      <c r="K51" s="457">
        <v>1</v>
      </c>
      <c r="L51" s="457">
        <v>4</v>
      </c>
      <c r="T51" s="457">
        <v>20</v>
      </c>
      <c r="V51" s="457">
        <f t="shared" si="0"/>
        <v>20</v>
      </c>
    </row>
    <row r="52" spans="1:22">
      <c r="A52" s="457" t="s">
        <v>293</v>
      </c>
      <c r="B52" s="457" t="s">
        <v>1232</v>
      </c>
      <c r="C52" s="457" t="s">
        <v>230</v>
      </c>
      <c r="F52" s="457">
        <v>1</v>
      </c>
      <c r="G52" s="457">
        <v>2</v>
      </c>
      <c r="I52" s="457">
        <v>1</v>
      </c>
      <c r="J52" s="457">
        <v>2</v>
      </c>
      <c r="K52" s="457">
        <v>1</v>
      </c>
      <c r="O52" s="457">
        <v>1</v>
      </c>
      <c r="P52" s="457">
        <v>2</v>
      </c>
      <c r="Q52" s="457">
        <v>4</v>
      </c>
      <c r="R52" s="457">
        <v>2</v>
      </c>
      <c r="T52" s="457">
        <v>16</v>
      </c>
      <c r="V52" s="457">
        <f t="shared" si="0"/>
        <v>16</v>
      </c>
    </row>
    <row r="53" spans="1:22">
      <c r="A53" s="457" t="s">
        <v>295</v>
      </c>
      <c r="B53" s="457" t="s">
        <v>884</v>
      </c>
      <c r="C53" s="457" t="s">
        <v>196</v>
      </c>
      <c r="E53" s="457">
        <v>6</v>
      </c>
      <c r="F53" s="457">
        <v>13</v>
      </c>
      <c r="G53" s="457">
        <v>7</v>
      </c>
      <c r="H53" s="457">
        <v>16</v>
      </c>
      <c r="I53" s="457">
        <v>8</v>
      </c>
      <c r="J53" s="457">
        <v>7</v>
      </c>
      <c r="K53" s="457">
        <v>10</v>
      </c>
      <c r="L53" s="457">
        <v>10</v>
      </c>
      <c r="M53" s="457">
        <v>17</v>
      </c>
      <c r="N53" s="457">
        <v>10</v>
      </c>
      <c r="O53" s="457">
        <v>7</v>
      </c>
      <c r="P53" s="457">
        <v>11</v>
      </c>
      <c r="Q53" s="457">
        <v>17</v>
      </c>
      <c r="R53" s="457">
        <v>23</v>
      </c>
      <c r="T53" s="457">
        <v>162</v>
      </c>
      <c r="V53" s="457">
        <f t="shared" si="0"/>
        <v>162</v>
      </c>
    </row>
    <row r="54" spans="1:22">
      <c r="A54" s="457" t="s">
        <v>297</v>
      </c>
      <c r="B54" s="457" t="s">
        <v>885</v>
      </c>
      <c r="C54" s="457" t="s">
        <v>227</v>
      </c>
      <c r="F54" s="457">
        <v>1</v>
      </c>
      <c r="G54" s="457">
        <v>1</v>
      </c>
      <c r="H54" s="457">
        <v>1</v>
      </c>
      <c r="I54" s="457">
        <v>3</v>
      </c>
      <c r="J54" s="457">
        <v>5</v>
      </c>
      <c r="K54" s="457">
        <v>5</v>
      </c>
      <c r="L54" s="457">
        <v>4</v>
      </c>
      <c r="M54" s="457">
        <v>3</v>
      </c>
      <c r="O54" s="457">
        <v>3</v>
      </c>
      <c r="P54" s="457">
        <v>4</v>
      </c>
      <c r="Q54" s="457">
        <v>3</v>
      </c>
      <c r="R54" s="457">
        <v>5</v>
      </c>
      <c r="T54" s="457">
        <v>38</v>
      </c>
      <c r="V54" s="457">
        <f t="shared" si="0"/>
        <v>38</v>
      </c>
    </row>
    <row r="55" spans="1:22">
      <c r="A55" s="457" t="s">
        <v>299</v>
      </c>
      <c r="B55" s="457" t="s">
        <v>886</v>
      </c>
      <c r="C55" s="457" t="s">
        <v>193</v>
      </c>
      <c r="E55" s="457">
        <v>1</v>
      </c>
      <c r="F55" s="457">
        <v>2</v>
      </c>
      <c r="G55" s="457">
        <v>1</v>
      </c>
      <c r="H55" s="457">
        <v>1</v>
      </c>
      <c r="I55" s="457">
        <v>2</v>
      </c>
      <c r="K55" s="457">
        <v>2</v>
      </c>
      <c r="L55" s="457">
        <v>3</v>
      </c>
      <c r="M55" s="457">
        <v>3</v>
      </c>
      <c r="N55" s="457">
        <v>1</v>
      </c>
      <c r="Q55" s="457">
        <v>3</v>
      </c>
      <c r="R55" s="457">
        <v>3</v>
      </c>
      <c r="T55" s="457">
        <v>22</v>
      </c>
      <c r="V55" s="457">
        <f t="shared" si="0"/>
        <v>22</v>
      </c>
    </row>
    <row r="56" spans="1:22">
      <c r="A56" s="457" t="s">
        <v>301</v>
      </c>
      <c r="B56" s="457" t="s">
        <v>887</v>
      </c>
      <c r="C56" s="457" t="s">
        <v>193</v>
      </c>
      <c r="G56" s="457">
        <v>1</v>
      </c>
      <c r="H56" s="457">
        <v>4</v>
      </c>
      <c r="J56" s="457">
        <v>3</v>
      </c>
      <c r="K56" s="457">
        <v>2</v>
      </c>
      <c r="L56" s="457">
        <v>2</v>
      </c>
      <c r="M56" s="457">
        <v>6</v>
      </c>
      <c r="N56" s="457">
        <v>2</v>
      </c>
      <c r="O56" s="457">
        <v>7</v>
      </c>
      <c r="P56" s="457">
        <v>2</v>
      </c>
      <c r="R56" s="457">
        <v>2</v>
      </c>
      <c r="T56" s="457">
        <v>31</v>
      </c>
      <c r="V56" s="457">
        <f t="shared" si="0"/>
        <v>31</v>
      </c>
    </row>
    <row r="57" spans="1:22">
      <c r="A57" s="457" t="s">
        <v>303</v>
      </c>
      <c r="B57" s="457" t="s">
        <v>888</v>
      </c>
      <c r="C57" s="457" t="s">
        <v>193</v>
      </c>
      <c r="E57" s="457">
        <v>6</v>
      </c>
      <c r="F57" s="457">
        <v>2</v>
      </c>
      <c r="G57" s="457">
        <v>3</v>
      </c>
      <c r="H57" s="457">
        <v>2</v>
      </c>
      <c r="I57" s="457">
        <v>3</v>
      </c>
      <c r="J57" s="457">
        <v>4</v>
      </c>
      <c r="K57" s="457">
        <v>4</v>
      </c>
      <c r="L57" s="457">
        <v>3</v>
      </c>
      <c r="M57" s="457">
        <v>3</v>
      </c>
      <c r="N57" s="457">
        <v>1</v>
      </c>
      <c r="O57" s="457">
        <v>5</v>
      </c>
      <c r="P57" s="457">
        <v>7</v>
      </c>
      <c r="Q57" s="457">
        <v>4</v>
      </c>
      <c r="R57" s="457">
        <v>5</v>
      </c>
      <c r="T57" s="457">
        <v>52</v>
      </c>
      <c r="V57" s="457">
        <f t="shared" si="0"/>
        <v>52</v>
      </c>
    </row>
    <row r="58" spans="1:22">
      <c r="A58" s="457" t="s">
        <v>305</v>
      </c>
      <c r="B58" s="457" t="s">
        <v>1137</v>
      </c>
      <c r="C58" s="457" t="s">
        <v>220</v>
      </c>
      <c r="E58" s="457">
        <v>1</v>
      </c>
      <c r="F58" s="457">
        <v>1</v>
      </c>
      <c r="G58" s="457">
        <v>2</v>
      </c>
      <c r="I58" s="457">
        <v>2</v>
      </c>
      <c r="J58" s="457">
        <v>2</v>
      </c>
      <c r="T58" s="457">
        <v>8</v>
      </c>
      <c r="V58" s="457">
        <f t="shared" si="0"/>
        <v>8</v>
      </c>
    </row>
    <row r="59" spans="1:22">
      <c r="A59" s="457" t="s">
        <v>311</v>
      </c>
      <c r="B59" s="457" t="s">
        <v>893</v>
      </c>
      <c r="C59" s="457" t="s">
        <v>201</v>
      </c>
      <c r="D59" s="457" t="s">
        <v>818</v>
      </c>
      <c r="E59" s="457">
        <v>3</v>
      </c>
      <c r="F59" s="457">
        <v>5</v>
      </c>
      <c r="G59" s="457">
        <v>6</v>
      </c>
      <c r="H59" s="457">
        <v>2</v>
      </c>
      <c r="I59" s="457">
        <v>8</v>
      </c>
      <c r="J59" s="457">
        <v>5</v>
      </c>
      <c r="K59" s="457">
        <v>3</v>
      </c>
      <c r="L59" s="457">
        <v>3</v>
      </c>
      <c r="M59" s="457">
        <v>1</v>
      </c>
      <c r="N59" s="457">
        <v>1</v>
      </c>
      <c r="O59" s="457">
        <v>2</v>
      </c>
      <c r="P59" s="457">
        <v>2</v>
      </c>
      <c r="Q59" s="457">
        <v>4</v>
      </c>
      <c r="R59" s="457">
        <v>6</v>
      </c>
      <c r="T59" s="457">
        <v>51</v>
      </c>
      <c r="V59" s="457">
        <f t="shared" si="0"/>
        <v>51</v>
      </c>
    </row>
    <row r="60" spans="1:22">
      <c r="A60" s="457" t="s">
        <v>307</v>
      </c>
      <c r="B60" s="457" t="s">
        <v>891</v>
      </c>
      <c r="C60" s="457" t="s">
        <v>196</v>
      </c>
      <c r="E60" s="457">
        <v>1</v>
      </c>
      <c r="F60" s="457">
        <v>6</v>
      </c>
      <c r="G60" s="457">
        <v>2</v>
      </c>
      <c r="H60" s="457">
        <v>1</v>
      </c>
      <c r="I60" s="457">
        <v>5</v>
      </c>
      <c r="J60" s="457">
        <v>8</v>
      </c>
      <c r="K60" s="457">
        <v>5</v>
      </c>
      <c r="L60" s="457">
        <v>6</v>
      </c>
      <c r="M60" s="457">
        <v>9</v>
      </c>
      <c r="N60" s="457">
        <v>3</v>
      </c>
      <c r="O60" s="457">
        <v>8</v>
      </c>
      <c r="P60" s="457">
        <v>3</v>
      </c>
      <c r="Q60" s="457">
        <v>6</v>
      </c>
      <c r="R60" s="457">
        <v>6</v>
      </c>
      <c r="T60" s="457">
        <v>69</v>
      </c>
      <c r="V60" s="457">
        <f t="shared" si="0"/>
        <v>69</v>
      </c>
    </row>
    <row r="61" spans="1:22">
      <c r="A61" s="457" t="s">
        <v>309</v>
      </c>
      <c r="B61" s="457" t="s">
        <v>892</v>
      </c>
      <c r="C61" s="457" t="s">
        <v>193</v>
      </c>
      <c r="E61" s="457">
        <v>4</v>
      </c>
      <c r="F61" s="457">
        <v>6</v>
      </c>
      <c r="G61" s="457">
        <v>9</v>
      </c>
      <c r="H61" s="457">
        <v>4</v>
      </c>
      <c r="I61" s="457">
        <v>7</v>
      </c>
      <c r="J61" s="457">
        <v>10</v>
      </c>
      <c r="K61" s="457">
        <v>4</v>
      </c>
      <c r="L61" s="457">
        <v>3</v>
      </c>
      <c r="M61" s="457">
        <v>4</v>
      </c>
      <c r="N61" s="457">
        <v>8</v>
      </c>
      <c r="O61" s="457">
        <v>4</v>
      </c>
      <c r="P61" s="457">
        <v>5</v>
      </c>
      <c r="Q61" s="457">
        <v>1</v>
      </c>
      <c r="R61" s="457">
        <v>7</v>
      </c>
      <c r="T61" s="457">
        <v>76</v>
      </c>
      <c r="V61" s="457">
        <f t="shared" si="0"/>
        <v>76</v>
      </c>
    </row>
    <row r="62" spans="1:22">
      <c r="A62" s="457" t="s">
        <v>317</v>
      </c>
      <c r="B62" s="457" t="s">
        <v>896</v>
      </c>
      <c r="C62" s="457" t="s">
        <v>201</v>
      </c>
      <c r="D62" s="457" t="s">
        <v>818</v>
      </c>
      <c r="F62" s="457">
        <v>2</v>
      </c>
      <c r="J62" s="457">
        <v>1</v>
      </c>
      <c r="T62" s="457">
        <v>3</v>
      </c>
      <c r="V62" s="457">
        <f t="shared" si="0"/>
        <v>3</v>
      </c>
    </row>
    <row r="63" spans="1:22">
      <c r="A63" s="457" t="s">
        <v>313</v>
      </c>
      <c r="B63" s="457" t="s">
        <v>894</v>
      </c>
      <c r="C63" s="457" t="s">
        <v>193</v>
      </c>
      <c r="E63" s="457">
        <v>25</v>
      </c>
      <c r="F63" s="457">
        <v>21</v>
      </c>
      <c r="G63" s="457">
        <v>25</v>
      </c>
      <c r="H63" s="457">
        <v>20</v>
      </c>
      <c r="I63" s="457">
        <v>26</v>
      </c>
      <c r="J63" s="457">
        <v>33</v>
      </c>
      <c r="K63" s="457">
        <v>24</v>
      </c>
      <c r="L63" s="457">
        <v>26</v>
      </c>
      <c r="M63" s="457">
        <v>21</v>
      </c>
      <c r="N63" s="457">
        <v>26</v>
      </c>
      <c r="O63" s="457">
        <v>19</v>
      </c>
      <c r="P63" s="457">
        <v>25</v>
      </c>
      <c r="Q63" s="457">
        <v>17</v>
      </c>
      <c r="R63" s="457">
        <v>24</v>
      </c>
      <c r="T63" s="457">
        <v>332</v>
      </c>
      <c r="V63" s="457">
        <f t="shared" si="0"/>
        <v>332</v>
      </c>
    </row>
    <row r="64" spans="1:22">
      <c r="A64" s="457" t="s">
        <v>315</v>
      </c>
      <c r="B64" s="457" t="s">
        <v>895</v>
      </c>
      <c r="C64" s="457" t="s">
        <v>204</v>
      </c>
      <c r="E64" s="457">
        <v>22</v>
      </c>
      <c r="F64" s="457">
        <v>12</v>
      </c>
      <c r="G64" s="457">
        <v>20</v>
      </c>
      <c r="H64" s="457">
        <v>15</v>
      </c>
      <c r="I64" s="457">
        <v>11</v>
      </c>
      <c r="J64" s="457">
        <v>17</v>
      </c>
      <c r="K64" s="457">
        <v>17</v>
      </c>
      <c r="L64" s="457">
        <v>21</v>
      </c>
      <c r="M64" s="457">
        <v>22</v>
      </c>
      <c r="N64" s="457">
        <v>19</v>
      </c>
      <c r="T64" s="457">
        <v>176</v>
      </c>
      <c r="V64" s="457">
        <f t="shared" si="0"/>
        <v>176</v>
      </c>
    </row>
    <row r="65" spans="1:22">
      <c r="A65" s="457" t="s">
        <v>319</v>
      </c>
      <c r="B65" s="457" t="s">
        <v>1246</v>
      </c>
      <c r="C65" s="457" t="s">
        <v>193</v>
      </c>
      <c r="E65" s="457">
        <v>61</v>
      </c>
      <c r="F65" s="457">
        <v>34</v>
      </c>
      <c r="G65" s="457">
        <v>37</v>
      </c>
      <c r="H65" s="457">
        <v>34</v>
      </c>
      <c r="I65" s="457">
        <v>49</v>
      </c>
      <c r="J65" s="457">
        <v>37</v>
      </c>
      <c r="K65" s="457">
        <v>47</v>
      </c>
      <c r="L65" s="457">
        <v>39</v>
      </c>
      <c r="M65" s="457">
        <v>41</v>
      </c>
      <c r="N65" s="457">
        <v>40</v>
      </c>
      <c r="O65" s="457">
        <v>47</v>
      </c>
      <c r="P65" s="457">
        <v>44</v>
      </c>
      <c r="Q65" s="457">
        <v>32</v>
      </c>
      <c r="R65" s="457">
        <v>60</v>
      </c>
      <c r="T65" s="457">
        <v>602</v>
      </c>
      <c r="V65" s="457">
        <f t="shared" si="0"/>
        <v>602</v>
      </c>
    </row>
    <row r="66" spans="1:22">
      <c r="A66" s="457" t="s">
        <v>321</v>
      </c>
      <c r="B66" s="457" t="s">
        <v>1258</v>
      </c>
      <c r="C66" s="457" t="s">
        <v>220</v>
      </c>
      <c r="E66" s="457">
        <v>39</v>
      </c>
      <c r="F66" s="457">
        <v>23</v>
      </c>
      <c r="G66" s="457">
        <v>35</v>
      </c>
      <c r="H66" s="457">
        <v>29</v>
      </c>
      <c r="I66" s="457">
        <v>33</v>
      </c>
      <c r="J66" s="457">
        <v>39</v>
      </c>
      <c r="K66" s="457">
        <v>40</v>
      </c>
      <c r="L66" s="457">
        <v>31</v>
      </c>
      <c r="M66" s="457">
        <v>35</v>
      </c>
      <c r="N66" s="457">
        <v>30</v>
      </c>
      <c r="O66" s="457">
        <v>28</v>
      </c>
      <c r="P66" s="457">
        <v>24</v>
      </c>
      <c r="Q66" s="457">
        <v>19</v>
      </c>
      <c r="R66" s="457">
        <v>31</v>
      </c>
      <c r="T66" s="457">
        <v>436</v>
      </c>
      <c r="V66" s="457">
        <f t="shared" si="0"/>
        <v>436</v>
      </c>
    </row>
    <row r="67" spans="1:22">
      <c r="A67" s="457" t="s">
        <v>323</v>
      </c>
      <c r="B67" s="457" t="s">
        <v>899</v>
      </c>
      <c r="C67" s="457" t="s">
        <v>230</v>
      </c>
      <c r="E67" s="457">
        <v>62</v>
      </c>
      <c r="F67" s="457">
        <v>44</v>
      </c>
      <c r="G67" s="457">
        <v>71</v>
      </c>
      <c r="H67" s="457">
        <v>43</v>
      </c>
      <c r="I67" s="457">
        <v>62</v>
      </c>
      <c r="J67" s="457">
        <v>49</v>
      </c>
      <c r="K67" s="457">
        <v>51</v>
      </c>
      <c r="L67" s="457">
        <v>49</v>
      </c>
      <c r="M67" s="457">
        <v>50</v>
      </c>
      <c r="N67" s="457">
        <v>48</v>
      </c>
      <c r="O67" s="457">
        <v>52</v>
      </c>
      <c r="P67" s="457">
        <v>58</v>
      </c>
      <c r="Q67" s="457">
        <v>42</v>
      </c>
      <c r="R67" s="457">
        <v>56</v>
      </c>
      <c r="T67" s="457">
        <v>737</v>
      </c>
      <c r="V67" s="457">
        <f t="shared" si="0"/>
        <v>737</v>
      </c>
    </row>
    <row r="68" spans="1:22">
      <c r="A68" s="457" t="s">
        <v>325</v>
      </c>
      <c r="B68" s="457" t="s">
        <v>900</v>
      </c>
      <c r="C68" s="457" t="s">
        <v>220</v>
      </c>
      <c r="E68" s="457">
        <v>5</v>
      </c>
      <c r="J68" s="457">
        <v>1</v>
      </c>
      <c r="K68" s="457">
        <v>2</v>
      </c>
      <c r="L68" s="457">
        <v>2</v>
      </c>
      <c r="M68" s="457">
        <v>1</v>
      </c>
      <c r="N68" s="457">
        <v>1</v>
      </c>
      <c r="O68" s="457">
        <v>1</v>
      </c>
      <c r="Q68" s="457">
        <v>1</v>
      </c>
      <c r="R68" s="457">
        <v>1</v>
      </c>
      <c r="T68" s="457">
        <v>15</v>
      </c>
      <c r="V68" s="457">
        <f t="shared" ref="V68:V131" si="1">T68</f>
        <v>15</v>
      </c>
    </row>
    <row r="69" spans="1:22">
      <c r="A69" s="457" t="s">
        <v>327</v>
      </c>
      <c r="B69" s="457" t="s">
        <v>901</v>
      </c>
      <c r="C69" s="457" t="s">
        <v>204</v>
      </c>
      <c r="E69" s="457">
        <v>14</v>
      </c>
      <c r="F69" s="457">
        <v>17</v>
      </c>
      <c r="G69" s="457">
        <v>24</v>
      </c>
      <c r="H69" s="457">
        <v>16</v>
      </c>
      <c r="I69" s="457">
        <v>7</v>
      </c>
      <c r="J69" s="457">
        <v>21</v>
      </c>
      <c r="K69" s="457">
        <v>21</v>
      </c>
      <c r="L69" s="457">
        <v>15</v>
      </c>
      <c r="M69" s="457">
        <v>19</v>
      </c>
      <c r="N69" s="457">
        <v>18</v>
      </c>
      <c r="O69" s="457">
        <v>20</v>
      </c>
      <c r="P69" s="457">
        <v>15</v>
      </c>
      <c r="Q69" s="457">
        <v>12</v>
      </c>
      <c r="R69" s="457">
        <v>13</v>
      </c>
      <c r="T69" s="457">
        <v>232</v>
      </c>
      <c r="V69" s="457">
        <f t="shared" si="1"/>
        <v>232</v>
      </c>
    </row>
    <row r="70" spans="1:22">
      <c r="A70" s="457" t="s">
        <v>329</v>
      </c>
      <c r="B70" s="457" t="s">
        <v>902</v>
      </c>
      <c r="C70" s="457" t="s">
        <v>196</v>
      </c>
      <c r="E70" s="457">
        <v>243</v>
      </c>
      <c r="F70" s="457">
        <v>174</v>
      </c>
      <c r="G70" s="457">
        <v>206</v>
      </c>
      <c r="H70" s="457">
        <v>205</v>
      </c>
      <c r="I70" s="457">
        <v>211</v>
      </c>
      <c r="J70" s="457">
        <v>251</v>
      </c>
      <c r="K70" s="457">
        <v>228</v>
      </c>
      <c r="L70" s="457">
        <v>216</v>
      </c>
      <c r="M70" s="457">
        <v>222</v>
      </c>
      <c r="N70" s="457">
        <v>227</v>
      </c>
      <c r="O70" s="457">
        <v>227</v>
      </c>
      <c r="P70" s="457">
        <v>199</v>
      </c>
      <c r="Q70" s="457">
        <v>189</v>
      </c>
      <c r="R70" s="457">
        <v>264</v>
      </c>
      <c r="T70" s="457">
        <v>3062</v>
      </c>
      <c r="V70" s="457">
        <f t="shared" si="1"/>
        <v>3062</v>
      </c>
    </row>
    <row r="71" spans="1:22">
      <c r="A71" s="457" t="s">
        <v>331</v>
      </c>
      <c r="B71" s="457" t="s">
        <v>903</v>
      </c>
      <c r="C71" s="457" t="s">
        <v>220</v>
      </c>
      <c r="E71" s="457">
        <v>20</v>
      </c>
      <c r="F71" s="457">
        <v>14</v>
      </c>
      <c r="G71" s="457">
        <v>35</v>
      </c>
      <c r="H71" s="457">
        <v>27</v>
      </c>
      <c r="I71" s="457">
        <v>31</v>
      </c>
      <c r="J71" s="457">
        <v>32</v>
      </c>
      <c r="K71" s="457">
        <v>34</v>
      </c>
      <c r="L71" s="457">
        <v>38</v>
      </c>
      <c r="M71" s="457">
        <v>38</v>
      </c>
      <c r="N71" s="457">
        <v>40</v>
      </c>
      <c r="O71" s="457">
        <v>31</v>
      </c>
      <c r="P71" s="457">
        <v>24</v>
      </c>
      <c r="Q71" s="457">
        <v>32</v>
      </c>
      <c r="R71" s="457">
        <v>19</v>
      </c>
      <c r="T71" s="457">
        <v>415</v>
      </c>
      <c r="V71" s="457">
        <f t="shared" si="1"/>
        <v>415</v>
      </c>
    </row>
    <row r="72" spans="1:22">
      <c r="A72" s="457" t="s">
        <v>333</v>
      </c>
      <c r="B72" s="457" t="s">
        <v>904</v>
      </c>
      <c r="C72" s="457" t="s">
        <v>188</v>
      </c>
      <c r="E72" s="457">
        <v>16</v>
      </c>
      <c r="F72" s="457">
        <v>10</v>
      </c>
      <c r="G72" s="457">
        <v>16</v>
      </c>
      <c r="H72" s="457">
        <v>17</v>
      </c>
      <c r="I72" s="457">
        <v>23</v>
      </c>
      <c r="J72" s="457">
        <v>20</v>
      </c>
      <c r="K72" s="457">
        <v>20</v>
      </c>
      <c r="L72" s="457">
        <v>8</v>
      </c>
      <c r="M72" s="457">
        <v>18</v>
      </c>
      <c r="N72" s="457">
        <v>18</v>
      </c>
      <c r="O72" s="457">
        <v>22</v>
      </c>
      <c r="P72" s="457">
        <v>20</v>
      </c>
      <c r="Q72" s="457">
        <v>21</v>
      </c>
      <c r="R72" s="457">
        <v>41</v>
      </c>
      <c r="T72" s="457">
        <v>270</v>
      </c>
      <c r="V72" s="457">
        <f t="shared" si="1"/>
        <v>270</v>
      </c>
    </row>
    <row r="73" spans="1:22">
      <c r="A73" s="457" t="s">
        <v>335</v>
      </c>
      <c r="B73" s="457" t="s">
        <v>905</v>
      </c>
      <c r="C73" s="457" t="s">
        <v>193</v>
      </c>
      <c r="E73" s="457">
        <v>1</v>
      </c>
      <c r="F73" s="457">
        <v>1</v>
      </c>
      <c r="H73" s="457">
        <v>3</v>
      </c>
      <c r="I73" s="457">
        <v>1</v>
      </c>
      <c r="J73" s="457">
        <v>1</v>
      </c>
      <c r="K73" s="457">
        <v>2</v>
      </c>
      <c r="L73" s="457">
        <v>5</v>
      </c>
      <c r="M73" s="457">
        <v>5</v>
      </c>
      <c r="N73" s="457">
        <v>3</v>
      </c>
      <c r="T73" s="457">
        <v>22</v>
      </c>
      <c r="V73" s="457">
        <f t="shared" si="1"/>
        <v>22</v>
      </c>
    </row>
    <row r="74" spans="1:22">
      <c r="A74" s="457" t="s">
        <v>337</v>
      </c>
      <c r="B74" s="457" t="s">
        <v>906</v>
      </c>
      <c r="C74" s="457" t="s">
        <v>230</v>
      </c>
      <c r="E74" s="457">
        <v>4</v>
      </c>
      <c r="F74" s="457">
        <v>1</v>
      </c>
      <c r="G74" s="457">
        <v>5</v>
      </c>
      <c r="H74" s="457">
        <v>1</v>
      </c>
      <c r="I74" s="457">
        <v>2</v>
      </c>
      <c r="J74" s="457">
        <v>4</v>
      </c>
      <c r="K74" s="457">
        <v>1</v>
      </c>
      <c r="M74" s="457">
        <v>1</v>
      </c>
      <c r="N74" s="457">
        <v>1</v>
      </c>
      <c r="O74" s="457">
        <v>2</v>
      </c>
      <c r="Q74" s="457">
        <v>1</v>
      </c>
      <c r="T74" s="457">
        <v>23</v>
      </c>
      <c r="V74" s="457">
        <f t="shared" si="1"/>
        <v>23</v>
      </c>
    </row>
    <row r="75" spans="1:22">
      <c r="A75" s="457" t="s">
        <v>339</v>
      </c>
      <c r="B75" s="457" t="s">
        <v>907</v>
      </c>
      <c r="C75" s="457" t="s">
        <v>204</v>
      </c>
      <c r="E75" s="457">
        <v>71</v>
      </c>
      <c r="F75" s="457">
        <v>58</v>
      </c>
      <c r="G75" s="457">
        <v>55</v>
      </c>
      <c r="H75" s="457">
        <v>42</v>
      </c>
      <c r="I75" s="457">
        <v>53</v>
      </c>
      <c r="J75" s="457">
        <v>57</v>
      </c>
      <c r="K75" s="457">
        <v>44</v>
      </c>
      <c r="L75" s="457">
        <v>41</v>
      </c>
      <c r="M75" s="457">
        <v>42</v>
      </c>
      <c r="N75" s="457">
        <v>57</v>
      </c>
      <c r="O75" s="457">
        <v>52</v>
      </c>
      <c r="P75" s="457">
        <v>39</v>
      </c>
      <c r="Q75" s="457">
        <v>47</v>
      </c>
      <c r="R75" s="457">
        <v>54</v>
      </c>
      <c r="T75" s="457">
        <v>712</v>
      </c>
      <c r="V75" s="457">
        <f t="shared" si="1"/>
        <v>712</v>
      </c>
    </row>
    <row r="76" spans="1:22">
      <c r="A76" s="457" t="s">
        <v>341</v>
      </c>
      <c r="B76" s="457" t="s">
        <v>908</v>
      </c>
      <c r="C76" s="457" t="s">
        <v>230</v>
      </c>
      <c r="E76" s="457">
        <v>16</v>
      </c>
      <c r="F76" s="457">
        <v>22</v>
      </c>
      <c r="G76" s="457">
        <v>26</v>
      </c>
      <c r="H76" s="457">
        <v>34</v>
      </c>
      <c r="I76" s="457">
        <v>24</v>
      </c>
      <c r="J76" s="457">
        <v>29</v>
      </c>
      <c r="K76" s="457">
        <v>29</v>
      </c>
      <c r="L76" s="457">
        <v>19</v>
      </c>
      <c r="M76" s="457">
        <v>27</v>
      </c>
      <c r="N76" s="457">
        <v>28</v>
      </c>
      <c r="O76" s="457">
        <v>15</v>
      </c>
      <c r="P76" s="457">
        <v>14</v>
      </c>
      <c r="Q76" s="457">
        <v>20</v>
      </c>
      <c r="R76" s="457">
        <v>37</v>
      </c>
      <c r="T76" s="457">
        <v>340</v>
      </c>
      <c r="V76" s="457">
        <f t="shared" si="1"/>
        <v>340</v>
      </c>
    </row>
    <row r="77" spans="1:22" hidden="1">
      <c r="A77" s="459" t="s">
        <v>817</v>
      </c>
      <c r="B77" s="457" t="s">
        <v>818</v>
      </c>
      <c r="C77" s="459" t="s">
        <v>209</v>
      </c>
      <c r="E77" s="457">
        <v>55</v>
      </c>
      <c r="F77" s="457">
        <v>97</v>
      </c>
      <c r="G77" s="457">
        <v>131</v>
      </c>
      <c r="H77" s="457">
        <v>127</v>
      </c>
      <c r="I77" s="457">
        <v>114</v>
      </c>
      <c r="J77" s="457">
        <v>135</v>
      </c>
      <c r="K77" s="457">
        <v>140</v>
      </c>
      <c r="L77" s="457">
        <v>146</v>
      </c>
      <c r="M77" s="457">
        <v>121</v>
      </c>
      <c r="N77" s="457">
        <v>152</v>
      </c>
      <c r="O77" s="457">
        <v>149</v>
      </c>
      <c r="P77" s="457">
        <v>167</v>
      </c>
      <c r="Q77" s="457">
        <v>126</v>
      </c>
      <c r="R77" s="457">
        <v>124</v>
      </c>
      <c r="T77" s="457">
        <v>1784</v>
      </c>
      <c r="V77" s="457">
        <f t="shared" si="1"/>
        <v>1784</v>
      </c>
    </row>
    <row r="78" spans="1:22">
      <c r="A78" s="457" t="s">
        <v>343</v>
      </c>
      <c r="B78" s="457" t="s">
        <v>1138</v>
      </c>
      <c r="C78" s="457" t="s">
        <v>188</v>
      </c>
      <c r="J78" s="457">
        <v>1</v>
      </c>
      <c r="K78" s="457">
        <v>1</v>
      </c>
      <c r="L78" s="457">
        <v>2</v>
      </c>
      <c r="T78" s="457">
        <v>4</v>
      </c>
      <c r="V78" s="457">
        <f t="shared" si="1"/>
        <v>4</v>
      </c>
    </row>
    <row r="79" spans="1:22">
      <c r="A79" s="457" t="s">
        <v>345</v>
      </c>
      <c r="B79" s="457" t="s">
        <v>909</v>
      </c>
      <c r="C79" s="457" t="s">
        <v>196</v>
      </c>
      <c r="E79" s="457">
        <v>200</v>
      </c>
      <c r="F79" s="457">
        <v>136</v>
      </c>
      <c r="G79" s="457">
        <v>192</v>
      </c>
      <c r="H79" s="457">
        <v>180</v>
      </c>
      <c r="I79" s="457">
        <v>245</v>
      </c>
      <c r="J79" s="457">
        <v>212</v>
      </c>
      <c r="K79" s="457">
        <v>220</v>
      </c>
      <c r="L79" s="457">
        <v>196</v>
      </c>
      <c r="M79" s="457">
        <v>171</v>
      </c>
      <c r="N79" s="457">
        <v>184</v>
      </c>
      <c r="O79" s="457">
        <v>182</v>
      </c>
      <c r="P79" s="457">
        <v>139</v>
      </c>
      <c r="Q79" s="457">
        <v>166</v>
      </c>
      <c r="R79" s="457">
        <v>207</v>
      </c>
      <c r="T79" s="457">
        <v>2630</v>
      </c>
      <c r="V79" s="457">
        <f t="shared" si="1"/>
        <v>2630</v>
      </c>
    </row>
    <row r="80" spans="1:22">
      <c r="A80" s="457" t="s">
        <v>347</v>
      </c>
      <c r="B80" s="457" t="s">
        <v>1231</v>
      </c>
      <c r="C80" s="457" t="s">
        <v>209</v>
      </c>
      <c r="E80" s="457">
        <v>169</v>
      </c>
      <c r="F80" s="457">
        <v>143</v>
      </c>
      <c r="G80" s="457">
        <v>201</v>
      </c>
      <c r="H80" s="457">
        <v>224</v>
      </c>
      <c r="I80" s="457">
        <v>248</v>
      </c>
      <c r="J80" s="457">
        <v>250</v>
      </c>
      <c r="K80" s="457">
        <v>249</v>
      </c>
      <c r="L80" s="457">
        <v>217</v>
      </c>
      <c r="M80" s="457">
        <v>255</v>
      </c>
      <c r="N80" s="457">
        <v>283</v>
      </c>
      <c r="O80" s="457">
        <v>230</v>
      </c>
      <c r="P80" s="457">
        <v>256</v>
      </c>
      <c r="Q80" s="457">
        <v>247</v>
      </c>
      <c r="R80" s="457">
        <v>295</v>
      </c>
      <c r="T80" s="457">
        <v>3267</v>
      </c>
      <c r="V80" s="457">
        <f t="shared" si="1"/>
        <v>3267</v>
      </c>
    </row>
    <row r="81" spans="1:22">
      <c r="A81" s="457" t="s">
        <v>349</v>
      </c>
      <c r="B81" s="457" t="s">
        <v>1251</v>
      </c>
      <c r="C81" s="457" t="s">
        <v>193</v>
      </c>
      <c r="H81" s="457">
        <v>1</v>
      </c>
      <c r="I81" s="457">
        <v>1</v>
      </c>
      <c r="T81" s="457">
        <v>2</v>
      </c>
      <c r="V81" s="457">
        <f t="shared" si="1"/>
        <v>2</v>
      </c>
    </row>
    <row r="82" spans="1:22">
      <c r="A82" s="457" t="s">
        <v>351</v>
      </c>
      <c r="B82" s="457" t="s">
        <v>912</v>
      </c>
      <c r="C82" s="457" t="s">
        <v>204</v>
      </c>
      <c r="E82" s="457">
        <v>230</v>
      </c>
      <c r="F82" s="457">
        <v>168</v>
      </c>
      <c r="G82" s="457">
        <v>217</v>
      </c>
      <c r="H82" s="457">
        <v>185</v>
      </c>
      <c r="I82" s="457">
        <v>171</v>
      </c>
      <c r="J82" s="457">
        <v>215</v>
      </c>
      <c r="K82" s="457">
        <v>207</v>
      </c>
      <c r="L82" s="457">
        <v>201</v>
      </c>
      <c r="M82" s="457">
        <v>204</v>
      </c>
      <c r="N82" s="457">
        <v>220</v>
      </c>
      <c r="O82" s="457">
        <v>221</v>
      </c>
      <c r="P82" s="457">
        <v>193</v>
      </c>
      <c r="Q82" s="457">
        <v>209</v>
      </c>
      <c r="R82" s="457">
        <v>238</v>
      </c>
      <c r="T82" s="457">
        <v>2879</v>
      </c>
      <c r="V82" s="457">
        <f t="shared" si="1"/>
        <v>2879</v>
      </c>
    </row>
    <row r="83" spans="1:22">
      <c r="A83" s="457" t="s">
        <v>353</v>
      </c>
      <c r="B83" s="457" t="s">
        <v>913</v>
      </c>
      <c r="C83" s="457" t="s">
        <v>196</v>
      </c>
      <c r="E83" s="457">
        <v>32</v>
      </c>
      <c r="F83" s="457">
        <v>53</v>
      </c>
      <c r="G83" s="457">
        <v>50</v>
      </c>
      <c r="H83" s="457">
        <v>49</v>
      </c>
      <c r="I83" s="457">
        <v>44</v>
      </c>
      <c r="J83" s="457">
        <v>50</v>
      </c>
      <c r="K83" s="457">
        <v>55</v>
      </c>
      <c r="L83" s="457">
        <v>56</v>
      </c>
      <c r="M83" s="457">
        <v>47</v>
      </c>
      <c r="N83" s="457">
        <v>57</v>
      </c>
      <c r="O83" s="457">
        <v>40</v>
      </c>
      <c r="P83" s="457">
        <v>51</v>
      </c>
      <c r="Q83" s="457">
        <v>31</v>
      </c>
      <c r="R83" s="457">
        <v>69</v>
      </c>
      <c r="T83" s="457">
        <v>684</v>
      </c>
      <c r="V83" s="457">
        <f t="shared" si="1"/>
        <v>684</v>
      </c>
    </row>
    <row r="84" spans="1:22">
      <c r="A84" s="457" t="s">
        <v>355</v>
      </c>
      <c r="B84" s="457" t="s">
        <v>914</v>
      </c>
      <c r="C84" s="457" t="s">
        <v>204</v>
      </c>
      <c r="E84" s="457">
        <v>33</v>
      </c>
      <c r="F84" s="457">
        <v>26</v>
      </c>
      <c r="G84" s="457">
        <v>32</v>
      </c>
      <c r="H84" s="457">
        <v>25</v>
      </c>
      <c r="I84" s="457">
        <v>44</v>
      </c>
      <c r="J84" s="457">
        <v>30</v>
      </c>
      <c r="K84" s="457">
        <v>25</v>
      </c>
      <c r="L84" s="457">
        <v>36</v>
      </c>
      <c r="M84" s="457">
        <v>27</v>
      </c>
      <c r="N84" s="457">
        <v>36</v>
      </c>
      <c r="O84" s="457">
        <v>33</v>
      </c>
      <c r="P84" s="457">
        <v>40</v>
      </c>
      <c r="Q84" s="457">
        <v>27</v>
      </c>
      <c r="R84" s="457">
        <v>24</v>
      </c>
      <c r="T84" s="457">
        <v>438</v>
      </c>
      <c r="V84" s="457">
        <f t="shared" si="1"/>
        <v>438</v>
      </c>
    </row>
    <row r="85" spans="1:22">
      <c r="A85" s="457" t="s">
        <v>357</v>
      </c>
      <c r="B85" s="457" t="s">
        <v>915</v>
      </c>
      <c r="C85" s="457" t="s">
        <v>201</v>
      </c>
      <c r="E85" s="457">
        <v>4</v>
      </c>
      <c r="F85" s="457">
        <v>10</v>
      </c>
      <c r="G85" s="457">
        <v>5</v>
      </c>
      <c r="H85" s="457">
        <v>7</v>
      </c>
      <c r="I85" s="457">
        <v>5</v>
      </c>
      <c r="J85" s="457">
        <v>7</v>
      </c>
      <c r="K85" s="457">
        <v>6</v>
      </c>
      <c r="L85" s="457">
        <v>11</v>
      </c>
      <c r="M85" s="457">
        <v>7</v>
      </c>
      <c r="N85" s="457">
        <v>7</v>
      </c>
      <c r="O85" s="457">
        <v>13</v>
      </c>
      <c r="P85" s="457">
        <v>10</v>
      </c>
      <c r="Q85" s="457">
        <v>9</v>
      </c>
      <c r="R85" s="457">
        <v>14</v>
      </c>
      <c r="T85" s="457">
        <v>115</v>
      </c>
      <c r="V85" s="457">
        <f t="shared" si="1"/>
        <v>115</v>
      </c>
    </row>
    <row r="86" spans="1:22">
      <c r="A86" s="457" t="s">
        <v>359</v>
      </c>
      <c r="B86" s="457" t="s">
        <v>916</v>
      </c>
      <c r="C86" s="457" t="s">
        <v>204</v>
      </c>
      <c r="E86" s="457">
        <v>76</v>
      </c>
      <c r="F86" s="457">
        <v>56</v>
      </c>
      <c r="G86" s="457">
        <v>69</v>
      </c>
      <c r="H86" s="457">
        <v>76</v>
      </c>
      <c r="I86" s="457">
        <v>80</v>
      </c>
      <c r="J86" s="457">
        <v>88</v>
      </c>
      <c r="K86" s="457">
        <v>73</v>
      </c>
      <c r="L86" s="457">
        <v>74</v>
      </c>
      <c r="M86" s="457">
        <v>75</v>
      </c>
      <c r="N86" s="457">
        <v>79</v>
      </c>
      <c r="O86" s="457">
        <v>66</v>
      </c>
      <c r="P86" s="457">
        <v>71</v>
      </c>
      <c r="Q86" s="457">
        <v>77</v>
      </c>
      <c r="R86" s="457">
        <v>67</v>
      </c>
      <c r="T86" s="457">
        <v>1027</v>
      </c>
      <c r="V86" s="457">
        <f t="shared" si="1"/>
        <v>1027</v>
      </c>
    </row>
    <row r="87" spans="1:22">
      <c r="A87" s="457" t="s">
        <v>365</v>
      </c>
      <c r="B87" s="457" t="s">
        <v>919</v>
      </c>
      <c r="C87" s="457" t="s">
        <v>209</v>
      </c>
      <c r="D87" s="457" t="s">
        <v>818</v>
      </c>
      <c r="G87" s="457">
        <v>1</v>
      </c>
      <c r="J87" s="457">
        <v>1</v>
      </c>
      <c r="L87" s="457">
        <v>1</v>
      </c>
      <c r="M87" s="457">
        <v>1</v>
      </c>
      <c r="O87" s="457">
        <v>1</v>
      </c>
      <c r="P87" s="457">
        <v>5</v>
      </c>
      <c r="R87" s="457">
        <v>1</v>
      </c>
      <c r="T87" s="457">
        <v>11</v>
      </c>
      <c r="V87" s="457">
        <f t="shared" si="1"/>
        <v>11</v>
      </c>
    </row>
    <row r="88" spans="1:22">
      <c r="A88" s="457" t="s">
        <v>367</v>
      </c>
      <c r="B88" s="457" t="s">
        <v>920</v>
      </c>
      <c r="C88" s="457" t="s">
        <v>220</v>
      </c>
      <c r="D88" s="457" t="s">
        <v>818</v>
      </c>
      <c r="E88" s="457">
        <v>6</v>
      </c>
      <c r="F88" s="457">
        <v>9</v>
      </c>
      <c r="G88" s="457">
        <v>12</v>
      </c>
      <c r="H88" s="457">
        <v>20</v>
      </c>
      <c r="I88" s="457">
        <v>18</v>
      </c>
      <c r="J88" s="457">
        <v>19</v>
      </c>
      <c r="K88" s="457">
        <v>22</v>
      </c>
      <c r="L88" s="457">
        <v>38</v>
      </c>
      <c r="M88" s="457">
        <v>25</v>
      </c>
      <c r="N88" s="457">
        <v>51</v>
      </c>
      <c r="O88" s="457">
        <v>55</v>
      </c>
      <c r="P88" s="457">
        <v>59</v>
      </c>
      <c r="Q88" s="457">
        <v>53</v>
      </c>
      <c r="R88" s="457">
        <v>33</v>
      </c>
      <c r="T88" s="457">
        <v>420</v>
      </c>
      <c r="V88" s="457">
        <f t="shared" si="1"/>
        <v>420</v>
      </c>
    </row>
    <row r="89" spans="1:22">
      <c r="A89" s="457" t="s">
        <v>361</v>
      </c>
      <c r="B89" s="457" t="s">
        <v>917</v>
      </c>
      <c r="C89" s="457" t="s">
        <v>193</v>
      </c>
      <c r="F89" s="457">
        <v>5</v>
      </c>
      <c r="G89" s="457">
        <v>6</v>
      </c>
      <c r="H89" s="457">
        <v>6</v>
      </c>
      <c r="I89" s="457">
        <v>5</v>
      </c>
      <c r="J89" s="457">
        <v>11</v>
      </c>
      <c r="K89" s="457">
        <v>17</v>
      </c>
      <c r="L89" s="457">
        <v>7</v>
      </c>
      <c r="M89" s="457">
        <v>9</v>
      </c>
      <c r="N89" s="457">
        <v>9</v>
      </c>
      <c r="O89" s="457">
        <v>7</v>
      </c>
      <c r="P89" s="457">
        <v>11</v>
      </c>
      <c r="Q89" s="457">
        <v>8</v>
      </c>
      <c r="R89" s="457">
        <v>10</v>
      </c>
      <c r="T89" s="457">
        <v>111</v>
      </c>
      <c r="V89" s="457">
        <f t="shared" si="1"/>
        <v>111</v>
      </c>
    </row>
    <row r="90" spans="1:22">
      <c r="A90" s="457" t="s">
        <v>363</v>
      </c>
      <c r="B90" s="457" t="s">
        <v>918</v>
      </c>
      <c r="C90" s="457" t="s">
        <v>193</v>
      </c>
      <c r="F90" s="457">
        <v>1</v>
      </c>
      <c r="G90" s="457">
        <v>1</v>
      </c>
      <c r="H90" s="457">
        <v>2</v>
      </c>
      <c r="I90" s="457">
        <v>4</v>
      </c>
      <c r="J90" s="457">
        <v>1</v>
      </c>
      <c r="K90" s="457">
        <v>2</v>
      </c>
      <c r="L90" s="457">
        <v>2</v>
      </c>
      <c r="P90" s="457">
        <v>2</v>
      </c>
      <c r="T90" s="457">
        <v>15</v>
      </c>
      <c r="V90" s="457">
        <f t="shared" si="1"/>
        <v>15</v>
      </c>
    </row>
    <row r="91" spans="1:22">
      <c r="A91" s="457" t="s">
        <v>369</v>
      </c>
      <c r="B91" s="457" t="s">
        <v>921</v>
      </c>
      <c r="C91" s="457" t="s">
        <v>230</v>
      </c>
      <c r="E91" s="457">
        <v>5</v>
      </c>
      <c r="F91" s="457">
        <v>2</v>
      </c>
      <c r="G91" s="457">
        <v>5</v>
      </c>
      <c r="H91" s="457">
        <v>8</v>
      </c>
      <c r="I91" s="457">
        <v>5</v>
      </c>
      <c r="J91" s="457">
        <v>11</v>
      </c>
      <c r="K91" s="457">
        <v>6</v>
      </c>
      <c r="L91" s="457">
        <v>10</v>
      </c>
      <c r="M91" s="457">
        <v>3</v>
      </c>
      <c r="N91" s="457">
        <v>8</v>
      </c>
      <c r="O91" s="457">
        <v>12</v>
      </c>
      <c r="P91" s="457">
        <v>13</v>
      </c>
      <c r="Q91" s="457">
        <v>11</v>
      </c>
      <c r="R91" s="457">
        <v>7</v>
      </c>
      <c r="T91" s="457">
        <v>106</v>
      </c>
      <c r="V91" s="457">
        <f t="shared" si="1"/>
        <v>106</v>
      </c>
    </row>
    <row r="92" spans="1:22">
      <c r="A92" s="457" t="s">
        <v>371</v>
      </c>
      <c r="B92" s="457" t="s">
        <v>922</v>
      </c>
      <c r="C92" s="457" t="s">
        <v>220</v>
      </c>
      <c r="E92" s="457">
        <v>13</v>
      </c>
      <c r="F92" s="457">
        <v>25</v>
      </c>
      <c r="G92" s="457">
        <v>26</v>
      </c>
      <c r="H92" s="457">
        <v>42</v>
      </c>
      <c r="I92" s="457">
        <v>42</v>
      </c>
      <c r="J92" s="457">
        <v>34</v>
      </c>
      <c r="K92" s="457">
        <v>43</v>
      </c>
      <c r="L92" s="457">
        <v>57</v>
      </c>
      <c r="M92" s="457">
        <v>51</v>
      </c>
      <c r="N92" s="457">
        <v>44</v>
      </c>
      <c r="O92" s="457">
        <v>40</v>
      </c>
      <c r="P92" s="457">
        <v>44</v>
      </c>
      <c r="Q92" s="457">
        <v>42</v>
      </c>
      <c r="R92" s="457">
        <v>43</v>
      </c>
      <c r="T92" s="457">
        <v>546</v>
      </c>
      <c r="V92" s="457">
        <f t="shared" si="1"/>
        <v>546</v>
      </c>
    </row>
    <row r="93" spans="1:22">
      <c r="A93" s="457" t="s">
        <v>373</v>
      </c>
      <c r="B93" s="457" t="s">
        <v>923</v>
      </c>
      <c r="C93" s="457" t="s">
        <v>220</v>
      </c>
      <c r="E93" s="457">
        <v>24</v>
      </c>
      <c r="F93" s="457">
        <v>11</v>
      </c>
      <c r="G93" s="457">
        <v>5</v>
      </c>
      <c r="H93" s="457">
        <v>15</v>
      </c>
      <c r="I93" s="457">
        <v>22</v>
      </c>
      <c r="J93" s="457">
        <v>9</v>
      </c>
      <c r="K93" s="457">
        <v>10</v>
      </c>
      <c r="L93" s="457">
        <v>25</v>
      </c>
      <c r="M93" s="457">
        <v>13</v>
      </c>
      <c r="N93" s="457">
        <v>13</v>
      </c>
      <c r="O93" s="457">
        <v>21</v>
      </c>
      <c r="P93" s="457">
        <v>12</v>
      </c>
      <c r="Q93" s="457">
        <v>16</v>
      </c>
      <c r="R93" s="457">
        <v>18</v>
      </c>
      <c r="T93" s="457">
        <v>214</v>
      </c>
      <c r="V93" s="457">
        <f t="shared" si="1"/>
        <v>214</v>
      </c>
    </row>
    <row r="94" spans="1:22">
      <c r="A94" s="457" t="s">
        <v>375</v>
      </c>
      <c r="B94" s="457" t="s">
        <v>924</v>
      </c>
      <c r="C94" s="457" t="s">
        <v>196</v>
      </c>
      <c r="E94" s="457">
        <v>40</v>
      </c>
      <c r="F94" s="457">
        <v>21</v>
      </c>
      <c r="G94" s="457">
        <v>31</v>
      </c>
      <c r="H94" s="457">
        <v>27</v>
      </c>
      <c r="I94" s="457">
        <v>31</v>
      </c>
      <c r="J94" s="457">
        <v>34</v>
      </c>
      <c r="K94" s="457">
        <v>19</v>
      </c>
      <c r="L94" s="457">
        <v>26</v>
      </c>
      <c r="M94" s="457">
        <v>33</v>
      </c>
      <c r="N94" s="457">
        <v>21</v>
      </c>
      <c r="O94" s="457">
        <v>24</v>
      </c>
      <c r="P94" s="457">
        <v>19</v>
      </c>
      <c r="Q94" s="457">
        <v>33</v>
      </c>
      <c r="R94" s="457">
        <v>49</v>
      </c>
      <c r="T94" s="457">
        <v>408</v>
      </c>
      <c r="V94" s="457">
        <f t="shared" si="1"/>
        <v>408</v>
      </c>
    </row>
    <row r="95" spans="1:22">
      <c r="A95" s="457" t="s">
        <v>377</v>
      </c>
      <c r="B95" s="457" t="s">
        <v>1139</v>
      </c>
      <c r="C95" s="457" t="s">
        <v>188</v>
      </c>
      <c r="F95" s="457">
        <v>4</v>
      </c>
      <c r="G95" s="457">
        <v>2</v>
      </c>
      <c r="H95" s="457">
        <v>6</v>
      </c>
      <c r="I95" s="457">
        <v>6</v>
      </c>
      <c r="J95" s="457">
        <v>1</v>
      </c>
      <c r="K95" s="457">
        <v>4</v>
      </c>
      <c r="L95" s="457">
        <v>3</v>
      </c>
      <c r="M95" s="457">
        <v>2</v>
      </c>
      <c r="N95" s="457">
        <v>2</v>
      </c>
      <c r="T95" s="457">
        <v>30</v>
      </c>
      <c r="V95" s="457">
        <f t="shared" si="1"/>
        <v>30</v>
      </c>
    </row>
    <row r="96" spans="1:22">
      <c r="A96" s="457" t="s">
        <v>383</v>
      </c>
      <c r="B96" s="457" t="s">
        <v>926</v>
      </c>
      <c r="C96" s="457" t="s">
        <v>209</v>
      </c>
      <c r="D96" s="457" t="s">
        <v>818</v>
      </c>
      <c r="F96" s="457">
        <v>1</v>
      </c>
      <c r="G96" s="457">
        <v>2</v>
      </c>
      <c r="H96" s="457">
        <v>2</v>
      </c>
      <c r="I96" s="457">
        <v>3</v>
      </c>
      <c r="J96" s="457">
        <v>1</v>
      </c>
      <c r="K96" s="457">
        <v>2</v>
      </c>
      <c r="L96" s="457">
        <v>3</v>
      </c>
      <c r="M96" s="457">
        <v>1</v>
      </c>
      <c r="N96" s="457">
        <v>5</v>
      </c>
      <c r="T96" s="457">
        <v>20</v>
      </c>
      <c r="V96" s="457">
        <f t="shared" si="1"/>
        <v>20</v>
      </c>
    </row>
    <row r="97" spans="1:22">
      <c r="A97" s="457" t="s">
        <v>379</v>
      </c>
      <c r="B97" s="457" t="s">
        <v>925</v>
      </c>
      <c r="C97" s="457" t="s">
        <v>193</v>
      </c>
      <c r="H97" s="457">
        <v>1</v>
      </c>
      <c r="I97" s="457">
        <v>1</v>
      </c>
      <c r="J97" s="457">
        <v>1</v>
      </c>
      <c r="K97" s="457">
        <v>2</v>
      </c>
      <c r="T97" s="457">
        <v>5</v>
      </c>
      <c r="V97" s="457">
        <f t="shared" si="1"/>
        <v>5</v>
      </c>
    </row>
    <row r="98" spans="1:22">
      <c r="A98" s="457" t="s">
        <v>385</v>
      </c>
      <c r="B98" s="457" t="s">
        <v>927</v>
      </c>
      <c r="C98" s="457" t="s">
        <v>188</v>
      </c>
      <c r="E98" s="457">
        <v>1</v>
      </c>
      <c r="F98" s="457">
        <v>18</v>
      </c>
      <c r="G98" s="457">
        <v>14</v>
      </c>
      <c r="H98" s="457">
        <v>12</v>
      </c>
      <c r="I98" s="457">
        <v>8</v>
      </c>
      <c r="J98" s="457">
        <v>11</v>
      </c>
      <c r="K98" s="457">
        <v>10</v>
      </c>
      <c r="L98" s="457">
        <v>4</v>
      </c>
      <c r="M98" s="457">
        <v>5</v>
      </c>
      <c r="N98" s="457">
        <v>6</v>
      </c>
      <c r="T98" s="457">
        <v>89</v>
      </c>
      <c r="V98" s="457">
        <f t="shared" si="1"/>
        <v>89</v>
      </c>
    </row>
    <row r="99" spans="1:22">
      <c r="A99" s="457" t="s">
        <v>387</v>
      </c>
      <c r="B99" s="457" t="s">
        <v>928</v>
      </c>
      <c r="C99" s="457" t="s">
        <v>193</v>
      </c>
      <c r="F99" s="457">
        <v>2</v>
      </c>
      <c r="G99" s="457">
        <v>3</v>
      </c>
      <c r="H99" s="457">
        <v>1</v>
      </c>
      <c r="I99" s="457">
        <v>2</v>
      </c>
      <c r="J99" s="457">
        <v>4</v>
      </c>
      <c r="K99" s="457">
        <v>1</v>
      </c>
      <c r="L99" s="457">
        <v>5</v>
      </c>
      <c r="M99" s="457">
        <v>1</v>
      </c>
      <c r="O99" s="457">
        <v>3</v>
      </c>
      <c r="Q99" s="457">
        <v>1</v>
      </c>
      <c r="R99" s="457">
        <v>3</v>
      </c>
      <c r="T99" s="457">
        <v>26</v>
      </c>
      <c r="V99" s="457">
        <f t="shared" si="1"/>
        <v>26</v>
      </c>
    </row>
    <row r="100" spans="1:22">
      <c r="A100" s="457" t="s">
        <v>389</v>
      </c>
      <c r="B100" s="457" t="s">
        <v>929</v>
      </c>
      <c r="C100" s="457" t="s">
        <v>220</v>
      </c>
      <c r="E100" s="457">
        <v>10</v>
      </c>
      <c r="F100" s="457">
        <v>10</v>
      </c>
      <c r="G100" s="457">
        <v>9</v>
      </c>
      <c r="H100" s="457">
        <v>11</v>
      </c>
      <c r="I100" s="457">
        <v>7</v>
      </c>
      <c r="J100" s="457">
        <v>12</v>
      </c>
      <c r="K100" s="457">
        <v>7</v>
      </c>
      <c r="L100" s="457">
        <v>11</v>
      </c>
      <c r="M100" s="457">
        <v>18</v>
      </c>
      <c r="N100" s="457">
        <v>6</v>
      </c>
      <c r="O100" s="457">
        <v>13</v>
      </c>
      <c r="P100" s="457">
        <v>11</v>
      </c>
      <c r="Q100" s="457">
        <v>7</v>
      </c>
      <c r="R100" s="457">
        <v>12</v>
      </c>
      <c r="T100" s="457">
        <v>144</v>
      </c>
      <c r="V100" s="457">
        <f t="shared" si="1"/>
        <v>144</v>
      </c>
    </row>
    <row r="101" spans="1:22">
      <c r="A101" s="457" t="s">
        <v>391</v>
      </c>
      <c r="B101" s="457" t="s">
        <v>930</v>
      </c>
      <c r="C101" s="457" t="s">
        <v>204</v>
      </c>
      <c r="E101" s="457">
        <v>183</v>
      </c>
      <c r="F101" s="457">
        <v>129</v>
      </c>
      <c r="G101" s="457">
        <v>168</v>
      </c>
      <c r="H101" s="457">
        <v>180</v>
      </c>
      <c r="I101" s="457">
        <v>200</v>
      </c>
      <c r="J101" s="457">
        <v>208</v>
      </c>
      <c r="K101" s="457">
        <v>214</v>
      </c>
      <c r="L101" s="457">
        <v>204</v>
      </c>
      <c r="M101" s="457">
        <v>156</v>
      </c>
      <c r="N101" s="457">
        <v>209</v>
      </c>
      <c r="O101" s="457">
        <v>183</v>
      </c>
      <c r="P101" s="457">
        <v>199</v>
      </c>
      <c r="Q101" s="457">
        <v>154</v>
      </c>
      <c r="R101" s="457">
        <v>289</v>
      </c>
      <c r="T101" s="457">
        <v>2676</v>
      </c>
      <c r="V101" s="457">
        <f t="shared" si="1"/>
        <v>2676</v>
      </c>
    </row>
    <row r="102" spans="1:22">
      <c r="A102" s="457" t="s">
        <v>393</v>
      </c>
      <c r="B102" s="457" t="s">
        <v>931</v>
      </c>
      <c r="C102" s="457" t="s">
        <v>209</v>
      </c>
      <c r="F102" s="457">
        <v>19</v>
      </c>
      <c r="G102" s="457">
        <v>10</v>
      </c>
      <c r="H102" s="457">
        <v>13</v>
      </c>
      <c r="I102" s="457">
        <v>15</v>
      </c>
      <c r="J102" s="457">
        <v>25</v>
      </c>
      <c r="K102" s="457">
        <v>12</v>
      </c>
      <c r="L102" s="457">
        <v>13</v>
      </c>
      <c r="M102" s="457">
        <v>29</v>
      </c>
      <c r="N102" s="457">
        <v>18</v>
      </c>
      <c r="O102" s="457">
        <v>14</v>
      </c>
      <c r="P102" s="457">
        <v>9</v>
      </c>
      <c r="Q102" s="457">
        <v>10</v>
      </c>
      <c r="R102" s="457">
        <v>15</v>
      </c>
      <c r="T102" s="457">
        <v>202</v>
      </c>
      <c r="V102" s="457">
        <f t="shared" si="1"/>
        <v>202</v>
      </c>
    </row>
    <row r="103" spans="1:22">
      <c r="A103" s="457" t="s">
        <v>395</v>
      </c>
      <c r="B103" s="457" t="s">
        <v>932</v>
      </c>
      <c r="C103" s="457" t="s">
        <v>188</v>
      </c>
      <c r="E103" s="457">
        <v>2</v>
      </c>
      <c r="G103" s="457">
        <v>7</v>
      </c>
      <c r="H103" s="457">
        <v>2</v>
      </c>
      <c r="I103" s="457">
        <v>7</v>
      </c>
      <c r="J103" s="457">
        <v>6</v>
      </c>
      <c r="K103" s="457">
        <v>3</v>
      </c>
      <c r="L103" s="457">
        <v>5</v>
      </c>
      <c r="M103" s="457">
        <v>6</v>
      </c>
      <c r="N103" s="457">
        <v>5</v>
      </c>
      <c r="T103" s="457">
        <v>43</v>
      </c>
      <c r="V103" s="457">
        <f t="shared" si="1"/>
        <v>43</v>
      </c>
    </row>
    <row r="104" spans="1:22">
      <c r="A104" s="457" t="s">
        <v>397</v>
      </c>
      <c r="B104" s="457" t="s">
        <v>933</v>
      </c>
      <c r="C104" s="457" t="s">
        <v>188</v>
      </c>
      <c r="E104" s="457">
        <v>8</v>
      </c>
      <c r="F104" s="457">
        <v>11</v>
      </c>
      <c r="G104" s="457">
        <v>17</v>
      </c>
      <c r="H104" s="457">
        <v>13</v>
      </c>
      <c r="I104" s="457">
        <v>15</v>
      </c>
      <c r="J104" s="457">
        <v>15</v>
      </c>
      <c r="K104" s="457">
        <v>20</v>
      </c>
      <c r="L104" s="457">
        <v>24</v>
      </c>
      <c r="M104" s="457">
        <v>22</v>
      </c>
      <c r="N104" s="457">
        <v>24</v>
      </c>
      <c r="O104" s="457">
        <v>21</v>
      </c>
      <c r="P104" s="457">
        <v>29</v>
      </c>
      <c r="Q104" s="457">
        <v>17</v>
      </c>
      <c r="R104" s="457">
        <v>16</v>
      </c>
      <c r="T104" s="457">
        <v>252</v>
      </c>
      <c r="V104" s="457">
        <f t="shared" si="1"/>
        <v>252</v>
      </c>
    </row>
    <row r="105" spans="1:22">
      <c r="A105" s="457" t="s">
        <v>1160</v>
      </c>
      <c r="B105" s="457" t="s">
        <v>1273</v>
      </c>
      <c r="C105" s="457" t="s">
        <v>204</v>
      </c>
      <c r="F105" s="457">
        <v>9</v>
      </c>
      <c r="G105" s="457">
        <v>6</v>
      </c>
      <c r="H105" s="457">
        <v>7</v>
      </c>
      <c r="T105" s="457">
        <v>22</v>
      </c>
      <c r="V105" s="457">
        <f t="shared" si="1"/>
        <v>22</v>
      </c>
    </row>
    <row r="106" spans="1:22">
      <c r="A106" s="457" t="s">
        <v>399</v>
      </c>
      <c r="B106" s="457" t="s">
        <v>1274</v>
      </c>
      <c r="C106" s="457" t="s">
        <v>204</v>
      </c>
      <c r="F106" s="457">
        <v>4</v>
      </c>
      <c r="G106" s="457">
        <v>7</v>
      </c>
      <c r="H106" s="457">
        <v>6</v>
      </c>
      <c r="I106" s="457">
        <v>3</v>
      </c>
      <c r="J106" s="457">
        <v>5</v>
      </c>
      <c r="K106" s="457">
        <v>3</v>
      </c>
      <c r="T106" s="457">
        <v>28</v>
      </c>
      <c r="V106" s="457">
        <f t="shared" si="1"/>
        <v>28</v>
      </c>
    </row>
    <row r="107" spans="1:22">
      <c r="A107" s="457" t="s">
        <v>400</v>
      </c>
      <c r="B107" s="457" t="s">
        <v>1275</v>
      </c>
      <c r="C107" s="457" t="s">
        <v>204</v>
      </c>
      <c r="F107" s="457">
        <v>7</v>
      </c>
      <c r="G107" s="457">
        <v>1</v>
      </c>
      <c r="H107" s="457">
        <v>3</v>
      </c>
      <c r="I107" s="457">
        <v>3</v>
      </c>
      <c r="T107" s="457">
        <v>14</v>
      </c>
      <c r="V107" s="457">
        <f t="shared" si="1"/>
        <v>14</v>
      </c>
    </row>
    <row r="108" spans="1:22">
      <c r="A108" s="457" t="s">
        <v>408</v>
      </c>
      <c r="B108" s="457" t="s">
        <v>937</v>
      </c>
      <c r="C108" s="457" t="s">
        <v>201</v>
      </c>
      <c r="D108" s="457" t="s">
        <v>818</v>
      </c>
      <c r="G108" s="457">
        <v>1</v>
      </c>
      <c r="I108" s="457">
        <v>2</v>
      </c>
      <c r="J108" s="457">
        <v>1</v>
      </c>
      <c r="K108" s="457">
        <v>1</v>
      </c>
      <c r="L108" s="457">
        <v>2</v>
      </c>
      <c r="Q108" s="457">
        <v>1</v>
      </c>
      <c r="T108" s="457">
        <v>8</v>
      </c>
      <c r="V108" s="457">
        <f t="shared" si="1"/>
        <v>8</v>
      </c>
    </row>
    <row r="109" spans="1:22">
      <c r="A109" s="457" t="s">
        <v>410</v>
      </c>
      <c r="B109" s="457" t="s">
        <v>1278</v>
      </c>
      <c r="C109" s="457" t="s">
        <v>209</v>
      </c>
      <c r="D109" s="457" t="s">
        <v>818</v>
      </c>
      <c r="E109" s="457">
        <v>8</v>
      </c>
      <c r="F109" s="457">
        <v>19</v>
      </c>
      <c r="G109" s="457">
        <v>20</v>
      </c>
      <c r="H109" s="457">
        <v>9</v>
      </c>
      <c r="I109" s="457">
        <v>10</v>
      </c>
      <c r="J109" s="457">
        <v>18</v>
      </c>
      <c r="K109" s="457">
        <v>19</v>
      </c>
      <c r="L109" s="457">
        <v>15</v>
      </c>
      <c r="M109" s="457">
        <v>12</v>
      </c>
      <c r="N109" s="457">
        <v>15</v>
      </c>
      <c r="O109" s="457">
        <v>15</v>
      </c>
      <c r="P109" s="457">
        <v>16</v>
      </c>
      <c r="Q109" s="457">
        <v>4</v>
      </c>
      <c r="R109" s="457">
        <v>16</v>
      </c>
      <c r="T109" s="457">
        <v>196</v>
      </c>
      <c r="V109" s="457">
        <f t="shared" si="1"/>
        <v>196</v>
      </c>
    </row>
    <row r="110" spans="1:22">
      <c r="A110" s="457" t="s">
        <v>402</v>
      </c>
      <c r="B110" s="457" t="s">
        <v>934</v>
      </c>
      <c r="C110" s="457" t="s">
        <v>193</v>
      </c>
      <c r="F110" s="457">
        <v>4</v>
      </c>
      <c r="G110" s="457">
        <v>1</v>
      </c>
      <c r="H110" s="457">
        <v>2</v>
      </c>
      <c r="I110" s="457">
        <v>2</v>
      </c>
      <c r="J110" s="457">
        <v>1</v>
      </c>
      <c r="K110" s="457">
        <v>2</v>
      </c>
      <c r="L110" s="457">
        <v>3</v>
      </c>
      <c r="M110" s="457">
        <v>1</v>
      </c>
      <c r="N110" s="457">
        <v>2</v>
      </c>
      <c r="O110" s="457">
        <v>5</v>
      </c>
      <c r="P110" s="457">
        <v>2</v>
      </c>
      <c r="Q110" s="457">
        <v>1</v>
      </c>
      <c r="R110" s="457">
        <v>1</v>
      </c>
      <c r="T110" s="457">
        <v>27</v>
      </c>
      <c r="V110" s="457">
        <f t="shared" si="1"/>
        <v>27</v>
      </c>
    </row>
    <row r="111" spans="1:22">
      <c r="A111" s="457" t="s">
        <v>404</v>
      </c>
      <c r="B111" s="457" t="s">
        <v>935</v>
      </c>
      <c r="C111" s="457" t="s">
        <v>196</v>
      </c>
      <c r="H111" s="457">
        <v>1</v>
      </c>
      <c r="I111" s="457">
        <v>1</v>
      </c>
      <c r="J111" s="457">
        <v>2</v>
      </c>
      <c r="N111" s="457">
        <v>1</v>
      </c>
      <c r="T111" s="457">
        <v>5</v>
      </c>
      <c r="V111" s="457">
        <f t="shared" si="1"/>
        <v>5</v>
      </c>
    </row>
    <row r="112" spans="1:22">
      <c r="A112" s="457" t="s">
        <v>406</v>
      </c>
      <c r="B112" s="457" t="s">
        <v>936</v>
      </c>
      <c r="C112" s="457" t="s">
        <v>204</v>
      </c>
      <c r="E112" s="457">
        <v>123</v>
      </c>
      <c r="F112" s="457">
        <v>80</v>
      </c>
      <c r="G112" s="457">
        <v>108</v>
      </c>
      <c r="H112" s="457">
        <v>105</v>
      </c>
      <c r="I112" s="457">
        <v>118</v>
      </c>
      <c r="J112" s="457">
        <v>127</v>
      </c>
      <c r="K112" s="457">
        <v>132</v>
      </c>
      <c r="L112" s="457">
        <v>142</v>
      </c>
      <c r="M112" s="457">
        <v>147</v>
      </c>
      <c r="N112" s="457">
        <v>149</v>
      </c>
      <c r="O112" s="457">
        <v>125</v>
      </c>
      <c r="P112" s="457">
        <v>139</v>
      </c>
      <c r="Q112" s="457">
        <v>116</v>
      </c>
      <c r="R112" s="457">
        <v>156</v>
      </c>
      <c r="T112" s="457">
        <v>1767</v>
      </c>
      <c r="V112" s="457">
        <f t="shared" si="1"/>
        <v>1767</v>
      </c>
    </row>
    <row r="113" spans="1:22">
      <c r="A113" s="457" t="s">
        <v>412</v>
      </c>
      <c r="B113" s="457" t="s">
        <v>938</v>
      </c>
      <c r="C113" s="457" t="s">
        <v>193</v>
      </c>
      <c r="H113" s="457">
        <v>2</v>
      </c>
      <c r="I113" s="457">
        <v>2</v>
      </c>
      <c r="J113" s="457">
        <v>1</v>
      </c>
      <c r="T113" s="457">
        <v>5</v>
      </c>
      <c r="V113" s="457">
        <f t="shared" si="1"/>
        <v>5</v>
      </c>
    </row>
    <row r="114" spans="1:22">
      <c r="A114" s="457" t="s">
        <v>414</v>
      </c>
      <c r="B114" s="457" t="s">
        <v>939</v>
      </c>
      <c r="C114" s="457" t="s">
        <v>209</v>
      </c>
      <c r="E114" s="457">
        <v>55</v>
      </c>
      <c r="F114" s="457">
        <v>50</v>
      </c>
      <c r="G114" s="457">
        <v>47</v>
      </c>
      <c r="H114" s="457">
        <v>57</v>
      </c>
      <c r="I114" s="457">
        <v>51</v>
      </c>
      <c r="J114" s="457">
        <v>66</v>
      </c>
      <c r="K114" s="457">
        <v>60</v>
      </c>
      <c r="L114" s="457">
        <v>56</v>
      </c>
      <c r="M114" s="457">
        <v>73</v>
      </c>
      <c r="N114" s="457">
        <v>64</v>
      </c>
      <c r="O114" s="457">
        <v>69</v>
      </c>
      <c r="P114" s="457">
        <v>68</v>
      </c>
      <c r="Q114" s="457">
        <v>43</v>
      </c>
      <c r="R114" s="457">
        <v>47</v>
      </c>
      <c r="T114" s="457">
        <v>806</v>
      </c>
      <c r="V114" s="457">
        <f t="shared" si="1"/>
        <v>806</v>
      </c>
    </row>
    <row r="115" spans="1:22">
      <c r="A115" s="457" t="s">
        <v>416</v>
      </c>
      <c r="B115" s="457" t="s">
        <v>940</v>
      </c>
      <c r="C115" s="457" t="s">
        <v>201</v>
      </c>
      <c r="E115" s="457">
        <v>214</v>
      </c>
      <c r="F115" s="457">
        <v>169</v>
      </c>
      <c r="G115" s="457">
        <v>198</v>
      </c>
      <c r="H115" s="457">
        <v>227</v>
      </c>
      <c r="I115" s="457">
        <v>229</v>
      </c>
      <c r="J115" s="457">
        <v>200</v>
      </c>
      <c r="K115" s="457">
        <v>224</v>
      </c>
      <c r="L115" s="457">
        <v>170</v>
      </c>
      <c r="M115" s="457">
        <v>168</v>
      </c>
      <c r="N115" s="457">
        <v>163</v>
      </c>
      <c r="O115" s="457">
        <v>178</v>
      </c>
      <c r="P115" s="457">
        <v>159</v>
      </c>
      <c r="Q115" s="457">
        <v>133</v>
      </c>
      <c r="R115" s="457">
        <v>147</v>
      </c>
      <c r="T115" s="457">
        <v>2579</v>
      </c>
      <c r="V115" s="457">
        <f t="shared" si="1"/>
        <v>2579</v>
      </c>
    </row>
    <row r="116" spans="1:22">
      <c r="A116" s="457" t="s">
        <v>418</v>
      </c>
      <c r="B116" s="457" t="s">
        <v>941</v>
      </c>
      <c r="C116" s="457" t="s">
        <v>204</v>
      </c>
      <c r="E116" s="457">
        <v>233</v>
      </c>
      <c r="F116" s="457">
        <v>157</v>
      </c>
      <c r="G116" s="457">
        <v>204</v>
      </c>
      <c r="H116" s="457">
        <v>215</v>
      </c>
      <c r="I116" s="457">
        <v>218</v>
      </c>
      <c r="J116" s="457">
        <v>229</v>
      </c>
      <c r="K116" s="457">
        <v>252</v>
      </c>
      <c r="L116" s="457">
        <v>240</v>
      </c>
      <c r="M116" s="457">
        <v>219</v>
      </c>
      <c r="N116" s="457">
        <v>231</v>
      </c>
      <c r="O116" s="457">
        <v>225</v>
      </c>
      <c r="P116" s="457">
        <v>216</v>
      </c>
      <c r="Q116" s="457">
        <v>185</v>
      </c>
      <c r="R116" s="457">
        <v>290</v>
      </c>
      <c r="T116" s="457">
        <v>3114</v>
      </c>
      <c r="V116" s="457">
        <f t="shared" si="1"/>
        <v>3114</v>
      </c>
    </row>
    <row r="117" spans="1:22">
      <c r="A117" s="457" t="s">
        <v>426</v>
      </c>
      <c r="B117" s="457" t="s">
        <v>1140</v>
      </c>
      <c r="C117" s="457" t="s">
        <v>209</v>
      </c>
      <c r="D117" s="457" t="s">
        <v>818</v>
      </c>
      <c r="E117" s="457">
        <v>1</v>
      </c>
      <c r="F117" s="457">
        <v>2</v>
      </c>
      <c r="G117" s="457">
        <v>1</v>
      </c>
      <c r="H117" s="457">
        <v>3</v>
      </c>
      <c r="I117" s="457">
        <v>1</v>
      </c>
      <c r="J117" s="457">
        <v>2</v>
      </c>
      <c r="L117" s="457">
        <v>2</v>
      </c>
      <c r="O117" s="457">
        <v>2</v>
      </c>
      <c r="Q117" s="457">
        <v>1</v>
      </c>
      <c r="T117" s="457">
        <v>15</v>
      </c>
      <c r="V117" s="457">
        <f t="shared" si="1"/>
        <v>15</v>
      </c>
    </row>
    <row r="118" spans="1:22">
      <c r="A118" s="457" t="s">
        <v>420</v>
      </c>
      <c r="B118" s="457" t="s">
        <v>942</v>
      </c>
      <c r="C118" s="457" t="s">
        <v>193</v>
      </c>
      <c r="E118" s="457">
        <v>7</v>
      </c>
      <c r="F118" s="457">
        <v>12</v>
      </c>
      <c r="G118" s="457">
        <v>15</v>
      </c>
      <c r="H118" s="457">
        <v>8</v>
      </c>
      <c r="I118" s="457">
        <v>11</v>
      </c>
      <c r="J118" s="457">
        <v>10</v>
      </c>
      <c r="K118" s="457">
        <v>3</v>
      </c>
      <c r="L118" s="457">
        <v>6</v>
      </c>
      <c r="M118" s="457">
        <v>7</v>
      </c>
      <c r="N118" s="457">
        <v>14</v>
      </c>
      <c r="O118" s="457">
        <v>15</v>
      </c>
      <c r="P118" s="457">
        <v>18</v>
      </c>
      <c r="Q118" s="457">
        <v>11</v>
      </c>
      <c r="R118" s="457">
        <v>13</v>
      </c>
      <c r="T118" s="457">
        <v>150</v>
      </c>
      <c r="V118" s="457">
        <f t="shared" si="1"/>
        <v>150</v>
      </c>
    </row>
    <row r="119" spans="1:22">
      <c r="A119" s="457" t="s">
        <v>422</v>
      </c>
      <c r="B119" s="457" t="s">
        <v>1230</v>
      </c>
      <c r="C119" s="457" t="s">
        <v>201</v>
      </c>
      <c r="F119" s="457">
        <v>10</v>
      </c>
      <c r="G119" s="457">
        <v>10</v>
      </c>
      <c r="H119" s="457">
        <v>6</v>
      </c>
      <c r="I119" s="457">
        <v>12</v>
      </c>
      <c r="J119" s="457">
        <v>17</v>
      </c>
      <c r="K119" s="457">
        <v>11</v>
      </c>
      <c r="L119" s="457">
        <v>20</v>
      </c>
      <c r="M119" s="457">
        <v>10</v>
      </c>
      <c r="N119" s="457">
        <v>18</v>
      </c>
      <c r="O119" s="457">
        <v>15</v>
      </c>
      <c r="P119" s="457">
        <v>18</v>
      </c>
      <c r="Q119" s="457">
        <v>15</v>
      </c>
      <c r="R119" s="457">
        <v>9</v>
      </c>
      <c r="T119" s="457">
        <v>171</v>
      </c>
      <c r="V119" s="457">
        <f t="shared" si="1"/>
        <v>171</v>
      </c>
    </row>
    <row r="120" spans="1:22">
      <c r="A120" s="457" t="s">
        <v>424</v>
      </c>
      <c r="B120" s="457" t="s">
        <v>944</v>
      </c>
      <c r="C120" s="457" t="s">
        <v>220</v>
      </c>
      <c r="F120" s="457">
        <v>4</v>
      </c>
      <c r="G120" s="457">
        <v>7</v>
      </c>
      <c r="H120" s="457">
        <v>3</v>
      </c>
      <c r="I120" s="457">
        <v>5</v>
      </c>
      <c r="J120" s="457">
        <v>7</v>
      </c>
      <c r="K120" s="457">
        <v>12</v>
      </c>
      <c r="L120" s="457">
        <v>4</v>
      </c>
      <c r="M120" s="457">
        <v>3</v>
      </c>
      <c r="N120" s="457">
        <v>8</v>
      </c>
      <c r="O120" s="457">
        <v>2</v>
      </c>
      <c r="P120" s="457">
        <v>6</v>
      </c>
      <c r="Q120" s="457">
        <v>7</v>
      </c>
      <c r="R120" s="457">
        <v>9</v>
      </c>
      <c r="T120" s="457">
        <v>77</v>
      </c>
      <c r="V120" s="457">
        <f t="shared" si="1"/>
        <v>77</v>
      </c>
    </row>
    <row r="121" spans="1:22">
      <c r="A121" s="457" t="s">
        <v>428</v>
      </c>
      <c r="B121" s="457" t="s">
        <v>945</v>
      </c>
      <c r="C121" s="457" t="s">
        <v>209</v>
      </c>
      <c r="E121" s="457">
        <v>9</v>
      </c>
      <c r="F121" s="457">
        <v>19</v>
      </c>
      <c r="G121" s="457">
        <v>16</v>
      </c>
      <c r="H121" s="457">
        <v>17</v>
      </c>
      <c r="I121" s="457">
        <v>29</v>
      </c>
      <c r="J121" s="457">
        <v>30</v>
      </c>
      <c r="K121" s="457">
        <v>20</v>
      </c>
      <c r="L121" s="457">
        <v>19</v>
      </c>
      <c r="M121" s="457">
        <v>19</v>
      </c>
      <c r="N121" s="457">
        <v>14</v>
      </c>
      <c r="O121" s="457">
        <v>24</v>
      </c>
      <c r="P121" s="457">
        <v>16</v>
      </c>
      <c r="Q121" s="457">
        <v>17</v>
      </c>
      <c r="R121" s="457">
        <v>13</v>
      </c>
      <c r="T121" s="457">
        <v>262</v>
      </c>
      <c r="V121" s="457">
        <f t="shared" si="1"/>
        <v>262</v>
      </c>
    </row>
    <row r="122" spans="1:22">
      <c r="A122" s="457" t="s">
        <v>436</v>
      </c>
      <c r="B122" s="457" t="s">
        <v>1142</v>
      </c>
      <c r="C122" s="457" t="s">
        <v>188</v>
      </c>
      <c r="D122" s="457" t="s">
        <v>818</v>
      </c>
      <c r="E122" s="457">
        <v>2</v>
      </c>
      <c r="F122" s="457">
        <v>1</v>
      </c>
      <c r="G122" s="457">
        <v>1</v>
      </c>
      <c r="H122" s="457">
        <v>4</v>
      </c>
      <c r="I122" s="457">
        <v>1</v>
      </c>
      <c r="J122" s="457">
        <v>3</v>
      </c>
      <c r="K122" s="457">
        <v>4</v>
      </c>
      <c r="L122" s="457">
        <v>2</v>
      </c>
      <c r="M122" s="457">
        <v>4</v>
      </c>
      <c r="N122" s="457">
        <v>4</v>
      </c>
      <c r="P122" s="457">
        <v>3</v>
      </c>
      <c r="Q122" s="457">
        <v>2</v>
      </c>
      <c r="R122" s="457">
        <v>1</v>
      </c>
      <c r="T122" s="457">
        <v>32</v>
      </c>
      <c r="V122" s="457">
        <f t="shared" si="1"/>
        <v>32</v>
      </c>
    </row>
    <row r="123" spans="1:22">
      <c r="A123" s="457" t="s">
        <v>430</v>
      </c>
      <c r="B123" s="457" t="s">
        <v>946</v>
      </c>
      <c r="C123" s="457" t="s">
        <v>196</v>
      </c>
      <c r="E123" s="457">
        <v>1</v>
      </c>
      <c r="F123" s="457">
        <v>5</v>
      </c>
      <c r="G123" s="457">
        <v>5</v>
      </c>
      <c r="H123" s="457">
        <v>4</v>
      </c>
      <c r="I123" s="457">
        <v>6</v>
      </c>
      <c r="J123" s="457">
        <v>5</v>
      </c>
      <c r="K123" s="457">
        <v>10</v>
      </c>
      <c r="L123" s="457">
        <v>9</v>
      </c>
      <c r="M123" s="457">
        <v>4</v>
      </c>
      <c r="N123" s="457">
        <v>5</v>
      </c>
      <c r="O123" s="457">
        <v>11</v>
      </c>
      <c r="P123" s="457">
        <v>9</v>
      </c>
      <c r="Q123" s="457">
        <v>5</v>
      </c>
      <c r="R123" s="457">
        <v>11</v>
      </c>
      <c r="T123" s="457">
        <v>90</v>
      </c>
      <c r="V123" s="457">
        <f t="shared" si="1"/>
        <v>90</v>
      </c>
    </row>
    <row r="124" spans="1:22">
      <c r="A124" s="457" t="s">
        <v>432</v>
      </c>
      <c r="B124" s="457" t="s">
        <v>1141</v>
      </c>
      <c r="C124" s="457" t="s">
        <v>193</v>
      </c>
      <c r="F124" s="457">
        <v>2</v>
      </c>
      <c r="H124" s="457">
        <v>3</v>
      </c>
      <c r="I124" s="457">
        <v>3</v>
      </c>
      <c r="J124" s="457">
        <v>1</v>
      </c>
      <c r="K124" s="457">
        <v>1</v>
      </c>
      <c r="L124" s="457">
        <v>1</v>
      </c>
      <c r="N124" s="457">
        <v>1</v>
      </c>
      <c r="O124" s="457">
        <v>1</v>
      </c>
      <c r="P124" s="457">
        <v>2</v>
      </c>
      <c r="Q124" s="457">
        <v>1</v>
      </c>
      <c r="T124" s="457">
        <v>16</v>
      </c>
      <c r="V124" s="457">
        <f t="shared" si="1"/>
        <v>16</v>
      </c>
    </row>
    <row r="125" spans="1:22">
      <c r="A125" s="457" t="s">
        <v>434</v>
      </c>
      <c r="B125" s="457" t="s">
        <v>947</v>
      </c>
      <c r="C125" s="457" t="s">
        <v>230</v>
      </c>
      <c r="E125" s="457">
        <v>9</v>
      </c>
      <c r="F125" s="457">
        <v>8</v>
      </c>
      <c r="G125" s="457">
        <v>7</v>
      </c>
      <c r="H125" s="457">
        <v>5</v>
      </c>
      <c r="I125" s="457">
        <v>6</v>
      </c>
      <c r="J125" s="457">
        <v>9</v>
      </c>
      <c r="K125" s="457">
        <v>11</v>
      </c>
      <c r="L125" s="457">
        <v>9</v>
      </c>
      <c r="M125" s="457">
        <v>13</v>
      </c>
      <c r="N125" s="457">
        <v>12</v>
      </c>
      <c r="O125" s="457">
        <v>9</v>
      </c>
      <c r="P125" s="457">
        <v>11</v>
      </c>
      <c r="Q125" s="457">
        <v>13</v>
      </c>
      <c r="R125" s="457">
        <v>14</v>
      </c>
      <c r="T125" s="457">
        <v>136</v>
      </c>
      <c r="V125" s="457">
        <f t="shared" si="1"/>
        <v>136</v>
      </c>
    </row>
    <row r="126" spans="1:22">
      <c r="A126" s="457" t="s">
        <v>438</v>
      </c>
      <c r="B126" s="457" t="s">
        <v>948</v>
      </c>
      <c r="C126" s="457" t="s">
        <v>196</v>
      </c>
      <c r="E126" s="457">
        <v>163</v>
      </c>
      <c r="F126" s="457">
        <v>73</v>
      </c>
      <c r="G126" s="457">
        <v>110</v>
      </c>
      <c r="H126" s="457">
        <v>96</v>
      </c>
      <c r="I126" s="457">
        <v>93</v>
      </c>
      <c r="J126" s="457">
        <v>121</v>
      </c>
      <c r="K126" s="457">
        <v>118</v>
      </c>
      <c r="L126" s="457">
        <v>103</v>
      </c>
      <c r="M126" s="457">
        <v>113</v>
      </c>
      <c r="N126" s="457">
        <v>107</v>
      </c>
      <c r="O126" s="457">
        <v>96</v>
      </c>
      <c r="P126" s="457">
        <v>119</v>
      </c>
      <c r="Q126" s="457">
        <v>83</v>
      </c>
      <c r="R126" s="457">
        <v>108</v>
      </c>
      <c r="T126" s="457">
        <v>1503</v>
      </c>
      <c r="V126" s="457">
        <f t="shared" si="1"/>
        <v>1503</v>
      </c>
    </row>
    <row r="127" spans="1:22">
      <c r="A127" s="457" t="s">
        <v>440</v>
      </c>
      <c r="B127" s="457" t="s">
        <v>949</v>
      </c>
      <c r="C127" s="457" t="s">
        <v>204</v>
      </c>
      <c r="E127" s="457">
        <v>219</v>
      </c>
      <c r="F127" s="457">
        <v>154</v>
      </c>
      <c r="G127" s="457">
        <v>205</v>
      </c>
      <c r="H127" s="457">
        <v>198</v>
      </c>
      <c r="I127" s="457">
        <v>230</v>
      </c>
      <c r="J127" s="457">
        <v>235</v>
      </c>
      <c r="K127" s="457">
        <v>237</v>
      </c>
      <c r="L127" s="457">
        <v>207</v>
      </c>
      <c r="M127" s="457">
        <v>199</v>
      </c>
      <c r="N127" s="457">
        <v>191</v>
      </c>
      <c r="O127" s="457">
        <v>187</v>
      </c>
      <c r="P127" s="457">
        <v>178</v>
      </c>
      <c r="Q127" s="457">
        <v>183</v>
      </c>
      <c r="R127" s="457">
        <v>244</v>
      </c>
      <c r="T127" s="457">
        <v>2867</v>
      </c>
      <c r="V127" s="457">
        <f t="shared" si="1"/>
        <v>2867</v>
      </c>
    </row>
    <row r="128" spans="1:22">
      <c r="A128" s="457" t="s">
        <v>442</v>
      </c>
      <c r="B128" s="457" t="s">
        <v>950</v>
      </c>
      <c r="C128" s="457" t="s">
        <v>196</v>
      </c>
      <c r="E128" s="457">
        <v>36</v>
      </c>
      <c r="F128" s="457">
        <v>19</v>
      </c>
      <c r="G128" s="457">
        <v>26</v>
      </c>
      <c r="H128" s="457">
        <v>27</v>
      </c>
      <c r="I128" s="457">
        <v>39</v>
      </c>
      <c r="J128" s="457">
        <v>46</v>
      </c>
      <c r="K128" s="457">
        <v>33</v>
      </c>
      <c r="L128" s="457">
        <v>45</v>
      </c>
      <c r="M128" s="457">
        <v>39</v>
      </c>
      <c r="N128" s="457">
        <v>27</v>
      </c>
      <c r="O128" s="457">
        <v>39</v>
      </c>
      <c r="P128" s="457">
        <v>29</v>
      </c>
      <c r="Q128" s="457">
        <v>26</v>
      </c>
      <c r="R128" s="457">
        <v>30</v>
      </c>
      <c r="T128" s="457">
        <v>461</v>
      </c>
      <c r="V128" s="457">
        <f t="shared" si="1"/>
        <v>461</v>
      </c>
    </row>
    <row r="129" spans="1:22">
      <c r="A129" s="457" t="s">
        <v>444</v>
      </c>
      <c r="B129" s="457" t="s">
        <v>951</v>
      </c>
      <c r="C129" s="457" t="s">
        <v>193</v>
      </c>
      <c r="K129" s="457">
        <v>2</v>
      </c>
      <c r="L129" s="457">
        <v>3</v>
      </c>
      <c r="M129" s="457">
        <v>1</v>
      </c>
      <c r="N129" s="457">
        <v>1</v>
      </c>
      <c r="T129" s="457">
        <v>7</v>
      </c>
      <c r="V129" s="457">
        <f t="shared" si="1"/>
        <v>7</v>
      </c>
    </row>
    <row r="130" spans="1:22">
      <c r="A130" s="457" t="s">
        <v>446</v>
      </c>
      <c r="B130" s="457" t="s">
        <v>952</v>
      </c>
      <c r="C130" s="457" t="s">
        <v>193</v>
      </c>
      <c r="E130" s="457">
        <v>4</v>
      </c>
      <c r="F130" s="457">
        <v>1</v>
      </c>
      <c r="G130" s="457">
        <v>1</v>
      </c>
      <c r="H130" s="457">
        <v>6</v>
      </c>
      <c r="I130" s="457">
        <v>7</v>
      </c>
      <c r="J130" s="457">
        <v>6</v>
      </c>
      <c r="K130" s="457">
        <v>6</v>
      </c>
      <c r="L130" s="457">
        <v>5</v>
      </c>
      <c r="M130" s="457">
        <v>3</v>
      </c>
      <c r="N130" s="457">
        <v>5</v>
      </c>
      <c r="O130" s="457">
        <v>6</v>
      </c>
      <c r="P130" s="457">
        <v>5</v>
      </c>
      <c r="Q130" s="457">
        <v>8</v>
      </c>
      <c r="R130" s="457">
        <v>3</v>
      </c>
      <c r="T130" s="457">
        <v>66</v>
      </c>
      <c r="V130" s="457">
        <f t="shared" si="1"/>
        <v>66</v>
      </c>
    </row>
    <row r="131" spans="1:22">
      <c r="A131" s="457" t="s">
        <v>448</v>
      </c>
      <c r="B131" s="457" t="s">
        <v>953</v>
      </c>
      <c r="C131" s="457" t="s">
        <v>193</v>
      </c>
      <c r="F131" s="457">
        <v>3</v>
      </c>
      <c r="H131" s="457">
        <v>1</v>
      </c>
      <c r="I131" s="457">
        <v>3</v>
      </c>
      <c r="J131" s="457">
        <v>4</v>
      </c>
      <c r="K131" s="457">
        <v>6</v>
      </c>
      <c r="L131" s="457">
        <v>2</v>
      </c>
      <c r="M131" s="457">
        <v>2</v>
      </c>
      <c r="N131" s="457">
        <v>2</v>
      </c>
      <c r="O131" s="457">
        <v>2</v>
      </c>
      <c r="T131" s="457">
        <v>25</v>
      </c>
      <c r="V131" s="457">
        <f t="shared" si="1"/>
        <v>25</v>
      </c>
    </row>
    <row r="132" spans="1:22">
      <c r="A132" s="457" t="s">
        <v>450</v>
      </c>
      <c r="B132" s="457" t="s">
        <v>954</v>
      </c>
      <c r="C132" s="457" t="s">
        <v>209</v>
      </c>
      <c r="E132" s="457">
        <v>109</v>
      </c>
      <c r="F132" s="457">
        <v>69</v>
      </c>
      <c r="G132" s="457">
        <v>84</v>
      </c>
      <c r="H132" s="457">
        <v>92</v>
      </c>
      <c r="I132" s="457">
        <v>95</v>
      </c>
      <c r="J132" s="457">
        <v>98</v>
      </c>
      <c r="K132" s="457">
        <v>91</v>
      </c>
      <c r="L132" s="457">
        <v>88</v>
      </c>
      <c r="M132" s="457">
        <v>91</v>
      </c>
      <c r="N132" s="457">
        <v>90</v>
      </c>
      <c r="O132" s="457">
        <v>81</v>
      </c>
      <c r="P132" s="457">
        <v>64</v>
      </c>
      <c r="Q132" s="457">
        <v>64</v>
      </c>
      <c r="R132" s="457">
        <v>80</v>
      </c>
      <c r="T132" s="457">
        <v>1196</v>
      </c>
      <c r="V132" s="457">
        <f t="shared" ref="V132:V195" si="2">T132</f>
        <v>1196</v>
      </c>
    </row>
    <row r="133" spans="1:22">
      <c r="A133" s="457" t="s">
        <v>452</v>
      </c>
      <c r="B133" s="457" t="s">
        <v>955</v>
      </c>
      <c r="C133" s="457" t="s">
        <v>193</v>
      </c>
      <c r="F133" s="457">
        <v>1</v>
      </c>
      <c r="H133" s="457">
        <v>3</v>
      </c>
      <c r="I133" s="457">
        <v>1</v>
      </c>
      <c r="J133" s="457">
        <v>3</v>
      </c>
      <c r="K133" s="457">
        <v>3</v>
      </c>
      <c r="L133" s="457">
        <v>4</v>
      </c>
      <c r="T133" s="457">
        <v>15</v>
      </c>
      <c r="V133" s="457">
        <f t="shared" si="2"/>
        <v>15</v>
      </c>
    </row>
    <row r="134" spans="1:22">
      <c r="A134" s="457" t="s">
        <v>454</v>
      </c>
      <c r="B134" s="457" t="s">
        <v>1244</v>
      </c>
      <c r="C134" s="457" t="s">
        <v>196</v>
      </c>
      <c r="E134" s="457">
        <v>2</v>
      </c>
      <c r="F134" s="457">
        <v>3</v>
      </c>
      <c r="G134" s="457">
        <v>1</v>
      </c>
      <c r="H134" s="457">
        <v>3</v>
      </c>
      <c r="I134" s="457">
        <v>2</v>
      </c>
      <c r="J134" s="457">
        <v>7</v>
      </c>
      <c r="K134" s="457">
        <v>4</v>
      </c>
      <c r="L134" s="457">
        <v>4</v>
      </c>
      <c r="M134" s="457">
        <v>6</v>
      </c>
      <c r="N134" s="457">
        <v>5</v>
      </c>
      <c r="O134" s="457">
        <v>4</v>
      </c>
      <c r="P134" s="457">
        <v>1</v>
      </c>
      <c r="Q134" s="457">
        <v>7</v>
      </c>
      <c r="R134" s="457">
        <v>3</v>
      </c>
      <c r="T134" s="457">
        <v>52</v>
      </c>
      <c r="V134" s="457">
        <f t="shared" si="2"/>
        <v>52</v>
      </c>
    </row>
    <row r="135" spans="1:22">
      <c r="A135" s="457" t="s">
        <v>456</v>
      </c>
      <c r="B135" s="457" t="s">
        <v>1279</v>
      </c>
      <c r="C135" s="457" t="s">
        <v>193</v>
      </c>
      <c r="O135" s="457">
        <v>3</v>
      </c>
      <c r="Q135" s="457">
        <v>2</v>
      </c>
      <c r="R135" s="457">
        <v>4</v>
      </c>
      <c r="T135" s="457">
        <v>9</v>
      </c>
      <c r="V135" s="457">
        <f t="shared" si="2"/>
        <v>9</v>
      </c>
    </row>
    <row r="136" spans="1:22">
      <c r="A136" s="457" t="s">
        <v>457</v>
      </c>
      <c r="B136" s="457" t="s">
        <v>957</v>
      </c>
      <c r="C136" s="457" t="s">
        <v>209</v>
      </c>
      <c r="D136" s="457" t="s">
        <v>818</v>
      </c>
      <c r="F136" s="457">
        <v>3</v>
      </c>
      <c r="G136" s="457">
        <v>4</v>
      </c>
      <c r="H136" s="457">
        <v>2</v>
      </c>
      <c r="I136" s="457">
        <v>3</v>
      </c>
      <c r="J136" s="457">
        <v>5</v>
      </c>
      <c r="K136" s="457">
        <v>3</v>
      </c>
      <c r="L136" s="457">
        <v>4</v>
      </c>
      <c r="M136" s="457">
        <v>2</v>
      </c>
      <c r="N136" s="457">
        <v>3</v>
      </c>
      <c r="O136" s="457">
        <v>2</v>
      </c>
      <c r="P136" s="457">
        <v>3</v>
      </c>
      <c r="Q136" s="457">
        <v>3</v>
      </c>
      <c r="R136" s="457">
        <v>2</v>
      </c>
      <c r="T136" s="457">
        <v>39</v>
      </c>
      <c r="V136" s="457">
        <f t="shared" si="2"/>
        <v>39</v>
      </c>
    </row>
    <row r="137" spans="1:22">
      <c r="A137" s="457" t="s">
        <v>459</v>
      </c>
      <c r="B137" s="457" t="s">
        <v>958</v>
      </c>
      <c r="C137" s="457" t="s">
        <v>196</v>
      </c>
      <c r="E137" s="457">
        <v>50</v>
      </c>
      <c r="F137" s="457">
        <v>30</v>
      </c>
      <c r="G137" s="457">
        <v>46</v>
      </c>
      <c r="H137" s="457">
        <v>44</v>
      </c>
      <c r="I137" s="457">
        <v>43</v>
      </c>
      <c r="J137" s="457">
        <v>43</v>
      </c>
      <c r="K137" s="457">
        <v>42</v>
      </c>
      <c r="L137" s="457">
        <v>37</v>
      </c>
      <c r="M137" s="457">
        <v>32</v>
      </c>
      <c r="N137" s="457">
        <v>24</v>
      </c>
      <c r="O137" s="457">
        <v>37</v>
      </c>
      <c r="P137" s="457">
        <v>30</v>
      </c>
      <c r="Q137" s="457">
        <v>34</v>
      </c>
      <c r="R137" s="457">
        <v>29</v>
      </c>
      <c r="T137" s="457">
        <v>521</v>
      </c>
      <c r="V137" s="457">
        <f t="shared" si="2"/>
        <v>521</v>
      </c>
    </row>
    <row r="138" spans="1:22">
      <c r="A138" s="457" t="s">
        <v>461</v>
      </c>
      <c r="B138" s="457" t="s">
        <v>959</v>
      </c>
      <c r="C138" s="457" t="s">
        <v>220</v>
      </c>
      <c r="E138" s="457">
        <v>2</v>
      </c>
      <c r="F138" s="457">
        <v>5</v>
      </c>
      <c r="G138" s="457">
        <v>4</v>
      </c>
      <c r="H138" s="457">
        <v>7</v>
      </c>
      <c r="I138" s="457">
        <v>8</v>
      </c>
      <c r="J138" s="457">
        <v>1</v>
      </c>
      <c r="K138" s="457">
        <v>6</v>
      </c>
      <c r="L138" s="457">
        <v>9</v>
      </c>
      <c r="M138" s="457">
        <v>10</v>
      </c>
      <c r="N138" s="457">
        <v>7</v>
      </c>
      <c r="O138" s="457">
        <v>4</v>
      </c>
      <c r="P138" s="457">
        <v>7</v>
      </c>
      <c r="Q138" s="457">
        <v>5</v>
      </c>
      <c r="R138" s="457">
        <v>7</v>
      </c>
      <c r="T138" s="457">
        <v>82</v>
      </c>
      <c r="V138" s="457">
        <f t="shared" si="2"/>
        <v>82</v>
      </c>
    </row>
    <row r="139" spans="1:22">
      <c r="A139" s="457" t="s">
        <v>463</v>
      </c>
      <c r="B139" s="457" t="s">
        <v>960</v>
      </c>
      <c r="C139" s="457" t="s">
        <v>230</v>
      </c>
      <c r="F139" s="457">
        <v>1</v>
      </c>
      <c r="G139" s="457">
        <v>2</v>
      </c>
      <c r="H139" s="457">
        <v>2</v>
      </c>
      <c r="K139" s="457">
        <v>2</v>
      </c>
      <c r="M139" s="457">
        <v>1</v>
      </c>
      <c r="N139" s="457">
        <v>1</v>
      </c>
      <c r="R139" s="457">
        <v>1</v>
      </c>
      <c r="T139" s="457">
        <v>10</v>
      </c>
      <c r="V139" s="457">
        <f t="shared" si="2"/>
        <v>10</v>
      </c>
    </row>
    <row r="140" spans="1:22">
      <c r="A140" s="457" t="s">
        <v>465</v>
      </c>
      <c r="B140" s="457" t="s">
        <v>961</v>
      </c>
      <c r="C140" s="457" t="s">
        <v>230</v>
      </c>
      <c r="E140" s="457">
        <v>4</v>
      </c>
      <c r="F140" s="457">
        <v>5</v>
      </c>
      <c r="G140" s="457">
        <v>7</v>
      </c>
      <c r="H140" s="457">
        <v>5</v>
      </c>
      <c r="I140" s="457">
        <v>1</v>
      </c>
      <c r="J140" s="457">
        <v>5</v>
      </c>
      <c r="K140" s="457">
        <v>9</v>
      </c>
      <c r="L140" s="457">
        <v>7</v>
      </c>
      <c r="M140" s="457">
        <v>7</v>
      </c>
      <c r="N140" s="457">
        <v>5</v>
      </c>
      <c r="O140" s="457">
        <v>7</v>
      </c>
      <c r="P140" s="457">
        <v>8</v>
      </c>
      <c r="Q140" s="457">
        <v>4</v>
      </c>
      <c r="R140" s="457">
        <v>10</v>
      </c>
      <c r="T140" s="457">
        <v>84</v>
      </c>
      <c r="V140" s="457">
        <f t="shared" si="2"/>
        <v>84</v>
      </c>
    </row>
    <row r="141" spans="1:22">
      <c r="A141" s="457" t="s">
        <v>467</v>
      </c>
      <c r="B141" s="457" t="s">
        <v>1239</v>
      </c>
      <c r="C141" s="457" t="s">
        <v>188</v>
      </c>
      <c r="E141" s="457">
        <v>1</v>
      </c>
      <c r="F141" s="457">
        <v>4</v>
      </c>
      <c r="G141" s="457">
        <v>10</v>
      </c>
      <c r="H141" s="457">
        <v>15</v>
      </c>
      <c r="I141" s="457">
        <v>22</v>
      </c>
      <c r="J141" s="457">
        <v>16</v>
      </c>
      <c r="K141" s="457">
        <v>23</v>
      </c>
      <c r="L141" s="457">
        <v>21</v>
      </c>
      <c r="M141" s="457">
        <v>21</v>
      </c>
      <c r="N141" s="457">
        <v>26</v>
      </c>
      <c r="O141" s="457">
        <v>3</v>
      </c>
      <c r="P141" s="457">
        <v>1</v>
      </c>
      <c r="Q141" s="457">
        <v>3</v>
      </c>
      <c r="R141" s="457">
        <v>2</v>
      </c>
      <c r="T141" s="457">
        <v>168</v>
      </c>
      <c r="V141" s="457">
        <f t="shared" si="2"/>
        <v>168</v>
      </c>
    </row>
    <row r="142" spans="1:22">
      <c r="A142" s="457" t="s">
        <v>469</v>
      </c>
      <c r="B142" s="457" t="s">
        <v>963</v>
      </c>
      <c r="C142" s="457" t="s">
        <v>193</v>
      </c>
      <c r="E142" s="457">
        <v>3</v>
      </c>
      <c r="F142" s="457">
        <v>3</v>
      </c>
      <c r="G142" s="457">
        <v>4</v>
      </c>
      <c r="H142" s="457">
        <v>8</v>
      </c>
      <c r="I142" s="457">
        <v>3</v>
      </c>
      <c r="J142" s="457">
        <v>4</v>
      </c>
      <c r="K142" s="457">
        <v>6</v>
      </c>
      <c r="L142" s="457">
        <v>10</v>
      </c>
      <c r="M142" s="457">
        <v>2</v>
      </c>
      <c r="N142" s="457">
        <v>8</v>
      </c>
      <c r="O142" s="457">
        <v>4</v>
      </c>
      <c r="P142" s="457">
        <v>11</v>
      </c>
      <c r="Q142" s="457">
        <v>6</v>
      </c>
      <c r="R142" s="457">
        <v>8</v>
      </c>
      <c r="T142" s="457">
        <v>80</v>
      </c>
      <c r="V142" s="457">
        <f t="shared" si="2"/>
        <v>80</v>
      </c>
    </row>
    <row r="143" spans="1:22">
      <c r="A143" s="457" t="s">
        <v>471</v>
      </c>
      <c r="B143" s="457" t="s">
        <v>964</v>
      </c>
      <c r="C143" s="457" t="s">
        <v>196</v>
      </c>
      <c r="E143" s="457">
        <v>132</v>
      </c>
      <c r="F143" s="457">
        <v>102</v>
      </c>
      <c r="G143" s="457">
        <v>111</v>
      </c>
      <c r="H143" s="457">
        <v>122</v>
      </c>
      <c r="I143" s="457">
        <v>115</v>
      </c>
      <c r="J143" s="457">
        <v>125</v>
      </c>
      <c r="K143" s="457">
        <v>121</v>
      </c>
      <c r="L143" s="457">
        <v>110</v>
      </c>
      <c r="M143" s="457">
        <v>116</v>
      </c>
      <c r="N143" s="457">
        <v>100</v>
      </c>
      <c r="O143" s="457">
        <v>119</v>
      </c>
      <c r="P143" s="457">
        <v>140</v>
      </c>
      <c r="Q143" s="457">
        <v>101</v>
      </c>
      <c r="R143" s="457">
        <v>160</v>
      </c>
      <c r="T143" s="457">
        <v>1674</v>
      </c>
      <c r="V143" s="457">
        <f t="shared" si="2"/>
        <v>1674</v>
      </c>
    </row>
    <row r="144" spans="1:22">
      <c r="A144" s="457" t="s">
        <v>473</v>
      </c>
      <c r="B144" s="457" t="s">
        <v>1233</v>
      </c>
      <c r="C144" s="457" t="s">
        <v>188</v>
      </c>
      <c r="E144" s="457">
        <v>3</v>
      </c>
      <c r="F144" s="457">
        <v>4</v>
      </c>
      <c r="G144" s="457">
        <v>4</v>
      </c>
      <c r="H144" s="457">
        <v>6</v>
      </c>
      <c r="I144" s="457">
        <v>3</v>
      </c>
      <c r="J144" s="457">
        <v>7</v>
      </c>
      <c r="K144" s="457">
        <v>11</v>
      </c>
      <c r="L144" s="457">
        <v>5</v>
      </c>
      <c r="M144" s="457">
        <v>11</v>
      </c>
      <c r="N144" s="457">
        <v>6</v>
      </c>
      <c r="T144" s="457">
        <v>60</v>
      </c>
      <c r="V144" s="457">
        <f t="shared" si="2"/>
        <v>60</v>
      </c>
    </row>
    <row r="145" spans="1:22">
      <c r="A145" s="457" t="s">
        <v>475</v>
      </c>
      <c r="B145" s="457" t="s">
        <v>966</v>
      </c>
      <c r="C145" s="457" t="s">
        <v>193</v>
      </c>
      <c r="E145" s="457">
        <v>80</v>
      </c>
      <c r="F145" s="457">
        <v>75</v>
      </c>
      <c r="G145" s="457">
        <v>106</v>
      </c>
      <c r="H145" s="457">
        <v>118</v>
      </c>
      <c r="I145" s="457">
        <v>116</v>
      </c>
      <c r="J145" s="457">
        <v>141</v>
      </c>
      <c r="K145" s="457">
        <v>115</v>
      </c>
      <c r="L145" s="457">
        <v>124</v>
      </c>
      <c r="M145" s="457">
        <v>98</v>
      </c>
      <c r="N145" s="457">
        <v>114</v>
      </c>
      <c r="O145" s="457">
        <v>97</v>
      </c>
      <c r="P145" s="457">
        <v>100</v>
      </c>
      <c r="Q145" s="457">
        <v>98</v>
      </c>
      <c r="R145" s="457">
        <v>119</v>
      </c>
      <c r="T145" s="457">
        <v>1501</v>
      </c>
      <c r="V145" s="457">
        <f t="shared" si="2"/>
        <v>1501</v>
      </c>
    </row>
    <row r="146" spans="1:22">
      <c r="A146" s="457" t="s">
        <v>477</v>
      </c>
      <c r="B146" s="457" t="s">
        <v>967</v>
      </c>
      <c r="C146" s="457" t="s">
        <v>193</v>
      </c>
      <c r="E146" s="457">
        <v>16</v>
      </c>
      <c r="F146" s="457">
        <v>15</v>
      </c>
      <c r="G146" s="457">
        <v>19</v>
      </c>
      <c r="H146" s="457">
        <v>19</v>
      </c>
      <c r="I146" s="457">
        <v>20</v>
      </c>
      <c r="J146" s="457">
        <v>21</v>
      </c>
      <c r="K146" s="457">
        <v>21</v>
      </c>
      <c r="L146" s="457">
        <v>20</v>
      </c>
      <c r="M146" s="457">
        <v>19</v>
      </c>
      <c r="N146" s="457">
        <v>16</v>
      </c>
      <c r="O146" s="457">
        <v>9</v>
      </c>
      <c r="P146" s="457">
        <v>21</v>
      </c>
      <c r="Q146" s="457">
        <v>12</v>
      </c>
      <c r="R146" s="457">
        <v>22</v>
      </c>
      <c r="T146" s="457">
        <v>250</v>
      </c>
      <c r="V146" s="457">
        <f t="shared" si="2"/>
        <v>250</v>
      </c>
    </row>
    <row r="147" spans="1:22">
      <c r="A147" s="457" t="s">
        <v>479</v>
      </c>
      <c r="B147" s="457" t="s">
        <v>968</v>
      </c>
      <c r="C147" s="457" t="s">
        <v>204</v>
      </c>
      <c r="E147" s="457">
        <v>16</v>
      </c>
      <c r="F147" s="457">
        <v>18</v>
      </c>
      <c r="G147" s="457">
        <v>26</v>
      </c>
      <c r="H147" s="457">
        <v>23</v>
      </c>
      <c r="I147" s="457">
        <v>33</v>
      </c>
      <c r="J147" s="457">
        <v>30</v>
      </c>
      <c r="K147" s="457">
        <v>33</v>
      </c>
      <c r="L147" s="457">
        <v>26</v>
      </c>
      <c r="M147" s="457">
        <v>20</v>
      </c>
      <c r="N147" s="457">
        <v>26</v>
      </c>
      <c r="O147" s="457">
        <v>46</v>
      </c>
      <c r="P147" s="457">
        <v>40</v>
      </c>
      <c r="Q147" s="457">
        <v>33</v>
      </c>
      <c r="R147" s="457">
        <v>67</v>
      </c>
      <c r="T147" s="457">
        <v>437</v>
      </c>
      <c r="V147" s="457">
        <f t="shared" si="2"/>
        <v>437</v>
      </c>
    </row>
    <row r="148" spans="1:22">
      <c r="A148" s="457" t="s">
        <v>481</v>
      </c>
      <c r="B148" s="457" t="s">
        <v>969</v>
      </c>
      <c r="C148" s="457" t="s">
        <v>196</v>
      </c>
      <c r="E148" s="457">
        <v>13</v>
      </c>
      <c r="F148" s="457">
        <v>18</v>
      </c>
      <c r="G148" s="457">
        <v>14</v>
      </c>
      <c r="H148" s="457">
        <v>13</v>
      </c>
      <c r="I148" s="457">
        <v>22</v>
      </c>
      <c r="J148" s="457">
        <v>11</v>
      </c>
      <c r="K148" s="457">
        <v>16</v>
      </c>
      <c r="L148" s="457">
        <v>25</v>
      </c>
      <c r="M148" s="457">
        <v>16</v>
      </c>
      <c r="N148" s="457">
        <v>20</v>
      </c>
      <c r="O148" s="457">
        <v>11</v>
      </c>
      <c r="P148" s="457">
        <v>18</v>
      </c>
      <c r="Q148" s="457">
        <v>10</v>
      </c>
      <c r="R148" s="457">
        <v>8</v>
      </c>
      <c r="T148" s="457">
        <v>215</v>
      </c>
      <c r="V148" s="457">
        <f t="shared" si="2"/>
        <v>215</v>
      </c>
    </row>
    <row r="149" spans="1:22">
      <c r="A149" s="457" t="s">
        <v>483</v>
      </c>
      <c r="B149" s="457" t="s">
        <v>970</v>
      </c>
      <c r="C149" s="457" t="s">
        <v>230</v>
      </c>
      <c r="D149" s="457" t="s">
        <v>818</v>
      </c>
      <c r="E149" s="457">
        <v>3</v>
      </c>
      <c r="F149" s="457">
        <v>4</v>
      </c>
      <c r="G149" s="457">
        <v>3</v>
      </c>
      <c r="H149" s="457">
        <v>7</v>
      </c>
      <c r="I149" s="457">
        <v>5</v>
      </c>
      <c r="J149" s="457">
        <v>4</v>
      </c>
      <c r="K149" s="457">
        <v>5</v>
      </c>
      <c r="L149" s="457">
        <v>4</v>
      </c>
      <c r="M149" s="457">
        <v>6</v>
      </c>
      <c r="N149" s="457">
        <v>4</v>
      </c>
      <c r="O149" s="457">
        <v>8</v>
      </c>
      <c r="P149" s="457">
        <v>7</v>
      </c>
      <c r="Q149" s="457">
        <v>6</v>
      </c>
      <c r="R149" s="457">
        <v>4</v>
      </c>
      <c r="T149" s="457">
        <v>70</v>
      </c>
      <c r="V149" s="457">
        <f t="shared" si="2"/>
        <v>70</v>
      </c>
    </row>
    <row r="150" spans="1:22">
      <c r="A150" s="457" t="s">
        <v>485</v>
      </c>
      <c r="B150" s="457" t="s">
        <v>971</v>
      </c>
      <c r="C150" s="457" t="s">
        <v>209</v>
      </c>
      <c r="D150" s="457" t="s">
        <v>818</v>
      </c>
      <c r="G150" s="457">
        <v>1</v>
      </c>
      <c r="H150" s="457">
        <v>1</v>
      </c>
      <c r="I150" s="457">
        <v>1</v>
      </c>
      <c r="K150" s="457">
        <v>1</v>
      </c>
      <c r="N150" s="457">
        <v>1</v>
      </c>
      <c r="T150" s="457">
        <v>5</v>
      </c>
      <c r="V150" s="457">
        <f t="shared" si="2"/>
        <v>5</v>
      </c>
    </row>
    <row r="151" spans="1:22">
      <c r="A151" s="457" t="s">
        <v>487</v>
      </c>
      <c r="B151" s="457" t="s">
        <v>972</v>
      </c>
      <c r="C151" s="457" t="s">
        <v>196</v>
      </c>
      <c r="E151" s="457">
        <v>45</v>
      </c>
      <c r="F151" s="457">
        <v>43</v>
      </c>
      <c r="G151" s="457">
        <v>52</v>
      </c>
      <c r="H151" s="457">
        <v>48</v>
      </c>
      <c r="I151" s="457">
        <v>61</v>
      </c>
      <c r="J151" s="457">
        <v>76</v>
      </c>
      <c r="K151" s="457">
        <v>60</v>
      </c>
      <c r="L151" s="457">
        <v>54</v>
      </c>
      <c r="M151" s="457">
        <v>50</v>
      </c>
      <c r="N151" s="457">
        <v>55</v>
      </c>
      <c r="O151" s="457">
        <v>52</v>
      </c>
      <c r="P151" s="457">
        <v>69</v>
      </c>
      <c r="Q151" s="457">
        <v>58</v>
      </c>
      <c r="R151" s="457">
        <v>65</v>
      </c>
      <c r="T151" s="457">
        <v>788</v>
      </c>
      <c r="V151" s="457">
        <f t="shared" si="2"/>
        <v>788</v>
      </c>
    </row>
    <row r="152" spans="1:22">
      <c r="A152" s="457" t="s">
        <v>489</v>
      </c>
      <c r="B152" s="457" t="s">
        <v>973</v>
      </c>
      <c r="C152" s="457" t="s">
        <v>188</v>
      </c>
      <c r="E152" s="457">
        <v>26</v>
      </c>
      <c r="F152" s="457">
        <v>23</v>
      </c>
      <c r="G152" s="457">
        <v>22</v>
      </c>
      <c r="H152" s="457">
        <v>20</v>
      </c>
      <c r="I152" s="457">
        <v>19</v>
      </c>
      <c r="J152" s="457">
        <v>15</v>
      </c>
      <c r="K152" s="457">
        <v>9</v>
      </c>
      <c r="L152" s="457">
        <v>20</v>
      </c>
      <c r="M152" s="457">
        <v>11</v>
      </c>
      <c r="N152" s="457">
        <v>8</v>
      </c>
      <c r="O152" s="457">
        <v>12</v>
      </c>
      <c r="P152" s="457">
        <v>9</v>
      </c>
      <c r="Q152" s="457">
        <v>12</v>
      </c>
      <c r="R152" s="457">
        <v>27</v>
      </c>
      <c r="T152" s="457">
        <v>233</v>
      </c>
      <c r="V152" s="457">
        <f t="shared" si="2"/>
        <v>233</v>
      </c>
    </row>
    <row r="153" spans="1:22">
      <c r="A153" s="457" t="s">
        <v>491</v>
      </c>
      <c r="B153" s="457" t="s">
        <v>974</v>
      </c>
      <c r="C153" s="457" t="s">
        <v>188</v>
      </c>
      <c r="E153" s="457">
        <v>4</v>
      </c>
      <c r="F153" s="457">
        <v>6</v>
      </c>
      <c r="H153" s="457">
        <v>8</v>
      </c>
      <c r="I153" s="457">
        <v>8</v>
      </c>
      <c r="J153" s="457">
        <v>3</v>
      </c>
      <c r="L153" s="457">
        <v>1</v>
      </c>
      <c r="M153" s="457">
        <v>4</v>
      </c>
      <c r="N153" s="457">
        <v>2</v>
      </c>
      <c r="O153" s="457">
        <v>4</v>
      </c>
      <c r="P153" s="457">
        <v>3</v>
      </c>
      <c r="Q153" s="457">
        <v>1</v>
      </c>
      <c r="R153" s="457">
        <v>3</v>
      </c>
      <c r="T153" s="457">
        <v>47</v>
      </c>
      <c r="V153" s="457">
        <f t="shared" si="2"/>
        <v>47</v>
      </c>
    </row>
    <row r="154" spans="1:22">
      <c r="A154" s="457" t="s">
        <v>493</v>
      </c>
      <c r="B154" s="457" t="s">
        <v>975</v>
      </c>
      <c r="C154" s="457" t="s">
        <v>230</v>
      </c>
      <c r="E154" s="457">
        <v>103</v>
      </c>
      <c r="F154" s="457">
        <v>85</v>
      </c>
      <c r="G154" s="457">
        <v>110</v>
      </c>
      <c r="H154" s="457">
        <v>76</v>
      </c>
      <c r="I154" s="457">
        <v>108</v>
      </c>
      <c r="J154" s="457">
        <v>90</v>
      </c>
      <c r="K154" s="457">
        <v>114</v>
      </c>
      <c r="L154" s="457">
        <v>89</v>
      </c>
      <c r="M154" s="457">
        <v>91</v>
      </c>
      <c r="N154" s="457">
        <v>75</v>
      </c>
      <c r="O154" s="457">
        <v>59</v>
      </c>
      <c r="P154" s="457">
        <v>59</v>
      </c>
      <c r="Q154" s="457">
        <v>76</v>
      </c>
      <c r="R154" s="457">
        <v>112</v>
      </c>
      <c r="T154" s="457">
        <v>1247</v>
      </c>
      <c r="V154" s="457">
        <f t="shared" si="2"/>
        <v>1247</v>
      </c>
    </row>
    <row r="155" spans="1:22">
      <c r="A155" s="457" t="s">
        <v>495</v>
      </c>
      <c r="B155" s="457" t="s">
        <v>976</v>
      </c>
      <c r="C155" s="457" t="s">
        <v>188</v>
      </c>
      <c r="E155" s="457">
        <v>2</v>
      </c>
      <c r="F155" s="457">
        <v>3</v>
      </c>
      <c r="G155" s="457">
        <v>7</v>
      </c>
      <c r="H155" s="457">
        <v>12</v>
      </c>
      <c r="I155" s="457">
        <v>11</v>
      </c>
      <c r="J155" s="457">
        <v>10</v>
      </c>
      <c r="K155" s="457">
        <v>8</v>
      </c>
      <c r="L155" s="457">
        <v>6</v>
      </c>
      <c r="M155" s="457">
        <v>8</v>
      </c>
      <c r="N155" s="457">
        <v>6</v>
      </c>
      <c r="O155" s="457">
        <v>9</v>
      </c>
      <c r="P155" s="457">
        <v>8</v>
      </c>
      <c r="Q155" s="457">
        <v>9</v>
      </c>
      <c r="R155" s="457">
        <v>4</v>
      </c>
      <c r="T155" s="457">
        <v>103</v>
      </c>
      <c r="V155" s="457">
        <f t="shared" si="2"/>
        <v>103</v>
      </c>
    </row>
    <row r="156" spans="1:22">
      <c r="A156" s="457" t="s">
        <v>497</v>
      </c>
      <c r="B156" s="457" t="s">
        <v>977</v>
      </c>
      <c r="C156" s="457" t="s">
        <v>220</v>
      </c>
      <c r="E156" s="457">
        <v>5</v>
      </c>
      <c r="F156" s="457">
        <v>4</v>
      </c>
      <c r="G156" s="457">
        <v>5</v>
      </c>
      <c r="H156" s="457">
        <v>11</v>
      </c>
      <c r="I156" s="457">
        <v>8</v>
      </c>
      <c r="J156" s="457">
        <v>8</v>
      </c>
      <c r="K156" s="457">
        <v>11</v>
      </c>
      <c r="L156" s="457">
        <v>11</v>
      </c>
      <c r="M156" s="457">
        <v>10</v>
      </c>
      <c r="N156" s="457">
        <v>16</v>
      </c>
      <c r="O156" s="457">
        <v>9</v>
      </c>
      <c r="P156" s="457">
        <v>6</v>
      </c>
      <c r="Q156" s="457">
        <v>9</v>
      </c>
      <c r="R156" s="457">
        <v>11</v>
      </c>
      <c r="T156" s="457">
        <v>124</v>
      </c>
      <c r="V156" s="457">
        <f t="shared" si="2"/>
        <v>124</v>
      </c>
    </row>
    <row r="157" spans="1:22">
      <c r="A157" s="457" t="s">
        <v>499</v>
      </c>
      <c r="B157" s="457" t="s">
        <v>978</v>
      </c>
      <c r="C157" s="457" t="s">
        <v>196</v>
      </c>
      <c r="E157" s="457">
        <v>25</v>
      </c>
      <c r="F157" s="457">
        <v>15</v>
      </c>
      <c r="G157" s="457">
        <v>22</v>
      </c>
      <c r="H157" s="457">
        <v>36</v>
      </c>
      <c r="I157" s="457">
        <v>19</v>
      </c>
      <c r="J157" s="457">
        <v>30</v>
      </c>
      <c r="K157" s="457">
        <v>27</v>
      </c>
      <c r="L157" s="457">
        <v>31</v>
      </c>
      <c r="M157" s="457">
        <v>18</v>
      </c>
      <c r="N157" s="457">
        <v>18</v>
      </c>
      <c r="O157" s="457">
        <v>25</v>
      </c>
      <c r="P157" s="457">
        <v>18</v>
      </c>
      <c r="Q157" s="457">
        <v>15</v>
      </c>
      <c r="R157" s="457">
        <v>27</v>
      </c>
      <c r="T157" s="457">
        <v>326</v>
      </c>
      <c r="V157" s="457">
        <f t="shared" si="2"/>
        <v>326</v>
      </c>
    </row>
    <row r="158" spans="1:22">
      <c r="A158" s="457" t="s">
        <v>501</v>
      </c>
      <c r="B158" s="457" t="s">
        <v>979</v>
      </c>
      <c r="C158" s="457" t="s">
        <v>209</v>
      </c>
      <c r="D158" s="457" t="s">
        <v>818</v>
      </c>
      <c r="F158" s="457">
        <v>1</v>
      </c>
      <c r="J158" s="457">
        <v>3</v>
      </c>
      <c r="K158" s="457">
        <v>1</v>
      </c>
      <c r="M158" s="457">
        <v>1</v>
      </c>
      <c r="T158" s="457">
        <v>6</v>
      </c>
      <c r="V158" s="457">
        <f t="shared" si="2"/>
        <v>6</v>
      </c>
    </row>
    <row r="159" spans="1:22">
      <c r="A159" s="457" t="s">
        <v>503</v>
      </c>
      <c r="B159" s="457" t="s">
        <v>980</v>
      </c>
      <c r="C159" s="457" t="s">
        <v>196</v>
      </c>
      <c r="E159" s="457">
        <v>99</v>
      </c>
      <c r="F159" s="457">
        <v>67</v>
      </c>
      <c r="G159" s="457">
        <v>73</v>
      </c>
      <c r="H159" s="457">
        <v>70</v>
      </c>
      <c r="I159" s="457">
        <v>74</v>
      </c>
      <c r="J159" s="457">
        <v>58</v>
      </c>
      <c r="K159" s="457">
        <v>80</v>
      </c>
      <c r="L159" s="457">
        <v>65</v>
      </c>
      <c r="M159" s="457">
        <v>56</v>
      </c>
      <c r="N159" s="457">
        <v>57</v>
      </c>
      <c r="O159" s="457">
        <v>62</v>
      </c>
      <c r="P159" s="457">
        <v>56</v>
      </c>
      <c r="Q159" s="457">
        <v>71</v>
      </c>
      <c r="R159" s="457">
        <v>70</v>
      </c>
      <c r="T159" s="457">
        <v>958</v>
      </c>
      <c r="V159" s="457">
        <f t="shared" si="2"/>
        <v>958</v>
      </c>
    </row>
    <row r="160" spans="1:22">
      <c r="A160" s="457" t="s">
        <v>505</v>
      </c>
      <c r="B160" s="457" t="s">
        <v>981</v>
      </c>
      <c r="C160" s="457" t="s">
        <v>196</v>
      </c>
      <c r="E160" s="457">
        <v>166</v>
      </c>
      <c r="F160" s="457">
        <v>106</v>
      </c>
      <c r="G160" s="457">
        <v>151</v>
      </c>
      <c r="H160" s="457">
        <v>121</v>
      </c>
      <c r="I160" s="457">
        <v>164</v>
      </c>
      <c r="J160" s="457">
        <v>154</v>
      </c>
      <c r="K160" s="457">
        <v>162</v>
      </c>
      <c r="L160" s="457">
        <v>163</v>
      </c>
      <c r="M160" s="457">
        <v>162</v>
      </c>
      <c r="N160" s="457">
        <v>177</v>
      </c>
      <c r="O160" s="457">
        <v>171</v>
      </c>
      <c r="P160" s="457">
        <v>152</v>
      </c>
      <c r="Q160" s="457">
        <v>128</v>
      </c>
      <c r="R160" s="457">
        <v>193</v>
      </c>
      <c r="T160" s="457">
        <v>2170</v>
      </c>
      <c r="V160" s="457">
        <f t="shared" si="2"/>
        <v>2170</v>
      </c>
    </row>
    <row r="161" spans="1:22">
      <c r="A161" s="457" t="s">
        <v>507</v>
      </c>
      <c r="B161" s="457" t="s">
        <v>982</v>
      </c>
      <c r="C161" s="457" t="s">
        <v>220</v>
      </c>
      <c r="E161" s="457">
        <v>9</v>
      </c>
      <c r="F161" s="457">
        <v>17</v>
      </c>
      <c r="G161" s="457">
        <v>20</v>
      </c>
      <c r="H161" s="457">
        <v>18</v>
      </c>
      <c r="I161" s="457">
        <v>13</v>
      </c>
      <c r="J161" s="457">
        <v>18</v>
      </c>
      <c r="K161" s="457">
        <v>9</v>
      </c>
      <c r="L161" s="457">
        <v>20</v>
      </c>
      <c r="M161" s="457">
        <v>11</v>
      </c>
      <c r="N161" s="457">
        <v>12</v>
      </c>
      <c r="O161" s="457">
        <v>10</v>
      </c>
      <c r="P161" s="457">
        <v>11</v>
      </c>
      <c r="Q161" s="457">
        <v>10</v>
      </c>
      <c r="R161" s="457">
        <v>6</v>
      </c>
      <c r="T161" s="457">
        <v>184</v>
      </c>
      <c r="V161" s="457">
        <f t="shared" si="2"/>
        <v>184</v>
      </c>
    </row>
    <row r="162" spans="1:22">
      <c r="A162" s="457" t="s">
        <v>509</v>
      </c>
      <c r="B162" s="457" t="s">
        <v>983</v>
      </c>
      <c r="C162" s="457" t="s">
        <v>188</v>
      </c>
      <c r="E162" s="457">
        <v>4</v>
      </c>
      <c r="F162" s="457">
        <v>7</v>
      </c>
      <c r="G162" s="457">
        <v>7</v>
      </c>
      <c r="H162" s="457">
        <v>10</v>
      </c>
      <c r="I162" s="457">
        <v>6</v>
      </c>
      <c r="J162" s="457">
        <v>6</v>
      </c>
      <c r="K162" s="457">
        <v>3</v>
      </c>
      <c r="L162" s="457">
        <v>6</v>
      </c>
      <c r="M162" s="457">
        <v>4</v>
      </c>
      <c r="N162" s="457">
        <v>9</v>
      </c>
      <c r="O162" s="457">
        <v>9</v>
      </c>
      <c r="P162" s="457">
        <v>9</v>
      </c>
      <c r="Q162" s="457">
        <v>1</v>
      </c>
      <c r="R162" s="457">
        <v>2</v>
      </c>
      <c r="T162" s="457">
        <v>83</v>
      </c>
      <c r="V162" s="457">
        <f t="shared" si="2"/>
        <v>83</v>
      </c>
    </row>
    <row r="163" spans="1:22">
      <c r="A163" s="457" t="s">
        <v>511</v>
      </c>
      <c r="B163" s="457" t="s">
        <v>984</v>
      </c>
      <c r="C163" s="457" t="s">
        <v>209</v>
      </c>
      <c r="D163" s="457" t="s">
        <v>818</v>
      </c>
      <c r="E163" s="457">
        <v>2</v>
      </c>
      <c r="F163" s="457">
        <v>1</v>
      </c>
      <c r="G163" s="457">
        <v>1</v>
      </c>
      <c r="H163" s="457">
        <v>5</v>
      </c>
      <c r="I163" s="457">
        <v>4</v>
      </c>
      <c r="J163" s="457">
        <v>5</v>
      </c>
      <c r="K163" s="457">
        <v>3</v>
      </c>
      <c r="L163" s="457">
        <v>6</v>
      </c>
      <c r="M163" s="457">
        <v>4</v>
      </c>
      <c r="N163" s="457">
        <v>3</v>
      </c>
      <c r="O163" s="457">
        <v>3</v>
      </c>
      <c r="P163" s="457">
        <v>2</v>
      </c>
      <c r="Q163" s="457">
        <v>4</v>
      </c>
      <c r="R163" s="457">
        <v>2</v>
      </c>
      <c r="T163" s="457">
        <v>45</v>
      </c>
      <c r="V163" s="457">
        <f t="shared" si="2"/>
        <v>45</v>
      </c>
    </row>
    <row r="164" spans="1:22">
      <c r="A164" s="457" t="s">
        <v>513</v>
      </c>
      <c r="B164" s="457" t="s">
        <v>985</v>
      </c>
      <c r="C164" s="457" t="s">
        <v>230</v>
      </c>
      <c r="E164" s="457">
        <v>1</v>
      </c>
      <c r="G164" s="457">
        <v>3</v>
      </c>
      <c r="H164" s="457">
        <v>2</v>
      </c>
      <c r="I164" s="457">
        <v>4</v>
      </c>
      <c r="J164" s="457">
        <v>1</v>
      </c>
      <c r="K164" s="457">
        <v>3</v>
      </c>
      <c r="L164" s="457">
        <v>3</v>
      </c>
      <c r="N164" s="457">
        <v>2</v>
      </c>
      <c r="T164" s="457">
        <v>19</v>
      </c>
      <c r="V164" s="457">
        <f t="shared" si="2"/>
        <v>19</v>
      </c>
    </row>
    <row r="165" spans="1:22">
      <c r="A165" s="457" t="s">
        <v>515</v>
      </c>
      <c r="B165" s="457" t="s">
        <v>986</v>
      </c>
      <c r="C165" s="457" t="s">
        <v>193</v>
      </c>
      <c r="E165" s="457">
        <v>9</v>
      </c>
      <c r="F165" s="457">
        <v>14</v>
      </c>
      <c r="G165" s="457">
        <v>7</v>
      </c>
      <c r="H165" s="457">
        <v>12</v>
      </c>
      <c r="I165" s="457">
        <v>11</v>
      </c>
      <c r="J165" s="457">
        <v>14</v>
      </c>
      <c r="K165" s="457">
        <v>9</v>
      </c>
      <c r="L165" s="457">
        <v>9</v>
      </c>
      <c r="M165" s="457">
        <v>21</v>
      </c>
      <c r="N165" s="457">
        <v>11</v>
      </c>
      <c r="O165" s="457">
        <v>14</v>
      </c>
      <c r="P165" s="457">
        <v>17</v>
      </c>
      <c r="Q165" s="457">
        <v>10</v>
      </c>
      <c r="R165" s="457">
        <v>18</v>
      </c>
      <c r="T165" s="457">
        <v>176</v>
      </c>
      <c r="V165" s="457">
        <f t="shared" si="2"/>
        <v>176</v>
      </c>
    </row>
    <row r="166" spans="1:22">
      <c r="A166" s="457" t="s">
        <v>517</v>
      </c>
      <c r="B166" s="457" t="s">
        <v>987</v>
      </c>
      <c r="C166" s="457" t="s">
        <v>193</v>
      </c>
      <c r="E166" s="457">
        <v>10</v>
      </c>
      <c r="F166" s="457">
        <v>7</v>
      </c>
      <c r="G166" s="457">
        <v>9</v>
      </c>
      <c r="H166" s="457">
        <v>14</v>
      </c>
      <c r="I166" s="457">
        <v>18</v>
      </c>
      <c r="J166" s="457">
        <v>15</v>
      </c>
      <c r="K166" s="457">
        <v>16</v>
      </c>
      <c r="L166" s="457">
        <v>20</v>
      </c>
      <c r="M166" s="457">
        <v>7</v>
      </c>
      <c r="N166" s="457">
        <v>18</v>
      </c>
      <c r="O166" s="457">
        <v>17</v>
      </c>
      <c r="P166" s="457">
        <v>13</v>
      </c>
      <c r="Q166" s="457">
        <v>10</v>
      </c>
      <c r="R166" s="457">
        <v>16</v>
      </c>
      <c r="T166" s="457">
        <v>190</v>
      </c>
      <c r="V166" s="457">
        <f t="shared" si="2"/>
        <v>190</v>
      </c>
    </row>
    <row r="167" spans="1:22">
      <c r="A167" s="457" t="s">
        <v>519</v>
      </c>
      <c r="B167" s="457" t="s">
        <v>988</v>
      </c>
      <c r="C167" s="457" t="s">
        <v>196</v>
      </c>
      <c r="E167" s="457">
        <v>25</v>
      </c>
      <c r="F167" s="457">
        <v>14</v>
      </c>
      <c r="G167" s="457">
        <v>24</v>
      </c>
      <c r="H167" s="457">
        <v>23</v>
      </c>
      <c r="I167" s="457">
        <v>27</v>
      </c>
      <c r="J167" s="457">
        <v>17</v>
      </c>
      <c r="K167" s="457">
        <v>36</v>
      </c>
      <c r="L167" s="457">
        <v>29</v>
      </c>
      <c r="M167" s="457">
        <v>24</v>
      </c>
      <c r="N167" s="457">
        <v>16</v>
      </c>
      <c r="O167" s="457">
        <v>17</v>
      </c>
      <c r="P167" s="457">
        <v>17</v>
      </c>
      <c r="Q167" s="457">
        <v>17</v>
      </c>
      <c r="R167" s="457">
        <v>16</v>
      </c>
      <c r="T167" s="457">
        <v>302</v>
      </c>
      <c r="V167" s="457">
        <f t="shared" si="2"/>
        <v>302</v>
      </c>
    </row>
    <row r="168" spans="1:22">
      <c r="A168" s="457" t="s">
        <v>521</v>
      </c>
      <c r="B168" s="457" t="s">
        <v>989</v>
      </c>
      <c r="C168" s="457" t="s">
        <v>188</v>
      </c>
      <c r="E168" s="457">
        <v>2</v>
      </c>
      <c r="F168" s="457">
        <v>1</v>
      </c>
      <c r="G168" s="457">
        <v>3</v>
      </c>
      <c r="H168" s="457">
        <v>8</v>
      </c>
      <c r="I168" s="457">
        <v>7</v>
      </c>
      <c r="J168" s="457">
        <v>11</v>
      </c>
      <c r="K168" s="457">
        <v>6</v>
      </c>
      <c r="L168" s="457">
        <v>5</v>
      </c>
      <c r="M168" s="457">
        <v>16</v>
      </c>
      <c r="N168" s="457">
        <v>9</v>
      </c>
      <c r="O168" s="457">
        <v>3</v>
      </c>
      <c r="P168" s="457">
        <v>10</v>
      </c>
      <c r="Q168" s="457">
        <v>6</v>
      </c>
      <c r="R168" s="457">
        <v>9</v>
      </c>
      <c r="T168" s="457">
        <v>96</v>
      </c>
      <c r="V168" s="457">
        <f t="shared" si="2"/>
        <v>96</v>
      </c>
    </row>
    <row r="169" spans="1:22">
      <c r="A169" s="457" t="s">
        <v>523</v>
      </c>
      <c r="B169" s="457" t="s">
        <v>990</v>
      </c>
      <c r="C169" s="457" t="s">
        <v>201</v>
      </c>
      <c r="E169" s="457">
        <v>27</v>
      </c>
      <c r="F169" s="457">
        <v>18</v>
      </c>
      <c r="G169" s="457">
        <v>16</v>
      </c>
      <c r="H169" s="457">
        <v>23</v>
      </c>
      <c r="I169" s="457">
        <v>33</v>
      </c>
      <c r="J169" s="457">
        <v>30</v>
      </c>
      <c r="K169" s="457">
        <v>23</v>
      </c>
      <c r="L169" s="457">
        <v>19</v>
      </c>
      <c r="M169" s="457">
        <v>21</v>
      </c>
      <c r="N169" s="457">
        <v>29</v>
      </c>
      <c r="O169" s="457">
        <v>20</v>
      </c>
      <c r="P169" s="457">
        <v>29</v>
      </c>
      <c r="Q169" s="457">
        <v>18</v>
      </c>
      <c r="R169" s="457">
        <v>16</v>
      </c>
      <c r="T169" s="457">
        <v>322</v>
      </c>
      <c r="V169" s="457">
        <f t="shared" si="2"/>
        <v>322</v>
      </c>
    </row>
    <row r="170" spans="1:22">
      <c r="A170" s="457" t="s">
        <v>525</v>
      </c>
      <c r="B170" s="457" t="s">
        <v>991</v>
      </c>
      <c r="C170" s="457" t="s">
        <v>227</v>
      </c>
      <c r="E170" s="457">
        <v>69</v>
      </c>
      <c r="F170" s="457">
        <v>38</v>
      </c>
      <c r="G170" s="457">
        <v>51</v>
      </c>
      <c r="H170" s="457">
        <v>58</v>
      </c>
      <c r="I170" s="457">
        <v>63</v>
      </c>
      <c r="J170" s="457">
        <v>56</v>
      </c>
      <c r="K170" s="457">
        <v>60</v>
      </c>
      <c r="L170" s="457">
        <v>48</v>
      </c>
      <c r="M170" s="457">
        <v>47</v>
      </c>
      <c r="N170" s="457">
        <v>42</v>
      </c>
      <c r="O170" s="457">
        <v>51</v>
      </c>
      <c r="P170" s="457">
        <v>49</v>
      </c>
      <c r="Q170" s="457">
        <v>48</v>
      </c>
      <c r="R170" s="457">
        <v>53</v>
      </c>
      <c r="T170" s="457">
        <v>733</v>
      </c>
      <c r="V170" s="457">
        <f t="shared" si="2"/>
        <v>733</v>
      </c>
    </row>
    <row r="171" spans="1:22">
      <c r="A171" s="457" t="s">
        <v>527</v>
      </c>
      <c r="B171" s="457" t="s">
        <v>992</v>
      </c>
      <c r="C171" s="457" t="s">
        <v>227</v>
      </c>
      <c r="E171" s="457">
        <v>22</v>
      </c>
      <c r="F171" s="457">
        <v>31</v>
      </c>
      <c r="G171" s="457">
        <v>19</v>
      </c>
      <c r="H171" s="457">
        <v>20</v>
      </c>
      <c r="I171" s="457">
        <v>22</v>
      </c>
      <c r="J171" s="457">
        <v>33</v>
      </c>
      <c r="K171" s="457">
        <v>28</v>
      </c>
      <c r="L171" s="457">
        <v>25</v>
      </c>
      <c r="M171" s="457">
        <v>19</v>
      </c>
      <c r="N171" s="457">
        <v>27</v>
      </c>
      <c r="O171" s="457">
        <v>27</v>
      </c>
      <c r="P171" s="457">
        <v>28</v>
      </c>
      <c r="Q171" s="457">
        <v>29</v>
      </c>
      <c r="R171" s="457">
        <v>26</v>
      </c>
      <c r="T171" s="457">
        <v>356</v>
      </c>
      <c r="V171" s="457">
        <f t="shared" si="2"/>
        <v>356</v>
      </c>
    </row>
    <row r="172" spans="1:22">
      <c r="A172" s="457" t="s">
        <v>529</v>
      </c>
      <c r="B172" s="457" t="s">
        <v>993</v>
      </c>
      <c r="C172" s="457" t="s">
        <v>188</v>
      </c>
      <c r="G172" s="457">
        <v>1</v>
      </c>
      <c r="H172" s="457">
        <v>1</v>
      </c>
      <c r="I172" s="457">
        <v>2</v>
      </c>
      <c r="J172" s="457">
        <v>1</v>
      </c>
      <c r="M172" s="457">
        <v>1</v>
      </c>
      <c r="N172" s="457">
        <v>1</v>
      </c>
      <c r="O172" s="457">
        <v>1</v>
      </c>
      <c r="T172" s="457">
        <v>8</v>
      </c>
      <c r="V172" s="457">
        <f t="shared" si="2"/>
        <v>8</v>
      </c>
    </row>
    <row r="173" spans="1:22">
      <c r="A173" s="457" t="s">
        <v>531</v>
      </c>
      <c r="B173" s="457" t="s">
        <v>994</v>
      </c>
      <c r="C173" s="457" t="s">
        <v>188</v>
      </c>
      <c r="E173" s="457">
        <v>246</v>
      </c>
      <c r="F173" s="457">
        <v>174</v>
      </c>
      <c r="G173" s="457">
        <v>195</v>
      </c>
      <c r="H173" s="457">
        <v>175</v>
      </c>
      <c r="I173" s="457">
        <v>202</v>
      </c>
      <c r="J173" s="457">
        <v>191</v>
      </c>
      <c r="K173" s="457">
        <v>200</v>
      </c>
      <c r="L173" s="457">
        <v>166</v>
      </c>
      <c r="M173" s="457">
        <v>189</v>
      </c>
      <c r="N173" s="457">
        <v>162</v>
      </c>
      <c r="O173" s="457">
        <v>174</v>
      </c>
      <c r="P173" s="457">
        <v>167</v>
      </c>
      <c r="Q173" s="457">
        <v>132</v>
      </c>
      <c r="R173" s="457">
        <v>157</v>
      </c>
      <c r="T173" s="457">
        <v>2530</v>
      </c>
      <c r="V173" s="457">
        <f t="shared" si="2"/>
        <v>2530</v>
      </c>
    </row>
    <row r="174" spans="1:22">
      <c r="A174" s="457" t="s">
        <v>533</v>
      </c>
      <c r="B174" s="457" t="s">
        <v>995</v>
      </c>
      <c r="C174" s="457" t="s">
        <v>193</v>
      </c>
      <c r="F174" s="457">
        <v>1</v>
      </c>
      <c r="G174" s="457">
        <v>2</v>
      </c>
      <c r="I174" s="457">
        <v>1</v>
      </c>
      <c r="J174" s="457">
        <v>3</v>
      </c>
      <c r="K174" s="457">
        <v>1</v>
      </c>
      <c r="M174" s="457">
        <v>5</v>
      </c>
      <c r="N174" s="457">
        <v>3</v>
      </c>
      <c r="O174" s="457">
        <v>4</v>
      </c>
      <c r="P174" s="457">
        <v>2</v>
      </c>
      <c r="R174" s="457">
        <v>1</v>
      </c>
      <c r="T174" s="457">
        <v>23</v>
      </c>
      <c r="V174" s="457">
        <f t="shared" si="2"/>
        <v>23</v>
      </c>
    </row>
    <row r="175" spans="1:22">
      <c r="A175" s="457" t="s">
        <v>535</v>
      </c>
      <c r="B175" s="457" t="s">
        <v>996</v>
      </c>
      <c r="C175" s="457" t="s">
        <v>204</v>
      </c>
      <c r="E175" s="457">
        <v>222</v>
      </c>
      <c r="F175" s="457">
        <v>111</v>
      </c>
      <c r="G175" s="457">
        <v>188</v>
      </c>
      <c r="H175" s="457">
        <v>192</v>
      </c>
      <c r="I175" s="457">
        <v>212</v>
      </c>
      <c r="J175" s="457">
        <v>238</v>
      </c>
      <c r="K175" s="457">
        <v>207</v>
      </c>
      <c r="L175" s="457">
        <v>246</v>
      </c>
      <c r="M175" s="457">
        <v>218</v>
      </c>
      <c r="N175" s="457">
        <v>211</v>
      </c>
      <c r="O175" s="457">
        <v>229</v>
      </c>
      <c r="P175" s="457">
        <v>186</v>
      </c>
      <c r="Q175" s="457">
        <v>192</v>
      </c>
      <c r="R175" s="457">
        <v>209</v>
      </c>
      <c r="T175" s="457">
        <v>2861</v>
      </c>
      <c r="V175" s="457">
        <f t="shared" si="2"/>
        <v>2861</v>
      </c>
    </row>
    <row r="176" spans="1:22">
      <c r="A176" s="457" t="s">
        <v>537</v>
      </c>
      <c r="B176" s="457" t="s">
        <v>997</v>
      </c>
      <c r="C176" s="457" t="s">
        <v>196</v>
      </c>
      <c r="E176" s="457">
        <v>148</v>
      </c>
      <c r="F176" s="457">
        <v>84</v>
      </c>
      <c r="G176" s="457">
        <v>85</v>
      </c>
      <c r="H176" s="457">
        <v>89</v>
      </c>
      <c r="I176" s="457">
        <v>91</v>
      </c>
      <c r="J176" s="457">
        <v>87</v>
      </c>
      <c r="K176" s="457">
        <v>92</v>
      </c>
      <c r="L176" s="457">
        <v>74</v>
      </c>
      <c r="M176" s="457">
        <v>54</v>
      </c>
      <c r="N176" s="457">
        <v>60</v>
      </c>
      <c r="O176" s="457">
        <v>62</v>
      </c>
      <c r="P176" s="457">
        <v>57</v>
      </c>
      <c r="Q176" s="457">
        <v>46</v>
      </c>
      <c r="R176" s="457">
        <v>74</v>
      </c>
      <c r="T176" s="457">
        <v>1103</v>
      </c>
      <c r="V176" s="457">
        <f t="shared" si="2"/>
        <v>1103</v>
      </c>
    </row>
    <row r="177" spans="1:22">
      <c r="A177" s="457" t="s">
        <v>539</v>
      </c>
      <c r="B177" s="457" t="s">
        <v>998</v>
      </c>
      <c r="C177" s="457" t="s">
        <v>193</v>
      </c>
      <c r="G177" s="457">
        <v>3</v>
      </c>
      <c r="H177" s="457">
        <v>2</v>
      </c>
      <c r="J177" s="457">
        <v>1</v>
      </c>
      <c r="L177" s="457">
        <v>1</v>
      </c>
      <c r="M177" s="457">
        <v>1</v>
      </c>
      <c r="N177" s="457">
        <v>3</v>
      </c>
      <c r="O177" s="457">
        <v>3</v>
      </c>
      <c r="P177" s="457">
        <v>1</v>
      </c>
      <c r="Q177" s="457">
        <v>1</v>
      </c>
      <c r="T177" s="457">
        <v>16</v>
      </c>
      <c r="V177" s="457">
        <f t="shared" si="2"/>
        <v>16</v>
      </c>
    </row>
    <row r="178" spans="1:22">
      <c r="A178" s="457" t="s">
        <v>541</v>
      </c>
      <c r="B178" s="457" t="s">
        <v>999</v>
      </c>
      <c r="C178" s="457" t="s">
        <v>188</v>
      </c>
      <c r="E178" s="457">
        <v>3</v>
      </c>
      <c r="F178" s="457">
        <v>8</v>
      </c>
      <c r="G178" s="457">
        <v>6</v>
      </c>
      <c r="H178" s="457">
        <v>3</v>
      </c>
      <c r="I178" s="457">
        <v>7</v>
      </c>
      <c r="J178" s="457">
        <v>2</v>
      </c>
      <c r="K178" s="457">
        <v>3</v>
      </c>
      <c r="L178" s="457">
        <v>4</v>
      </c>
      <c r="M178" s="457">
        <v>7</v>
      </c>
      <c r="N178" s="457">
        <v>2</v>
      </c>
      <c r="O178" s="457">
        <v>2</v>
      </c>
      <c r="P178" s="457">
        <v>4</v>
      </c>
      <c r="Q178" s="457">
        <v>6</v>
      </c>
      <c r="R178" s="457">
        <v>8</v>
      </c>
      <c r="T178" s="457">
        <v>65</v>
      </c>
      <c r="V178" s="457">
        <f t="shared" si="2"/>
        <v>65</v>
      </c>
    </row>
    <row r="179" spans="1:22">
      <c r="A179" s="457" t="s">
        <v>543</v>
      </c>
      <c r="B179" s="457" t="s">
        <v>1000</v>
      </c>
      <c r="C179" s="457" t="s">
        <v>209</v>
      </c>
      <c r="D179" s="457" t="s">
        <v>818</v>
      </c>
      <c r="E179" s="457">
        <v>6</v>
      </c>
      <c r="F179" s="457">
        <v>16</v>
      </c>
      <c r="G179" s="457">
        <v>14</v>
      </c>
      <c r="H179" s="457">
        <v>23</v>
      </c>
      <c r="I179" s="457">
        <v>17</v>
      </c>
      <c r="J179" s="457">
        <v>16</v>
      </c>
      <c r="K179" s="457">
        <v>15</v>
      </c>
      <c r="L179" s="457">
        <v>20</v>
      </c>
      <c r="M179" s="457">
        <v>17</v>
      </c>
      <c r="N179" s="457">
        <v>15</v>
      </c>
      <c r="O179" s="457">
        <v>16</v>
      </c>
      <c r="P179" s="457">
        <v>17</v>
      </c>
      <c r="Q179" s="457">
        <v>14</v>
      </c>
      <c r="R179" s="457">
        <v>17</v>
      </c>
      <c r="T179" s="457">
        <v>223</v>
      </c>
      <c r="V179" s="457">
        <f t="shared" si="2"/>
        <v>223</v>
      </c>
    </row>
    <row r="180" spans="1:22">
      <c r="A180" s="457" t="s">
        <v>545</v>
      </c>
      <c r="B180" s="457" t="s">
        <v>1001</v>
      </c>
      <c r="C180" s="457" t="s">
        <v>188</v>
      </c>
      <c r="E180" s="457">
        <v>6</v>
      </c>
      <c r="F180" s="457">
        <v>4</v>
      </c>
      <c r="G180" s="457">
        <v>10</v>
      </c>
      <c r="H180" s="457">
        <v>5</v>
      </c>
      <c r="I180" s="457">
        <v>6</v>
      </c>
      <c r="J180" s="457">
        <v>5</v>
      </c>
      <c r="K180" s="457">
        <v>4</v>
      </c>
      <c r="L180" s="457">
        <v>8</v>
      </c>
      <c r="M180" s="457">
        <v>2</v>
      </c>
      <c r="N180" s="457">
        <v>4</v>
      </c>
      <c r="O180" s="457">
        <v>4</v>
      </c>
      <c r="P180" s="457">
        <v>5</v>
      </c>
      <c r="Q180" s="457">
        <v>6</v>
      </c>
      <c r="R180" s="457">
        <v>8</v>
      </c>
      <c r="T180" s="457">
        <v>77</v>
      </c>
      <c r="V180" s="457">
        <f t="shared" si="2"/>
        <v>77</v>
      </c>
    </row>
    <row r="181" spans="1:22">
      <c r="A181" s="457" t="s">
        <v>547</v>
      </c>
      <c r="B181" s="457" t="s">
        <v>1002</v>
      </c>
      <c r="C181" s="457" t="s">
        <v>193</v>
      </c>
      <c r="E181" s="457">
        <v>2</v>
      </c>
      <c r="F181" s="457">
        <v>4</v>
      </c>
      <c r="G181" s="457">
        <v>5</v>
      </c>
      <c r="H181" s="457">
        <v>3</v>
      </c>
      <c r="I181" s="457">
        <v>1</v>
      </c>
      <c r="J181" s="457">
        <v>1</v>
      </c>
      <c r="K181" s="457">
        <v>2</v>
      </c>
      <c r="L181" s="457">
        <v>1</v>
      </c>
      <c r="M181" s="457">
        <v>3</v>
      </c>
      <c r="N181" s="457">
        <v>3</v>
      </c>
      <c r="O181" s="457">
        <v>2</v>
      </c>
      <c r="P181" s="457">
        <v>1</v>
      </c>
      <c r="Q181" s="457">
        <v>2</v>
      </c>
      <c r="R181" s="457">
        <v>2</v>
      </c>
      <c r="T181" s="457">
        <v>32</v>
      </c>
      <c r="V181" s="457">
        <f t="shared" si="2"/>
        <v>32</v>
      </c>
    </row>
    <row r="182" spans="1:22">
      <c r="A182" s="457" t="s">
        <v>549</v>
      </c>
      <c r="B182" s="457" t="s">
        <v>1003</v>
      </c>
      <c r="C182" s="457" t="s">
        <v>230</v>
      </c>
      <c r="E182" s="457">
        <v>10</v>
      </c>
      <c r="F182" s="457">
        <v>7</v>
      </c>
      <c r="G182" s="457">
        <v>9</v>
      </c>
      <c r="H182" s="457">
        <v>8</v>
      </c>
      <c r="I182" s="457">
        <v>9</v>
      </c>
      <c r="J182" s="457">
        <v>13</v>
      </c>
      <c r="K182" s="457">
        <v>18</v>
      </c>
      <c r="L182" s="457">
        <v>11</v>
      </c>
      <c r="M182" s="457">
        <v>11</v>
      </c>
      <c r="N182" s="457">
        <v>9</v>
      </c>
      <c r="O182" s="457">
        <v>12</v>
      </c>
      <c r="P182" s="457">
        <v>12</v>
      </c>
      <c r="Q182" s="457">
        <v>10</v>
      </c>
      <c r="R182" s="457">
        <v>12</v>
      </c>
      <c r="T182" s="457">
        <v>151</v>
      </c>
      <c r="V182" s="457">
        <f t="shared" si="2"/>
        <v>151</v>
      </c>
    </row>
    <row r="183" spans="1:22">
      <c r="A183" s="457" t="s">
        <v>551</v>
      </c>
      <c r="B183" s="457" t="s">
        <v>1004</v>
      </c>
      <c r="C183" s="457" t="s">
        <v>188</v>
      </c>
      <c r="E183" s="457">
        <v>112</v>
      </c>
      <c r="F183" s="457">
        <v>68</v>
      </c>
      <c r="G183" s="457">
        <v>97</v>
      </c>
      <c r="H183" s="457">
        <v>133</v>
      </c>
      <c r="I183" s="457">
        <v>140</v>
      </c>
      <c r="J183" s="457">
        <v>162</v>
      </c>
      <c r="K183" s="457">
        <v>146</v>
      </c>
      <c r="L183" s="457">
        <v>136</v>
      </c>
      <c r="M183" s="457">
        <v>130</v>
      </c>
      <c r="N183" s="457">
        <v>122</v>
      </c>
      <c r="O183" s="457">
        <v>117</v>
      </c>
      <c r="P183" s="457">
        <v>101</v>
      </c>
      <c r="Q183" s="457">
        <v>85</v>
      </c>
      <c r="R183" s="457">
        <v>135</v>
      </c>
      <c r="T183" s="457">
        <v>1684</v>
      </c>
      <c r="V183" s="457">
        <f t="shared" si="2"/>
        <v>1684</v>
      </c>
    </row>
    <row r="184" spans="1:22">
      <c r="A184" s="457" t="s">
        <v>553</v>
      </c>
      <c r="B184" s="457" t="s">
        <v>1005</v>
      </c>
      <c r="C184" s="457" t="s">
        <v>230</v>
      </c>
      <c r="E184" s="457">
        <v>31</v>
      </c>
      <c r="F184" s="457">
        <v>27</v>
      </c>
      <c r="G184" s="457">
        <v>49</v>
      </c>
      <c r="H184" s="457">
        <v>44</v>
      </c>
      <c r="I184" s="457">
        <v>68</v>
      </c>
      <c r="J184" s="457">
        <v>63</v>
      </c>
      <c r="K184" s="457">
        <v>63</v>
      </c>
      <c r="L184" s="457">
        <v>64</v>
      </c>
      <c r="M184" s="457">
        <v>99</v>
      </c>
      <c r="N184" s="457">
        <v>90</v>
      </c>
      <c r="O184" s="457">
        <v>84</v>
      </c>
      <c r="P184" s="457">
        <v>75</v>
      </c>
      <c r="Q184" s="457">
        <v>65</v>
      </c>
      <c r="R184" s="457">
        <v>66</v>
      </c>
      <c r="T184" s="457">
        <v>888</v>
      </c>
      <c r="V184" s="457">
        <f t="shared" si="2"/>
        <v>888</v>
      </c>
    </row>
    <row r="185" spans="1:22">
      <c r="A185" s="457" t="s">
        <v>555</v>
      </c>
      <c r="B185" s="457" t="s">
        <v>1006</v>
      </c>
      <c r="C185" s="457" t="s">
        <v>188</v>
      </c>
      <c r="E185" s="457">
        <v>12</v>
      </c>
      <c r="F185" s="457">
        <v>10</v>
      </c>
      <c r="G185" s="457">
        <v>7</v>
      </c>
      <c r="H185" s="457">
        <v>7</v>
      </c>
      <c r="I185" s="457">
        <v>11</v>
      </c>
      <c r="J185" s="457">
        <v>9</v>
      </c>
      <c r="K185" s="457">
        <v>11</v>
      </c>
      <c r="L185" s="457">
        <v>18</v>
      </c>
      <c r="M185" s="457">
        <v>17</v>
      </c>
      <c r="N185" s="457">
        <v>9</v>
      </c>
      <c r="O185" s="457">
        <v>4</v>
      </c>
      <c r="P185" s="457">
        <v>21</v>
      </c>
      <c r="Q185" s="457">
        <v>10</v>
      </c>
      <c r="R185" s="457">
        <v>10</v>
      </c>
      <c r="T185" s="457">
        <v>156</v>
      </c>
      <c r="V185" s="457">
        <f t="shared" si="2"/>
        <v>156</v>
      </c>
    </row>
    <row r="186" spans="1:22">
      <c r="A186" s="457" t="s">
        <v>557</v>
      </c>
      <c r="B186" s="457" t="s">
        <v>1007</v>
      </c>
      <c r="C186" s="457" t="s">
        <v>193</v>
      </c>
      <c r="F186" s="457">
        <v>2</v>
      </c>
      <c r="G186" s="457">
        <v>1</v>
      </c>
      <c r="H186" s="457">
        <v>2</v>
      </c>
      <c r="J186" s="457">
        <v>1</v>
      </c>
      <c r="N186" s="457">
        <v>2</v>
      </c>
      <c r="T186" s="457">
        <v>8</v>
      </c>
      <c r="V186" s="457">
        <f t="shared" si="2"/>
        <v>8</v>
      </c>
    </row>
    <row r="187" spans="1:22">
      <c r="A187" s="457" t="s">
        <v>559</v>
      </c>
      <c r="B187" s="457" t="s">
        <v>1008</v>
      </c>
      <c r="C187" s="457" t="s">
        <v>196</v>
      </c>
      <c r="E187" s="457">
        <v>4</v>
      </c>
      <c r="F187" s="457">
        <v>7</v>
      </c>
      <c r="G187" s="457">
        <v>4</v>
      </c>
      <c r="H187" s="457">
        <v>4</v>
      </c>
      <c r="I187" s="457">
        <v>11</v>
      </c>
      <c r="J187" s="457">
        <v>10</v>
      </c>
      <c r="K187" s="457">
        <v>7</v>
      </c>
      <c r="L187" s="457">
        <v>9</v>
      </c>
      <c r="M187" s="457">
        <v>8</v>
      </c>
      <c r="N187" s="457">
        <v>7</v>
      </c>
      <c r="O187" s="457">
        <v>5</v>
      </c>
      <c r="P187" s="457">
        <v>5</v>
      </c>
      <c r="Q187" s="457">
        <v>7</v>
      </c>
      <c r="R187" s="457">
        <v>10</v>
      </c>
      <c r="T187" s="457">
        <v>98</v>
      </c>
      <c r="V187" s="457">
        <f t="shared" si="2"/>
        <v>98</v>
      </c>
    </row>
    <row r="188" spans="1:22">
      <c r="A188" s="457" t="s">
        <v>561</v>
      </c>
      <c r="B188" s="457" t="s">
        <v>1009</v>
      </c>
      <c r="C188" s="457" t="s">
        <v>193</v>
      </c>
      <c r="G188" s="457">
        <v>1</v>
      </c>
      <c r="I188" s="457">
        <v>2</v>
      </c>
      <c r="J188" s="457">
        <v>1</v>
      </c>
      <c r="T188" s="457">
        <v>4</v>
      </c>
      <c r="V188" s="457">
        <f t="shared" si="2"/>
        <v>4</v>
      </c>
    </row>
    <row r="189" spans="1:22">
      <c r="A189" s="457" t="s">
        <v>563</v>
      </c>
      <c r="B189" s="457" t="s">
        <v>1010</v>
      </c>
      <c r="C189" s="457" t="s">
        <v>193</v>
      </c>
      <c r="H189" s="457">
        <v>1</v>
      </c>
      <c r="I189" s="457">
        <v>2</v>
      </c>
      <c r="K189" s="457">
        <v>1</v>
      </c>
      <c r="L189" s="457">
        <v>1</v>
      </c>
      <c r="M189" s="457">
        <v>1</v>
      </c>
      <c r="N189" s="457">
        <v>1</v>
      </c>
      <c r="T189" s="457">
        <v>7</v>
      </c>
      <c r="V189" s="457">
        <f t="shared" si="2"/>
        <v>7</v>
      </c>
    </row>
    <row r="190" spans="1:22">
      <c r="A190" s="457" t="s">
        <v>565</v>
      </c>
      <c r="B190" s="457" t="s">
        <v>1011</v>
      </c>
      <c r="C190" s="457" t="s">
        <v>230</v>
      </c>
      <c r="D190" s="457" t="s">
        <v>818</v>
      </c>
      <c r="E190" s="457">
        <v>2</v>
      </c>
      <c r="G190" s="457">
        <v>2</v>
      </c>
      <c r="H190" s="457">
        <v>1</v>
      </c>
      <c r="I190" s="457">
        <v>3</v>
      </c>
      <c r="J190" s="457">
        <v>3</v>
      </c>
      <c r="L190" s="457">
        <v>3</v>
      </c>
      <c r="M190" s="457">
        <v>1</v>
      </c>
      <c r="N190" s="457">
        <v>3</v>
      </c>
      <c r="T190" s="457">
        <v>18</v>
      </c>
      <c r="V190" s="457">
        <f t="shared" si="2"/>
        <v>18</v>
      </c>
    </row>
    <row r="191" spans="1:22">
      <c r="A191" s="457" t="s">
        <v>567</v>
      </c>
      <c r="B191" s="457" t="s">
        <v>1012</v>
      </c>
      <c r="C191" s="457" t="s">
        <v>230</v>
      </c>
      <c r="E191" s="457">
        <v>5</v>
      </c>
      <c r="F191" s="457">
        <v>1</v>
      </c>
      <c r="G191" s="457">
        <v>2</v>
      </c>
      <c r="H191" s="457">
        <v>5</v>
      </c>
      <c r="I191" s="457">
        <v>6</v>
      </c>
      <c r="J191" s="457">
        <v>5</v>
      </c>
      <c r="K191" s="457">
        <v>7</v>
      </c>
      <c r="L191" s="457">
        <v>4</v>
      </c>
      <c r="M191" s="457">
        <v>3</v>
      </c>
      <c r="N191" s="457">
        <v>3</v>
      </c>
      <c r="O191" s="457">
        <v>3</v>
      </c>
      <c r="P191" s="457">
        <v>3</v>
      </c>
      <c r="Q191" s="457">
        <v>4</v>
      </c>
      <c r="R191" s="457">
        <v>4</v>
      </c>
      <c r="T191" s="457">
        <v>55</v>
      </c>
      <c r="V191" s="457">
        <f t="shared" si="2"/>
        <v>55</v>
      </c>
    </row>
    <row r="192" spans="1:22">
      <c r="A192" s="457" t="s">
        <v>569</v>
      </c>
      <c r="B192" s="457" t="s">
        <v>1013</v>
      </c>
      <c r="C192" s="457" t="s">
        <v>204</v>
      </c>
      <c r="E192" s="457">
        <v>34</v>
      </c>
      <c r="F192" s="457">
        <v>20</v>
      </c>
      <c r="G192" s="457">
        <v>24</v>
      </c>
      <c r="H192" s="457">
        <v>25</v>
      </c>
      <c r="I192" s="457">
        <v>26</v>
      </c>
      <c r="J192" s="457">
        <v>26</v>
      </c>
      <c r="K192" s="457">
        <v>37</v>
      </c>
      <c r="L192" s="457">
        <v>34</v>
      </c>
      <c r="M192" s="457">
        <v>39</v>
      </c>
      <c r="N192" s="457">
        <v>17</v>
      </c>
      <c r="O192" s="457">
        <v>37</v>
      </c>
      <c r="P192" s="457">
        <v>27</v>
      </c>
      <c r="Q192" s="457">
        <v>30</v>
      </c>
      <c r="R192" s="457">
        <v>26</v>
      </c>
      <c r="T192" s="457">
        <v>402</v>
      </c>
      <c r="V192" s="457">
        <f t="shared" si="2"/>
        <v>402</v>
      </c>
    </row>
    <row r="193" spans="1:22">
      <c r="A193" s="457" t="s">
        <v>571</v>
      </c>
      <c r="B193" s="457" t="s">
        <v>1014</v>
      </c>
      <c r="C193" s="457" t="s">
        <v>201</v>
      </c>
      <c r="E193" s="457">
        <v>54</v>
      </c>
      <c r="F193" s="457">
        <v>51</v>
      </c>
      <c r="G193" s="457">
        <v>39</v>
      </c>
      <c r="H193" s="457">
        <v>45</v>
      </c>
      <c r="I193" s="457">
        <v>29</v>
      </c>
      <c r="J193" s="457">
        <v>33</v>
      </c>
      <c r="K193" s="457">
        <v>42</v>
      </c>
      <c r="L193" s="457">
        <v>40</v>
      </c>
      <c r="M193" s="457">
        <v>46</v>
      </c>
      <c r="N193" s="457">
        <v>45</v>
      </c>
      <c r="O193" s="457">
        <v>48</v>
      </c>
      <c r="P193" s="457">
        <v>50</v>
      </c>
      <c r="Q193" s="457">
        <v>51</v>
      </c>
      <c r="R193" s="457">
        <v>47</v>
      </c>
      <c r="T193" s="457">
        <v>620</v>
      </c>
      <c r="V193" s="457">
        <f t="shared" si="2"/>
        <v>620</v>
      </c>
    </row>
    <row r="194" spans="1:22">
      <c r="A194" s="457" t="s">
        <v>573</v>
      </c>
      <c r="B194" s="457" t="s">
        <v>1015</v>
      </c>
      <c r="C194" s="457" t="s">
        <v>230</v>
      </c>
      <c r="F194" s="457">
        <v>2</v>
      </c>
      <c r="I194" s="457">
        <v>1</v>
      </c>
      <c r="J194" s="457">
        <v>1</v>
      </c>
      <c r="T194" s="457">
        <v>4</v>
      </c>
      <c r="V194" s="457">
        <f t="shared" si="2"/>
        <v>4</v>
      </c>
    </row>
    <row r="195" spans="1:22">
      <c r="A195" s="457" t="s">
        <v>575</v>
      </c>
      <c r="B195" s="457" t="s">
        <v>1016</v>
      </c>
      <c r="C195" s="457" t="s">
        <v>193</v>
      </c>
      <c r="G195" s="457">
        <v>1</v>
      </c>
      <c r="I195" s="457">
        <v>2</v>
      </c>
      <c r="J195" s="457">
        <v>2</v>
      </c>
      <c r="K195" s="457">
        <v>4</v>
      </c>
      <c r="L195" s="457">
        <v>4</v>
      </c>
      <c r="M195" s="457">
        <v>1</v>
      </c>
      <c r="N195" s="457">
        <v>2</v>
      </c>
      <c r="O195" s="457">
        <v>2</v>
      </c>
      <c r="P195" s="457">
        <v>1</v>
      </c>
      <c r="Q195" s="457">
        <v>2</v>
      </c>
      <c r="R195" s="457">
        <v>1</v>
      </c>
      <c r="T195" s="457">
        <v>22</v>
      </c>
      <c r="V195" s="457">
        <f t="shared" si="2"/>
        <v>22</v>
      </c>
    </row>
    <row r="196" spans="1:22">
      <c r="A196" s="457" t="s">
        <v>577</v>
      </c>
      <c r="B196" s="457" t="s">
        <v>1017</v>
      </c>
      <c r="C196" s="457" t="s">
        <v>201</v>
      </c>
      <c r="E196" s="457">
        <v>162</v>
      </c>
      <c r="F196" s="457">
        <v>101</v>
      </c>
      <c r="G196" s="457">
        <v>158</v>
      </c>
      <c r="H196" s="457">
        <v>157</v>
      </c>
      <c r="I196" s="457">
        <v>178</v>
      </c>
      <c r="J196" s="457">
        <v>202</v>
      </c>
      <c r="K196" s="457">
        <v>193</v>
      </c>
      <c r="L196" s="457">
        <v>179</v>
      </c>
      <c r="M196" s="457">
        <v>162</v>
      </c>
      <c r="N196" s="457">
        <v>201</v>
      </c>
      <c r="O196" s="457">
        <v>195</v>
      </c>
      <c r="P196" s="457">
        <v>168</v>
      </c>
      <c r="Q196" s="457">
        <v>179</v>
      </c>
      <c r="R196" s="457">
        <v>218</v>
      </c>
      <c r="T196" s="457">
        <v>2453</v>
      </c>
      <c r="V196" s="457">
        <f t="shared" ref="V196:V259" si="3">T196</f>
        <v>2453</v>
      </c>
    </row>
    <row r="197" spans="1:22">
      <c r="A197" s="457" t="s">
        <v>579</v>
      </c>
      <c r="B197" s="457" t="s">
        <v>1018</v>
      </c>
      <c r="C197" s="457" t="s">
        <v>230</v>
      </c>
      <c r="F197" s="457">
        <v>3</v>
      </c>
      <c r="G197" s="457">
        <v>2</v>
      </c>
      <c r="H197" s="457">
        <v>1</v>
      </c>
      <c r="I197" s="457">
        <v>3</v>
      </c>
      <c r="J197" s="457">
        <v>2</v>
      </c>
      <c r="K197" s="457">
        <v>2</v>
      </c>
      <c r="L197" s="457">
        <v>5</v>
      </c>
      <c r="M197" s="457">
        <v>3</v>
      </c>
      <c r="N197" s="457">
        <v>1</v>
      </c>
      <c r="O197" s="457">
        <v>4</v>
      </c>
      <c r="P197" s="457">
        <v>2</v>
      </c>
      <c r="Q197" s="457">
        <v>2</v>
      </c>
      <c r="R197" s="457">
        <v>3</v>
      </c>
      <c r="T197" s="457">
        <v>33</v>
      </c>
      <c r="V197" s="457">
        <f t="shared" si="3"/>
        <v>33</v>
      </c>
    </row>
    <row r="198" spans="1:22">
      <c r="A198" s="457" t="s">
        <v>581</v>
      </c>
      <c r="B198" s="457" t="s">
        <v>1143</v>
      </c>
      <c r="C198" s="457" t="s">
        <v>201</v>
      </c>
      <c r="E198" s="457">
        <v>4</v>
      </c>
      <c r="F198" s="457">
        <v>4</v>
      </c>
      <c r="G198" s="457">
        <v>3</v>
      </c>
      <c r="H198" s="457">
        <v>7</v>
      </c>
      <c r="I198" s="457">
        <v>6</v>
      </c>
      <c r="J198" s="457">
        <v>3</v>
      </c>
      <c r="K198" s="457">
        <v>1</v>
      </c>
      <c r="M198" s="457">
        <v>3</v>
      </c>
      <c r="N198" s="457">
        <v>3</v>
      </c>
      <c r="T198" s="457">
        <v>34</v>
      </c>
      <c r="V198" s="457">
        <f t="shared" si="3"/>
        <v>34</v>
      </c>
    </row>
    <row r="199" spans="1:22">
      <c r="A199" s="457" t="s">
        <v>583</v>
      </c>
      <c r="B199" s="457" t="s">
        <v>1019</v>
      </c>
      <c r="C199" s="457" t="s">
        <v>188</v>
      </c>
      <c r="E199" s="457">
        <v>5</v>
      </c>
      <c r="F199" s="457">
        <v>6</v>
      </c>
      <c r="G199" s="457">
        <v>3</v>
      </c>
      <c r="H199" s="457">
        <v>5</v>
      </c>
      <c r="I199" s="457">
        <v>5</v>
      </c>
      <c r="J199" s="457">
        <v>5</v>
      </c>
      <c r="K199" s="457">
        <v>7</v>
      </c>
      <c r="L199" s="457">
        <v>5</v>
      </c>
      <c r="M199" s="457">
        <v>4</v>
      </c>
      <c r="N199" s="457">
        <v>5</v>
      </c>
      <c r="O199" s="457">
        <v>2</v>
      </c>
      <c r="P199" s="457">
        <v>2</v>
      </c>
      <c r="Q199" s="457">
        <v>1</v>
      </c>
      <c r="R199" s="457">
        <v>2</v>
      </c>
      <c r="T199" s="457">
        <v>57</v>
      </c>
      <c r="V199" s="457">
        <f t="shared" si="3"/>
        <v>57</v>
      </c>
    </row>
    <row r="200" spans="1:22">
      <c r="A200" s="457" t="s">
        <v>585</v>
      </c>
      <c r="B200" s="457" t="s">
        <v>1020</v>
      </c>
      <c r="C200" s="457" t="s">
        <v>204</v>
      </c>
      <c r="E200" s="457">
        <v>83</v>
      </c>
      <c r="F200" s="457">
        <v>77</v>
      </c>
      <c r="G200" s="457">
        <v>104</v>
      </c>
      <c r="H200" s="457">
        <v>92</v>
      </c>
      <c r="I200" s="457">
        <v>118</v>
      </c>
      <c r="J200" s="457">
        <v>114</v>
      </c>
      <c r="K200" s="457">
        <v>86</v>
      </c>
      <c r="L200" s="457">
        <v>93</v>
      </c>
      <c r="M200" s="457">
        <v>82</v>
      </c>
      <c r="N200" s="457">
        <v>84</v>
      </c>
      <c r="O200" s="457">
        <v>65</v>
      </c>
      <c r="P200" s="457">
        <v>77</v>
      </c>
      <c r="Q200" s="457">
        <v>62</v>
      </c>
      <c r="R200" s="457">
        <v>95</v>
      </c>
      <c r="T200" s="457">
        <v>1232</v>
      </c>
      <c r="V200" s="457">
        <f t="shared" si="3"/>
        <v>1232</v>
      </c>
    </row>
    <row r="201" spans="1:22">
      <c r="A201" s="457" t="s">
        <v>1164</v>
      </c>
      <c r="B201" s="457" t="s">
        <v>1284</v>
      </c>
      <c r="C201" s="457" t="s">
        <v>230</v>
      </c>
      <c r="L201" s="457">
        <v>10</v>
      </c>
      <c r="M201" s="457">
        <v>6</v>
      </c>
      <c r="N201" s="457">
        <v>10</v>
      </c>
      <c r="T201" s="457">
        <v>26</v>
      </c>
      <c r="V201" s="457">
        <f t="shared" si="3"/>
        <v>26</v>
      </c>
    </row>
    <row r="202" spans="1:22">
      <c r="A202" s="457" t="s">
        <v>587</v>
      </c>
      <c r="B202" s="457" t="s">
        <v>1021</v>
      </c>
      <c r="C202" s="457" t="s">
        <v>188</v>
      </c>
      <c r="E202" s="457">
        <v>20</v>
      </c>
      <c r="F202" s="457">
        <v>6</v>
      </c>
      <c r="G202" s="457">
        <v>18</v>
      </c>
      <c r="H202" s="457">
        <v>8</v>
      </c>
      <c r="I202" s="457">
        <v>13</v>
      </c>
      <c r="J202" s="457">
        <v>16</v>
      </c>
      <c r="K202" s="457">
        <v>16</v>
      </c>
      <c r="L202" s="457">
        <v>19</v>
      </c>
      <c r="M202" s="457">
        <v>13</v>
      </c>
      <c r="N202" s="457">
        <v>15</v>
      </c>
      <c r="T202" s="457">
        <v>144</v>
      </c>
      <c r="V202" s="457">
        <f t="shared" si="3"/>
        <v>144</v>
      </c>
    </row>
    <row r="203" spans="1:22">
      <c r="A203" s="457" t="s">
        <v>589</v>
      </c>
      <c r="B203" s="457" t="s">
        <v>1022</v>
      </c>
      <c r="C203" s="457" t="s">
        <v>201</v>
      </c>
      <c r="F203" s="457">
        <v>10</v>
      </c>
      <c r="G203" s="457">
        <v>5</v>
      </c>
      <c r="H203" s="457">
        <v>6</v>
      </c>
      <c r="I203" s="457">
        <v>2</v>
      </c>
      <c r="J203" s="457">
        <v>6</v>
      </c>
      <c r="K203" s="457">
        <v>7</v>
      </c>
      <c r="L203" s="457">
        <v>4</v>
      </c>
      <c r="M203" s="457">
        <v>1</v>
      </c>
      <c r="N203" s="457">
        <v>5</v>
      </c>
      <c r="O203" s="457">
        <v>2</v>
      </c>
      <c r="P203" s="457">
        <v>5</v>
      </c>
      <c r="Q203" s="457">
        <v>4</v>
      </c>
      <c r="R203" s="457">
        <v>3</v>
      </c>
      <c r="T203" s="457">
        <v>60</v>
      </c>
      <c r="V203" s="457">
        <f t="shared" si="3"/>
        <v>60</v>
      </c>
    </row>
    <row r="204" spans="1:22">
      <c r="A204" s="457" t="s">
        <v>591</v>
      </c>
      <c r="B204" s="457" t="s">
        <v>1023</v>
      </c>
      <c r="C204" s="457" t="s">
        <v>227</v>
      </c>
      <c r="E204" s="457">
        <v>25</v>
      </c>
      <c r="F204" s="457">
        <v>35</v>
      </c>
      <c r="G204" s="457">
        <v>58</v>
      </c>
      <c r="H204" s="457">
        <v>50</v>
      </c>
      <c r="I204" s="457">
        <v>48</v>
      </c>
      <c r="J204" s="457">
        <v>55</v>
      </c>
      <c r="K204" s="457">
        <v>40</v>
      </c>
      <c r="L204" s="457">
        <v>44</v>
      </c>
      <c r="M204" s="457">
        <v>49</v>
      </c>
      <c r="N204" s="457">
        <v>34</v>
      </c>
      <c r="O204" s="457">
        <v>35</v>
      </c>
      <c r="P204" s="457">
        <v>44</v>
      </c>
      <c r="Q204" s="457">
        <v>38</v>
      </c>
      <c r="R204" s="457">
        <v>45</v>
      </c>
      <c r="T204" s="457">
        <v>600</v>
      </c>
      <c r="V204" s="457">
        <f t="shared" si="3"/>
        <v>600</v>
      </c>
    </row>
    <row r="205" spans="1:22">
      <c r="A205" s="457" t="s">
        <v>593</v>
      </c>
      <c r="B205" s="457" t="s">
        <v>1024</v>
      </c>
      <c r="C205" s="457" t="s">
        <v>227</v>
      </c>
      <c r="E205" s="457">
        <v>8</v>
      </c>
      <c r="F205" s="457">
        <v>6</v>
      </c>
      <c r="G205" s="457">
        <v>5</v>
      </c>
      <c r="H205" s="457">
        <v>18</v>
      </c>
      <c r="I205" s="457">
        <v>5</v>
      </c>
      <c r="J205" s="457">
        <v>6</v>
      </c>
      <c r="K205" s="457">
        <v>14</v>
      </c>
      <c r="L205" s="457">
        <v>13</v>
      </c>
      <c r="M205" s="457">
        <v>10</v>
      </c>
      <c r="N205" s="457">
        <v>15</v>
      </c>
      <c r="O205" s="457">
        <v>22</v>
      </c>
      <c r="P205" s="457">
        <v>9</v>
      </c>
      <c r="Q205" s="457">
        <v>12</v>
      </c>
      <c r="R205" s="457">
        <v>16</v>
      </c>
      <c r="T205" s="457">
        <v>159</v>
      </c>
      <c r="V205" s="457">
        <f t="shared" si="3"/>
        <v>159</v>
      </c>
    </row>
    <row r="206" spans="1:22">
      <c r="A206" s="457" t="s">
        <v>595</v>
      </c>
      <c r="B206" s="457" t="s">
        <v>1025</v>
      </c>
      <c r="C206" s="457" t="s">
        <v>201</v>
      </c>
      <c r="G206" s="457">
        <v>2</v>
      </c>
      <c r="H206" s="457">
        <v>6</v>
      </c>
      <c r="I206" s="457">
        <v>1</v>
      </c>
      <c r="J206" s="457">
        <v>4</v>
      </c>
      <c r="K206" s="457">
        <v>5</v>
      </c>
      <c r="L206" s="457">
        <v>4</v>
      </c>
      <c r="N206" s="457">
        <v>1</v>
      </c>
      <c r="O206" s="457">
        <v>3</v>
      </c>
      <c r="P206" s="457">
        <v>4</v>
      </c>
      <c r="Q206" s="457">
        <v>2</v>
      </c>
      <c r="R206" s="457">
        <v>2</v>
      </c>
      <c r="T206" s="457">
        <v>34</v>
      </c>
      <c r="V206" s="457">
        <f t="shared" si="3"/>
        <v>34</v>
      </c>
    </row>
    <row r="207" spans="1:22">
      <c r="A207" s="457" t="s">
        <v>597</v>
      </c>
      <c r="B207" s="457" t="s">
        <v>1249</v>
      </c>
      <c r="C207" s="457" t="s">
        <v>193</v>
      </c>
      <c r="L207" s="457">
        <v>9</v>
      </c>
      <c r="M207" s="457">
        <v>14</v>
      </c>
      <c r="N207" s="457">
        <v>21</v>
      </c>
      <c r="O207" s="457">
        <v>18</v>
      </c>
      <c r="P207" s="457">
        <v>16</v>
      </c>
      <c r="Q207" s="457">
        <v>8</v>
      </c>
      <c r="R207" s="457">
        <v>19</v>
      </c>
      <c r="T207" s="457">
        <v>105</v>
      </c>
      <c r="V207" s="457">
        <f t="shared" si="3"/>
        <v>105</v>
      </c>
    </row>
    <row r="208" spans="1:22">
      <c r="A208" s="457" t="s">
        <v>599</v>
      </c>
      <c r="B208" s="457" t="s">
        <v>1027</v>
      </c>
      <c r="C208" s="457" t="s">
        <v>201</v>
      </c>
      <c r="E208" s="457">
        <v>13</v>
      </c>
      <c r="F208" s="457">
        <v>9</v>
      </c>
      <c r="G208" s="457">
        <v>14</v>
      </c>
      <c r="H208" s="457">
        <v>17</v>
      </c>
      <c r="I208" s="457">
        <v>26</v>
      </c>
      <c r="J208" s="457">
        <v>34</v>
      </c>
      <c r="K208" s="457">
        <v>33</v>
      </c>
      <c r="L208" s="457">
        <v>36</v>
      </c>
      <c r="M208" s="457">
        <v>16</v>
      </c>
      <c r="N208" s="457">
        <v>20</v>
      </c>
      <c r="O208" s="457">
        <v>26</v>
      </c>
      <c r="P208" s="457">
        <v>27</v>
      </c>
      <c r="Q208" s="457">
        <v>24</v>
      </c>
      <c r="R208" s="457">
        <v>25</v>
      </c>
      <c r="T208" s="457">
        <v>320</v>
      </c>
      <c r="V208" s="457">
        <f t="shared" si="3"/>
        <v>320</v>
      </c>
    </row>
    <row r="209" spans="1:22">
      <c r="A209" s="457" t="s">
        <v>601</v>
      </c>
      <c r="B209" s="457" t="s">
        <v>1028</v>
      </c>
      <c r="C209" s="457" t="s">
        <v>193</v>
      </c>
      <c r="E209" s="457">
        <v>27</v>
      </c>
      <c r="F209" s="457">
        <v>28</v>
      </c>
      <c r="G209" s="457">
        <v>27</v>
      </c>
      <c r="H209" s="457">
        <v>29</v>
      </c>
      <c r="I209" s="457">
        <v>27</v>
      </c>
      <c r="J209" s="457">
        <v>26</v>
      </c>
      <c r="K209" s="457">
        <v>29</v>
      </c>
      <c r="L209" s="457">
        <v>36</v>
      </c>
      <c r="M209" s="457">
        <v>27</v>
      </c>
      <c r="N209" s="457">
        <v>25</v>
      </c>
      <c r="O209" s="457">
        <v>26</v>
      </c>
      <c r="P209" s="457">
        <v>28</v>
      </c>
      <c r="Q209" s="457">
        <v>21</v>
      </c>
      <c r="R209" s="457">
        <v>18</v>
      </c>
      <c r="T209" s="457">
        <v>374</v>
      </c>
      <c r="V209" s="457">
        <f t="shared" si="3"/>
        <v>374</v>
      </c>
    </row>
    <row r="210" spans="1:22">
      <c r="A210" s="457" t="s">
        <v>1166</v>
      </c>
      <c r="B210" s="457" t="s">
        <v>1285</v>
      </c>
      <c r="C210" s="457" t="s">
        <v>193</v>
      </c>
      <c r="F210" s="457">
        <v>2</v>
      </c>
      <c r="G210" s="457">
        <v>4</v>
      </c>
      <c r="I210" s="457">
        <v>2</v>
      </c>
      <c r="J210" s="457">
        <v>1</v>
      </c>
      <c r="K210" s="457">
        <v>3</v>
      </c>
      <c r="T210" s="457">
        <v>12</v>
      </c>
      <c r="V210" s="457">
        <f t="shared" si="3"/>
        <v>12</v>
      </c>
    </row>
    <row r="211" spans="1:22">
      <c r="A211" s="457" t="s">
        <v>603</v>
      </c>
      <c r="B211" s="457" t="s">
        <v>1029</v>
      </c>
      <c r="C211" s="457" t="s">
        <v>204</v>
      </c>
      <c r="E211" s="457">
        <v>247</v>
      </c>
      <c r="F211" s="457">
        <v>180</v>
      </c>
      <c r="G211" s="457">
        <v>227</v>
      </c>
      <c r="H211" s="457">
        <v>210</v>
      </c>
      <c r="I211" s="457">
        <v>243</v>
      </c>
      <c r="J211" s="457">
        <v>245</v>
      </c>
      <c r="K211" s="457">
        <v>193</v>
      </c>
      <c r="L211" s="457">
        <v>181</v>
      </c>
      <c r="M211" s="457">
        <v>195</v>
      </c>
      <c r="N211" s="457">
        <v>212</v>
      </c>
      <c r="O211" s="457">
        <v>204</v>
      </c>
      <c r="P211" s="457">
        <v>174</v>
      </c>
      <c r="Q211" s="457">
        <v>191</v>
      </c>
      <c r="R211" s="457">
        <v>236</v>
      </c>
      <c r="T211" s="457">
        <v>2938</v>
      </c>
      <c r="V211" s="457">
        <f t="shared" si="3"/>
        <v>2938</v>
      </c>
    </row>
    <row r="212" spans="1:22">
      <c r="A212" s="457" t="s">
        <v>605</v>
      </c>
      <c r="B212" s="457" t="s">
        <v>1030</v>
      </c>
      <c r="C212" s="457" t="s">
        <v>227</v>
      </c>
      <c r="F212" s="457">
        <v>1</v>
      </c>
      <c r="K212" s="457">
        <v>1</v>
      </c>
      <c r="M212" s="457">
        <v>2</v>
      </c>
      <c r="N212" s="457">
        <v>1</v>
      </c>
      <c r="T212" s="457">
        <v>5</v>
      </c>
      <c r="V212" s="457">
        <f t="shared" si="3"/>
        <v>5</v>
      </c>
    </row>
    <row r="213" spans="1:22">
      <c r="A213" s="457" t="s">
        <v>607</v>
      </c>
      <c r="B213" s="457" t="s">
        <v>1031</v>
      </c>
      <c r="C213" s="457" t="s">
        <v>227</v>
      </c>
      <c r="E213" s="457">
        <v>1</v>
      </c>
      <c r="F213" s="457">
        <v>2</v>
      </c>
      <c r="H213" s="457">
        <v>4</v>
      </c>
      <c r="I213" s="457">
        <v>7</v>
      </c>
      <c r="J213" s="457">
        <v>2</v>
      </c>
      <c r="K213" s="457">
        <v>4</v>
      </c>
      <c r="L213" s="457">
        <v>9</v>
      </c>
      <c r="M213" s="457">
        <v>6</v>
      </c>
      <c r="N213" s="457">
        <v>5</v>
      </c>
      <c r="O213" s="457">
        <v>2</v>
      </c>
      <c r="P213" s="457">
        <v>4</v>
      </c>
      <c r="Q213" s="457">
        <v>5</v>
      </c>
      <c r="R213" s="457">
        <v>5</v>
      </c>
      <c r="T213" s="457">
        <v>56</v>
      </c>
      <c r="V213" s="457">
        <f t="shared" si="3"/>
        <v>56</v>
      </c>
    </row>
    <row r="214" spans="1:22">
      <c r="A214" s="457" t="s">
        <v>611</v>
      </c>
      <c r="B214" s="457" t="s">
        <v>1032</v>
      </c>
      <c r="C214" s="457" t="s">
        <v>227</v>
      </c>
      <c r="E214" s="457">
        <v>8</v>
      </c>
      <c r="F214" s="457">
        <v>11</v>
      </c>
      <c r="G214" s="457">
        <v>13</v>
      </c>
      <c r="H214" s="457">
        <v>11</v>
      </c>
      <c r="I214" s="457">
        <v>17</v>
      </c>
      <c r="J214" s="457">
        <v>21</v>
      </c>
      <c r="K214" s="457">
        <v>22</v>
      </c>
      <c r="L214" s="457">
        <v>22</v>
      </c>
      <c r="M214" s="457">
        <v>31</v>
      </c>
      <c r="N214" s="457">
        <v>35</v>
      </c>
      <c r="O214" s="457">
        <v>50</v>
      </c>
      <c r="P214" s="457">
        <v>89</v>
      </c>
      <c r="Q214" s="457">
        <v>85</v>
      </c>
      <c r="R214" s="457">
        <v>141</v>
      </c>
      <c r="T214" s="457">
        <v>556</v>
      </c>
      <c r="V214" s="457">
        <f t="shared" si="3"/>
        <v>556</v>
      </c>
    </row>
    <row r="215" spans="1:22">
      <c r="A215" s="457" t="s">
        <v>613</v>
      </c>
      <c r="B215" s="457" t="s">
        <v>1033</v>
      </c>
      <c r="C215" s="457" t="s">
        <v>230</v>
      </c>
      <c r="E215" s="457">
        <v>22</v>
      </c>
      <c r="F215" s="457">
        <v>15</v>
      </c>
      <c r="G215" s="457">
        <v>23</v>
      </c>
      <c r="H215" s="457">
        <v>33</v>
      </c>
      <c r="I215" s="457">
        <v>35</v>
      </c>
      <c r="J215" s="457">
        <v>36</v>
      </c>
      <c r="K215" s="457">
        <v>37</v>
      </c>
      <c r="L215" s="457">
        <v>51</v>
      </c>
      <c r="M215" s="457">
        <v>32</v>
      </c>
      <c r="N215" s="457">
        <v>29</v>
      </c>
      <c r="O215" s="457">
        <v>37</v>
      </c>
      <c r="P215" s="457">
        <v>19</v>
      </c>
      <c r="Q215" s="457">
        <v>25</v>
      </c>
      <c r="R215" s="457">
        <v>31</v>
      </c>
      <c r="T215" s="457">
        <v>425</v>
      </c>
      <c r="V215" s="457">
        <f t="shared" si="3"/>
        <v>425</v>
      </c>
    </row>
    <row r="216" spans="1:22">
      <c r="A216" s="457" t="s">
        <v>615</v>
      </c>
      <c r="B216" s="457" t="s">
        <v>1034</v>
      </c>
      <c r="C216" s="457" t="s">
        <v>188</v>
      </c>
      <c r="E216" s="457">
        <v>10</v>
      </c>
      <c r="F216" s="457">
        <v>7</v>
      </c>
      <c r="G216" s="457">
        <v>5</v>
      </c>
      <c r="H216" s="457">
        <v>12</v>
      </c>
      <c r="I216" s="457">
        <v>18</v>
      </c>
      <c r="J216" s="457">
        <v>10</v>
      </c>
      <c r="K216" s="457">
        <v>6</v>
      </c>
      <c r="L216" s="457">
        <v>11</v>
      </c>
      <c r="M216" s="457">
        <v>11</v>
      </c>
      <c r="N216" s="457">
        <v>13</v>
      </c>
      <c r="O216" s="457">
        <v>7</v>
      </c>
      <c r="P216" s="457">
        <v>7</v>
      </c>
      <c r="Q216" s="457">
        <v>5</v>
      </c>
      <c r="R216" s="457">
        <v>11</v>
      </c>
      <c r="T216" s="457">
        <v>133</v>
      </c>
      <c r="V216" s="457">
        <f t="shared" si="3"/>
        <v>133</v>
      </c>
    </row>
    <row r="217" spans="1:22">
      <c r="A217" s="457" t="s">
        <v>617</v>
      </c>
      <c r="B217" s="457" t="s">
        <v>1035</v>
      </c>
      <c r="C217" s="457" t="s">
        <v>204</v>
      </c>
      <c r="K217" s="457">
        <v>4</v>
      </c>
      <c r="L217" s="457">
        <v>6</v>
      </c>
      <c r="M217" s="457">
        <v>5</v>
      </c>
      <c r="N217" s="457">
        <v>6</v>
      </c>
      <c r="T217" s="457">
        <v>21</v>
      </c>
      <c r="V217" s="457">
        <f t="shared" si="3"/>
        <v>21</v>
      </c>
    </row>
    <row r="218" spans="1:22">
      <c r="A218" s="457" t="s">
        <v>619</v>
      </c>
      <c r="B218" s="457" t="s">
        <v>1236</v>
      </c>
      <c r="C218" s="457" t="s">
        <v>204</v>
      </c>
      <c r="L218" s="457">
        <v>5</v>
      </c>
      <c r="M218" s="457">
        <v>3</v>
      </c>
      <c r="N218" s="457">
        <v>4</v>
      </c>
      <c r="O218" s="457">
        <v>9</v>
      </c>
      <c r="P218" s="457">
        <v>5</v>
      </c>
      <c r="Q218" s="457">
        <v>7</v>
      </c>
      <c r="R218" s="457">
        <v>2</v>
      </c>
      <c r="T218" s="457">
        <v>35</v>
      </c>
      <c r="V218" s="457">
        <f t="shared" si="3"/>
        <v>35</v>
      </c>
    </row>
    <row r="219" spans="1:22">
      <c r="A219" s="457" t="s">
        <v>620</v>
      </c>
      <c r="B219" s="457" t="s">
        <v>1267</v>
      </c>
      <c r="C219" s="457" t="s">
        <v>188</v>
      </c>
      <c r="D219" s="457" t="s">
        <v>818</v>
      </c>
      <c r="F219" s="457">
        <v>2</v>
      </c>
      <c r="G219" s="457">
        <v>6</v>
      </c>
      <c r="H219" s="457">
        <v>8</v>
      </c>
      <c r="I219" s="457">
        <v>1</v>
      </c>
      <c r="J219" s="457">
        <v>7</v>
      </c>
      <c r="K219" s="457">
        <v>7</v>
      </c>
      <c r="L219" s="457">
        <v>4</v>
      </c>
      <c r="M219" s="457">
        <v>6</v>
      </c>
      <c r="N219" s="457">
        <v>7</v>
      </c>
      <c r="O219" s="457">
        <v>9</v>
      </c>
      <c r="P219" s="457">
        <v>8</v>
      </c>
      <c r="Q219" s="457">
        <v>5</v>
      </c>
      <c r="R219" s="457">
        <v>8</v>
      </c>
      <c r="T219" s="457">
        <v>78</v>
      </c>
      <c r="V219" s="457">
        <f t="shared" si="3"/>
        <v>78</v>
      </c>
    </row>
    <row r="220" spans="1:22">
      <c r="A220" s="457" t="s">
        <v>622</v>
      </c>
      <c r="B220" s="457" t="s">
        <v>1036</v>
      </c>
      <c r="C220" s="457" t="s">
        <v>193</v>
      </c>
      <c r="E220" s="457">
        <v>1</v>
      </c>
      <c r="F220" s="457">
        <v>2</v>
      </c>
      <c r="G220" s="457">
        <v>6</v>
      </c>
      <c r="H220" s="457">
        <v>4</v>
      </c>
      <c r="I220" s="457">
        <v>10</v>
      </c>
      <c r="J220" s="457">
        <v>3</v>
      </c>
      <c r="K220" s="457">
        <v>6</v>
      </c>
      <c r="L220" s="457">
        <v>10</v>
      </c>
      <c r="M220" s="457">
        <v>4</v>
      </c>
      <c r="N220" s="457">
        <v>5</v>
      </c>
      <c r="O220" s="457">
        <v>7</v>
      </c>
      <c r="P220" s="457">
        <v>10</v>
      </c>
      <c r="Q220" s="457">
        <v>6</v>
      </c>
      <c r="R220" s="457">
        <v>12</v>
      </c>
      <c r="T220" s="457">
        <v>86</v>
      </c>
      <c r="V220" s="457">
        <f t="shared" si="3"/>
        <v>86</v>
      </c>
    </row>
    <row r="221" spans="1:22">
      <c r="A221" s="457" t="s">
        <v>624</v>
      </c>
      <c r="B221" s="457" t="s">
        <v>1037</v>
      </c>
      <c r="C221" s="457" t="s">
        <v>204</v>
      </c>
      <c r="E221" s="457">
        <v>207</v>
      </c>
      <c r="F221" s="457">
        <v>116</v>
      </c>
      <c r="G221" s="457">
        <v>142</v>
      </c>
      <c r="H221" s="457">
        <v>145</v>
      </c>
      <c r="I221" s="457">
        <v>172</v>
      </c>
      <c r="J221" s="457">
        <v>176</v>
      </c>
      <c r="K221" s="457">
        <v>147</v>
      </c>
      <c r="L221" s="457">
        <v>154</v>
      </c>
      <c r="M221" s="457">
        <v>167</v>
      </c>
      <c r="N221" s="457">
        <v>163</v>
      </c>
      <c r="O221" s="457">
        <v>142</v>
      </c>
      <c r="P221" s="457">
        <v>153</v>
      </c>
      <c r="Q221" s="457">
        <v>123</v>
      </c>
      <c r="R221" s="457">
        <v>143</v>
      </c>
      <c r="T221" s="457">
        <v>2150</v>
      </c>
      <c r="V221" s="457">
        <f t="shared" si="3"/>
        <v>2150</v>
      </c>
    </row>
    <row r="222" spans="1:22">
      <c r="A222" s="457" t="s">
        <v>626</v>
      </c>
      <c r="B222" s="457" t="s">
        <v>1038</v>
      </c>
      <c r="C222" s="457" t="s">
        <v>193</v>
      </c>
      <c r="F222" s="457">
        <v>4</v>
      </c>
      <c r="G222" s="457">
        <v>4</v>
      </c>
      <c r="H222" s="457">
        <v>3</v>
      </c>
      <c r="I222" s="457">
        <v>5</v>
      </c>
      <c r="J222" s="457">
        <v>3</v>
      </c>
      <c r="K222" s="457">
        <v>8</v>
      </c>
      <c r="L222" s="457">
        <v>10</v>
      </c>
      <c r="M222" s="457">
        <v>6</v>
      </c>
      <c r="N222" s="457">
        <v>6</v>
      </c>
      <c r="O222" s="457">
        <v>5</v>
      </c>
      <c r="P222" s="457">
        <v>7</v>
      </c>
      <c r="Q222" s="457">
        <v>3</v>
      </c>
      <c r="R222" s="457">
        <v>5</v>
      </c>
      <c r="T222" s="457">
        <v>69</v>
      </c>
      <c r="V222" s="457">
        <f t="shared" si="3"/>
        <v>69</v>
      </c>
    </row>
    <row r="223" spans="1:22">
      <c r="A223" s="457" t="s">
        <v>628</v>
      </c>
      <c r="B223" s="457" t="s">
        <v>1039</v>
      </c>
      <c r="C223" s="457" t="s">
        <v>201</v>
      </c>
      <c r="E223" s="457">
        <v>105</v>
      </c>
      <c r="F223" s="457">
        <v>109</v>
      </c>
      <c r="G223" s="457">
        <v>166</v>
      </c>
      <c r="H223" s="457">
        <v>142</v>
      </c>
      <c r="I223" s="457">
        <v>157</v>
      </c>
      <c r="J223" s="457">
        <v>133</v>
      </c>
      <c r="K223" s="457">
        <v>150</v>
      </c>
      <c r="L223" s="457">
        <v>166</v>
      </c>
      <c r="M223" s="457">
        <v>124</v>
      </c>
      <c r="N223" s="457">
        <v>129</v>
      </c>
      <c r="O223" s="457">
        <v>136</v>
      </c>
      <c r="P223" s="457">
        <v>141</v>
      </c>
      <c r="Q223" s="457">
        <v>118</v>
      </c>
      <c r="R223" s="457">
        <v>135</v>
      </c>
      <c r="T223" s="457">
        <v>1911</v>
      </c>
      <c r="V223" s="457">
        <f t="shared" si="3"/>
        <v>1911</v>
      </c>
    </row>
    <row r="224" spans="1:22">
      <c r="A224" s="457" t="s">
        <v>630</v>
      </c>
      <c r="B224" s="457" t="s">
        <v>1040</v>
      </c>
      <c r="C224" s="457" t="s">
        <v>209</v>
      </c>
      <c r="E224" s="457">
        <v>36</v>
      </c>
      <c r="F224" s="457">
        <v>35</v>
      </c>
      <c r="G224" s="457">
        <v>32</v>
      </c>
      <c r="H224" s="457">
        <v>38</v>
      </c>
      <c r="I224" s="457">
        <v>44</v>
      </c>
      <c r="J224" s="457">
        <v>38</v>
      </c>
      <c r="K224" s="457">
        <v>41</v>
      </c>
      <c r="L224" s="457">
        <v>38</v>
      </c>
      <c r="M224" s="457">
        <v>34</v>
      </c>
      <c r="N224" s="457">
        <v>28</v>
      </c>
      <c r="O224" s="457">
        <v>28</v>
      </c>
      <c r="P224" s="457">
        <v>25</v>
      </c>
      <c r="Q224" s="457">
        <v>22</v>
      </c>
      <c r="R224" s="457">
        <v>33</v>
      </c>
      <c r="T224" s="457">
        <v>472</v>
      </c>
      <c r="V224" s="457">
        <f t="shared" si="3"/>
        <v>472</v>
      </c>
    </row>
    <row r="225" spans="1:22">
      <c r="A225" s="457" t="s">
        <v>632</v>
      </c>
      <c r="B225" s="457" t="s">
        <v>1041</v>
      </c>
      <c r="C225" s="457" t="s">
        <v>193</v>
      </c>
      <c r="E225" s="457">
        <v>3</v>
      </c>
      <c r="F225" s="457">
        <v>5</v>
      </c>
      <c r="G225" s="457">
        <v>3</v>
      </c>
      <c r="H225" s="457">
        <v>1</v>
      </c>
      <c r="I225" s="457">
        <v>4</v>
      </c>
      <c r="J225" s="457">
        <v>1</v>
      </c>
      <c r="K225" s="457">
        <v>5</v>
      </c>
      <c r="L225" s="457">
        <v>4</v>
      </c>
      <c r="M225" s="457">
        <v>3</v>
      </c>
      <c r="N225" s="457">
        <v>3</v>
      </c>
      <c r="O225" s="457">
        <v>2</v>
      </c>
      <c r="P225" s="457">
        <v>3</v>
      </c>
      <c r="Q225" s="457">
        <v>1</v>
      </c>
      <c r="T225" s="457">
        <v>38</v>
      </c>
      <c r="V225" s="457">
        <f t="shared" si="3"/>
        <v>38</v>
      </c>
    </row>
    <row r="226" spans="1:22">
      <c r="A226" s="457" t="s">
        <v>634</v>
      </c>
      <c r="B226" s="457" t="s">
        <v>1042</v>
      </c>
      <c r="C226" s="457" t="s">
        <v>193</v>
      </c>
      <c r="E226" s="457">
        <v>11</v>
      </c>
      <c r="F226" s="457">
        <v>17</v>
      </c>
      <c r="G226" s="457">
        <v>20</v>
      </c>
      <c r="H226" s="457">
        <v>13</v>
      </c>
      <c r="I226" s="457">
        <v>22</v>
      </c>
      <c r="J226" s="457">
        <v>11</v>
      </c>
      <c r="K226" s="457">
        <v>17</v>
      </c>
      <c r="L226" s="457">
        <v>17</v>
      </c>
      <c r="M226" s="457">
        <v>17</v>
      </c>
      <c r="N226" s="457">
        <v>21</v>
      </c>
      <c r="O226" s="457">
        <v>10</v>
      </c>
      <c r="P226" s="457">
        <v>16</v>
      </c>
      <c r="Q226" s="457">
        <v>14</v>
      </c>
      <c r="R226" s="457">
        <v>18</v>
      </c>
      <c r="T226" s="457">
        <v>224</v>
      </c>
      <c r="V226" s="457">
        <f t="shared" si="3"/>
        <v>224</v>
      </c>
    </row>
    <row r="227" spans="1:22">
      <c r="A227" s="457" t="s">
        <v>636</v>
      </c>
      <c r="B227" s="457" t="s">
        <v>1043</v>
      </c>
      <c r="C227" s="457" t="s">
        <v>204</v>
      </c>
      <c r="E227" s="457">
        <v>20</v>
      </c>
      <c r="F227" s="457">
        <v>15</v>
      </c>
      <c r="G227" s="457">
        <v>29</v>
      </c>
      <c r="H227" s="457">
        <v>25</v>
      </c>
      <c r="I227" s="457">
        <v>24</v>
      </c>
      <c r="J227" s="457">
        <v>27</v>
      </c>
      <c r="K227" s="457">
        <v>22</v>
      </c>
      <c r="L227" s="457">
        <v>15</v>
      </c>
      <c r="M227" s="457">
        <v>26</v>
      </c>
      <c r="N227" s="457">
        <v>23</v>
      </c>
      <c r="O227" s="457">
        <v>20</v>
      </c>
      <c r="P227" s="457">
        <v>23</v>
      </c>
      <c r="Q227" s="457">
        <v>23</v>
      </c>
      <c r="R227" s="457">
        <v>30</v>
      </c>
      <c r="T227" s="457">
        <v>322</v>
      </c>
      <c r="V227" s="457">
        <f t="shared" si="3"/>
        <v>322</v>
      </c>
    </row>
    <row r="228" spans="1:22">
      <c r="A228" s="457" t="s">
        <v>638</v>
      </c>
      <c r="B228" s="457" t="s">
        <v>1044</v>
      </c>
      <c r="C228" s="457" t="s">
        <v>188</v>
      </c>
      <c r="E228" s="457">
        <v>20</v>
      </c>
      <c r="F228" s="457">
        <v>18</v>
      </c>
      <c r="G228" s="457">
        <v>30</v>
      </c>
      <c r="H228" s="457">
        <v>23</v>
      </c>
      <c r="I228" s="457">
        <v>12</v>
      </c>
      <c r="J228" s="457">
        <v>18</v>
      </c>
      <c r="K228" s="457">
        <v>25</v>
      </c>
      <c r="L228" s="457">
        <v>22</v>
      </c>
      <c r="M228" s="457">
        <v>21</v>
      </c>
      <c r="N228" s="457">
        <v>22</v>
      </c>
      <c r="O228" s="457">
        <v>21</v>
      </c>
      <c r="P228" s="457">
        <v>31</v>
      </c>
      <c r="Q228" s="457">
        <v>15</v>
      </c>
      <c r="R228" s="457">
        <v>30</v>
      </c>
      <c r="T228" s="457">
        <v>308</v>
      </c>
      <c r="V228" s="457">
        <f t="shared" si="3"/>
        <v>308</v>
      </c>
    </row>
    <row r="229" spans="1:22">
      <c r="A229" s="457" t="s">
        <v>640</v>
      </c>
      <c r="B229" s="457" t="s">
        <v>1045</v>
      </c>
      <c r="C229" s="457" t="s">
        <v>209</v>
      </c>
      <c r="D229" s="457" t="s">
        <v>818</v>
      </c>
      <c r="F229" s="457">
        <v>1</v>
      </c>
      <c r="K229" s="457">
        <v>1</v>
      </c>
      <c r="T229" s="457">
        <v>2</v>
      </c>
      <c r="V229" s="457">
        <f t="shared" si="3"/>
        <v>2</v>
      </c>
    </row>
    <row r="230" spans="1:22">
      <c r="A230" s="457" t="s">
        <v>642</v>
      </c>
      <c r="B230" s="457" t="s">
        <v>1046</v>
      </c>
      <c r="C230" s="457" t="s">
        <v>193</v>
      </c>
      <c r="F230" s="457">
        <v>1</v>
      </c>
      <c r="H230" s="457">
        <v>2</v>
      </c>
      <c r="I230" s="457">
        <v>1</v>
      </c>
      <c r="K230" s="457">
        <v>4</v>
      </c>
      <c r="L230" s="457">
        <v>3</v>
      </c>
      <c r="M230" s="457">
        <v>4</v>
      </c>
      <c r="N230" s="457">
        <v>1</v>
      </c>
      <c r="O230" s="457">
        <v>2</v>
      </c>
      <c r="P230" s="457">
        <v>2</v>
      </c>
      <c r="Q230" s="457">
        <v>1</v>
      </c>
      <c r="T230" s="457">
        <v>21</v>
      </c>
      <c r="V230" s="457">
        <f t="shared" si="3"/>
        <v>21</v>
      </c>
    </row>
    <row r="231" spans="1:22">
      <c r="A231" s="457" t="s">
        <v>644</v>
      </c>
      <c r="B231" s="457" t="s">
        <v>1047</v>
      </c>
      <c r="C231" s="457" t="s">
        <v>220</v>
      </c>
      <c r="E231" s="457">
        <v>10</v>
      </c>
      <c r="F231" s="457">
        <v>16</v>
      </c>
      <c r="G231" s="457">
        <v>10</v>
      </c>
      <c r="H231" s="457">
        <v>12</v>
      </c>
      <c r="I231" s="457">
        <v>13</v>
      </c>
      <c r="J231" s="457">
        <v>15</v>
      </c>
      <c r="K231" s="457">
        <v>24</v>
      </c>
      <c r="L231" s="457">
        <v>18</v>
      </c>
      <c r="M231" s="457">
        <v>15</v>
      </c>
      <c r="N231" s="457">
        <v>26</v>
      </c>
      <c r="O231" s="457">
        <v>22</v>
      </c>
      <c r="P231" s="457">
        <v>17</v>
      </c>
      <c r="Q231" s="457">
        <v>20</v>
      </c>
      <c r="R231" s="457">
        <v>12</v>
      </c>
      <c r="T231" s="457">
        <v>230</v>
      </c>
      <c r="V231" s="457">
        <f t="shared" si="3"/>
        <v>230</v>
      </c>
    </row>
    <row r="232" spans="1:22">
      <c r="A232" s="457" t="s">
        <v>646</v>
      </c>
      <c r="B232" s="457" t="s">
        <v>1245</v>
      </c>
      <c r="C232" s="457" t="s">
        <v>196</v>
      </c>
      <c r="E232" s="457">
        <v>5</v>
      </c>
      <c r="F232" s="457">
        <v>2</v>
      </c>
      <c r="G232" s="457">
        <v>8</v>
      </c>
      <c r="H232" s="457">
        <v>8</v>
      </c>
      <c r="I232" s="457">
        <v>9</v>
      </c>
      <c r="J232" s="457">
        <v>8</v>
      </c>
      <c r="K232" s="457">
        <v>9</v>
      </c>
      <c r="L232" s="457">
        <v>12</v>
      </c>
      <c r="M232" s="457">
        <v>17</v>
      </c>
      <c r="N232" s="457">
        <v>13</v>
      </c>
      <c r="O232" s="457">
        <v>11</v>
      </c>
      <c r="P232" s="457">
        <v>12</v>
      </c>
      <c r="Q232" s="457">
        <v>11</v>
      </c>
      <c r="R232" s="457">
        <v>18</v>
      </c>
      <c r="T232" s="457">
        <v>143</v>
      </c>
      <c r="V232" s="457">
        <f t="shared" si="3"/>
        <v>143</v>
      </c>
    </row>
    <row r="233" spans="1:22">
      <c r="A233" s="457" t="s">
        <v>648</v>
      </c>
      <c r="B233" s="457" t="s">
        <v>1049</v>
      </c>
      <c r="C233" s="457" t="s">
        <v>188</v>
      </c>
      <c r="E233" s="457">
        <v>1</v>
      </c>
      <c r="G233" s="457">
        <v>1</v>
      </c>
      <c r="J233" s="457">
        <v>3</v>
      </c>
      <c r="K233" s="457">
        <v>3</v>
      </c>
      <c r="L233" s="457">
        <v>2</v>
      </c>
      <c r="T233" s="457">
        <v>10</v>
      </c>
      <c r="V233" s="457">
        <f t="shared" si="3"/>
        <v>10</v>
      </c>
    </row>
    <row r="234" spans="1:22">
      <c r="A234" s="457" t="s">
        <v>650</v>
      </c>
      <c r="B234" s="457" t="s">
        <v>1253</v>
      </c>
      <c r="C234" s="457" t="s">
        <v>1254</v>
      </c>
      <c r="L234" s="457">
        <v>5</v>
      </c>
      <c r="M234" s="457">
        <v>2</v>
      </c>
      <c r="N234" s="457">
        <v>7</v>
      </c>
      <c r="O234" s="457">
        <v>9</v>
      </c>
      <c r="P234" s="457">
        <v>10</v>
      </c>
      <c r="Q234" s="457">
        <v>9</v>
      </c>
      <c r="R234" s="457">
        <v>17</v>
      </c>
      <c r="T234" s="457">
        <v>59</v>
      </c>
      <c r="V234" s="457">
        <f t="shared" si="3"/>
        <v>59</v>
      </c>
    </row>
    <row r="235" spans="1:22">
      <c r="A235" s="457" t="s">
        <v>652</v>
      </c>
      <c r="B235" s="457" t="s">
        <v>1255</v>
      </c>
      <c r="C235" s="457" t="s">
        <v>1254</v>
      </c>
      <c r="E235" s="457">
        <v>5</v>
      </c>
      <c r="G235" s="457">
        <v>6</v>
      </c>
      <c r="H235" s="457">
        <v>3</v>
      </c>
      <c r="I235" s="457">
        <v>3</v>
      </c>
      <c r="J235" s="457">
        <v>5</v>
      </c>
      <c r="K235" s="457">
        <v>4</v>
      </c>
      <c r="L235" s="457">
        <v>12</v>
      </c>
      <c r="M235" s="457">
        <v>5</v>
      </c>
      <c r="N235" s="457">
        <v>9</v>
      </c>
      <c r="O235" s="457">
        <v>7</v>
      </c>
      <c r="P235" s="457">
        <v>10</v>
      </c>
      <c r="Q235" s="457">
        <v>13</v>
      </c>
      <c r="R235" s="457">
        <v>10</v>
      </c>
      <c r="T235" s="457">
        <v>92</v>
      </c>
      <c r="V235" s="457">
        <f t="shared" si="3"/>
        <v>92</v>
      </c>
    </row>
    <row r="236" spans="1:22">
      <c r="A236" s="457" t="s">
        <v>654</v>
      </c>
      <c r="B236" s="457" t="s">
        <v>1050</v>
      </c>
      <c r="C236" s="457" t="s">
        <v>204</v>
      </c>
      <c r="E236" s="457">
        <v>361</v>
      </c>
      <c r="F236" s="457">
        <v>299</v>
      </c>
      <c r="G236" s="457">
        <v>430</v>
      </c>
      <c r="H236" s="457">
        <v>470</v>
      </c>
      <c r="I236" s="457">
        <v>594</v>
      </c>
      <c r="J236" s="457">
        <v>613</v>
      </c>
      <c r="K236" s="457">
        <v>659</v>
      </c>
      <c r="L236" s="457">
        <v>644</v>
      </c>
      <c r="M236" s="457">
        <v>537</v>
      </c>
      <c r="N236" s="457">
        <v>593</v>
      </c>
      <c r="O236" s="457">
        <v>544</v>
      </c>
      <c r="P236" s="457">
        <v>552</v>
      </c>
      <c r="Q236" s="457">
        <v>484</v>
      </c>
      <c r="R236" s="457">
        <v>653</v>
      </c>
      <c r="T236" s="457">
        <v>7433</v>
      </c>
      <c r="V236" s="457">
        <f t="shared" si="3"/>
        <v>7433</v>
      </c>
    </row>
    <row r="237" spans="1:22">
      <c r="A237" s="457" t="s">
        <v>656</v>
      </c>
      <c r="B237" s="457" t="s">
        <v>1051</v>
      </c>
      <c r="C237" s="457" t="s">
        <v>196</v>
      </c>
      <c r="E237" s="457">
        <v>48</v>
      </c>
      <c r="F237" s="457">
        <v>38</v>
      </c>
      <c r="G237" s="457">
        <v>57</v>
      </c>
      <c r="H237" s="457">
        <v>58</v>
      </c>
      <c r="I237" s="457">
        <v>58</v>
      </c>
      <c r="J237" s="457">
        <v>53</v>
      </c>
      <c r="K237" s="457">
        <v>66</v>
      </c>
      <c r="L237" s="457">
        <v>46</v>
      </c>
      <c r="M237" s="457">
        <v>60</v>
      </c>
      <c r="N237" s="457">
        <v>51</v>
      </c>
      <c r="O237" s="457">
        <v>54</v>
      </c>
      <c r="P237" s="457">
        <v>60</v>
      </c>
      <c r="Q237" s="457">
        <v>49</v>
      </c>
      <c r="R237" s="457">
        <v>76</v>
      </c>
      <c r="T237" s="457">
        <v>774</v>
      </c>
      <c r="V237" s="457">
        <f t="shared" si="3"/>
        <v>774</v>
      </c>
    </row>
    <row r="238" spans="1:22">
      <c r="A238" s="457" t="s">
        <v>658</v>
      </c>
      <c r="B238" s="457" t="s">
        <v>1052</v>
      </c>
      <c r="C238" s="457" t="s">
        <v>220</v>
      </c>
      <c r="E238" s="457">
        <v>44</v>
      </c>
      <c r="F238" s="457">
        <v>23</v>
      </c>
      <c r="G238" s="457">
        <v>32</v>
      </c>
      <c r="H238" s="457">
        <v>17</v>
      </c>
      <c r="I238" s="457">
        <v>39</v>
      </c>
      <c r="J238" s="457">
        <v>28</v>
      </c>
      <c r="K238" s="457">
        <v>35</v>
      </c>
      <c r="L238" s="457">
        <v>38</v>
      </c>
      <c r="M238" s="457">
        <v>41</v>
      </c>
      <c r="N238" s="457">
        <v>29</v>
      </c>
      <c r="O238" s="457">
        <v>45</v>
      </c>
      <c r="P238" s="457">
        <v>35</v>
      </c>
      <c r="Q238" s="457">
        <v>35</v>
      </c>
      <c r="R238" s="457">
        <v>39</v>
      </c>
      <c r="T238" s="457">
        <v>480</v>
      </c>
      <c r="V238" s="457">
        <f t="shared" si="3"/>
        <v>480</v>
      </c>
    </row>
    <row r="239" spans="1:22">
      <c r="A239" s="457" t="s">
        <v>660</v>
      </c>
      <c r="B239" s="457" t="s">
        <v>1053</v>
      </c>
      <c r="C239" s="457" t="s">
        <v>193</v>
      </c>
      <c r="F239" s="457">
        <v>9</v>
      </c>
      <c r="G239" s="457">
        <v>2</v>
      </c>
      <c r="H239" s="457">
        <v>4</v>
      </c>
      <c r="I239" s="457">
        <v>4</v>
      </c>
      <c r="J239" s="457">
        <v>1</v>
      </c>
      <c r="K239" s="457">
        <v>4</v>
      </c>
      <c r="L239" s="457">
        <v>6</v>
      </c>
      <c r="M239" s="457">
        <v>3</v>
      </c>
      <c r="N239" s="457">
        <v>6</v>
      </c>
      <c r="O239" s="457">
        <v>4</v>
      </c>
      <c r="P239" s="457">
        <v>1</v>
      </c>
      <c r="Q239" s="457">
        <v>4</v>
      </c>
      <c r="T239" s="457">
        <v>48</v>
      </c>
      <c r="V239" s="457">
        <f t="shared" si="3"/>
        <v>48</v>
      </c>
    </row>
    <row r="240" spans="1:22">
      <c r="A240" s="457" t="s">
        <v>662</v>
      </c>
      <c r="B240" s="457" t="s">
        <v>1054</v>
      </c>
      <c r="C240" s="457" t="s">
        <v>227</v>
      </c>
      <c r="E240" s="457">
        <v>25</v>
      </c>
      <c r="F240" s="457">
        <v>27</v>
      </c>
      <c r="G240" s="457">
        <v>29</v>
      </c>
      <c r="H240" s="457">
        <v>31</v>
      </c>
      <c r="I240" s="457">
        <v>31</v>
      </c>
      <c r="J240" s="457">
        <v>42</v>
      </c>
      <c r="K240" s="457">
        <v>42</v>
      </c>
      <c r="L240" s="457">
        <v>34</v>
      </c>
      <c r="M240" s="457">
        <v>39</v>
      </c>
      <c r="N240" s="457">
        <v>28</v>
      </c>
      <c r="O240" s="457">
        <v>28</v>
      </c>
      <c r="P240" s="457">
        <v>25</v>
      </c>
      <c r="Q240" s="457">
        <v>31</v>
      </c>
      <c r="R240" s="457">
        <v>20</v>
      </c>
      <c r="T240" s="457">
        <v>432</v>
      </c>
      <c r="V240" s="457">
        <f t="shared" si="3"/>
        <v>432</v>
      </c>
    </row>
    <row r="241" spans="1:22">
      <c r="A241" s="457" t="s">
        <v>664</v>
      </c>
      <c r="B241" s="457" t="s">
        <v>1144</v>
      </c>
      <c r="C241" s="457" t="s">
        <v>196</v>
      </c>
      <c r="V241" s="457">
        <f t="shared" si="3"/>
        <v>0</v>
      </c>
    </row>
    <row r="242" spans="1:22">
      <c r="A242" s="457" t="s">
        <v>666</v>
      </c>
      <c r="B242" s="457" t="s">
        <v>1055</v>
      </c>
      <c r="C242" s="457" t="s">
        <v>188</v>
      </c>
      <c r="E242" s="457">
        <v>85</v>
      </c>
      <c r="F242" s="457">
        <v>36</v>
      </c>
      <c r="G242" s="457">
        <v>36</v>
      </c>
      <c r="H242" s="457">
        <v>47</v>
      </c>
      <c r="I242" s="457">
        <v>54</v>
      </c>
      <c r="J242" s="457">
        <v>38</v>
      </c>
      <c r="K242" s="457">
        <v>41</v>
      </c>
      <c r="L242" s="457">
        <v>34</v>
      </c>
      <c r="M242" s="457">
        <v>37</v>
      </c>
      <c r="N242" s="457">
        <v>41</v>
      </c>
      <c r="O242" s="457">
        <v>53</v>
      </c>
      <c r="P242" s="457">
        <v>50</v>
      </c>
      <c r="Q242" s="457">
        <v>46</v>
      </c>
      <c r="R242" s="457">
        <v>58</v>
      </c>
      <c r="T242" s="457">
        <v>656</v>
      </c>
      <c r="V242" s="457">
        <f t="shared" si="3"/>
        <v>656</v>
      </c>
    </row>
    <row r="243" spans="1:22">
      <c r="A243" s="457" t="s">
        <v>668</v>
      </c>
      <c r="B243" s="457" t="s">
        <v>1056</v>
      </c>
      <c r="C243" s="457" t="s">
        <v>204</v>
      </c>
      <c r="E243" s="457">
        <v>85</v>
      </c>
      <c r="F243" s="457">
        <v>43</v>
      </c>
      <c r="G243" s="457">
        <v>81</v>
      </c>
      <c r="H243" s="457">
        <v>74</v>
      </c>
      <c r="I243" s="457">
        <v>87</v>
      </c>
      <c r="J243" s="457">
        <v>85</v>
      </c>
      <c r="K243" s="457">
        <v>102</v>
      </c>
      <c r="L243" s="457">
        <v>89</v>
      </c>
      <c r="M243" s="457">
        <v>83</v>
      </c>
      <c r="N243" s="457">
        <v>69</v>
      </c>
      <c r="O243" s="457">
        <v>75</v>
      </c>
      <c r="P243" s="457">
        <v>86</v>
      </c>
      <c r="Q243" s="457">
        <v>70</v>
      </c>
      <c r="R243" s="457">
        <v>82</v>
      </c>
      <c r="T243" s="457">
        <v>1111</v>
      </c>
      <c r="V243" s="457">
        <f t="shared" si="3"/>
        <v>1111</v>
      </c>
    </row>
    <row r="244" spans="1:22">
      <c r="A244" s="457" t="s">
        <v>670</v>
      </c>
      <c r="B244" s="457" t="s">
        <v>1057</v>
      </c>
      <c r="C244" s="457" t="s">
        <v>209</v>
      </c>
      <c r="D244" s="457" t="s">
        <v>818</v>
      </c>
      <c r="F244" s="457">
        <v>1</v>
      </c>
      <c r="G244" s="457">
        <v>4</v>
      </c>
      <c r="H244" s="457">
        <v>1</v>
      </c>
      <c r="K244" s="457">
        <v>2</v>
      </c>
      <c r="T244" s="457">
        <v>8</v>
      </c>
      <c r="V244" s="457">
        <f t="shared" si="3"/>
        <v>8</v>
      </c>
    </row>
    <row r="245" spans="1:22">
      <c r="A245" s="457" t="s">
        <v>672</v>
      </c>
      <c r="B245" s="457" t="s">
        <v>1058</v>
      </c>
      <c r="C245" s="457" t="s">
        <v>204</v>
      </c>
      <c r="H245" s="457">
        <v>1</v>
      </c>
      <c r="J245" s="457">
        <v>1</v>
      </c>
      <c r="K245" s="457">
        <v>1</v>
      </c>
      <c r="L245" s="457">
        <v>3</v>
      </c>
      <c r="N245" s="457">
        <v>2</v>
      </c>
      <c r="O245" s="457">
        <v>1</v>
      </c>
      <c r="P245" s="457">
        <v>3</v>
      </c>
      <c r="Q245" s="457">
        <v>1</v>
      </c>
      <c r="T245" s="457">
        <v>13</v>
      </c>
      <c r="V245" s="457">
        <f t="shared" si="3"/>
        <v>13</v>
      </c>
    </row>
    <row r="246" spans="1:22">
      <c r="A246" s="457" t="s">
        <v>674</v>
      </c>
      <c r="B246" s="457" t="s">
        <v>1059</v>
      </c>
      <c r="C246" s="457" t="s">
        <v>196</v>
      </c>
      <c r="E246" s="457">
        <v>103</v>
      </c>
      <c r="F246" s="457">
        <v>62</v>
      </c>
      <c r="G246" s="457">
        <v>79</v>
      </c>
      <c r="H246" s="457">
        <v>77</v>
      </c>
      <c r="I246" s="457">
        <v>90</v>
      </c>
      <c r="J246" s="457">
        <v>86</v>
      </c>
      <c r="K246" s="457">
        <v>71</v>
      </c>
      <c r="L246" s="457">
        <v>90</v>
      </c>
      <c r="M246" s="457">
        <v>82</v>
      </c>
      <c r="N246" s="457">
        <v>91</v>
      </c>
      <c r="O246" s="457">
        <v>109</v>
      </c>
      <c r="P246" s="457">
        <v>79</v>
      </c>
      <c r="Q246" s="457">
        <v>94</v>
      </c>
      <c r="R246" s="457">
        <v>120</v>
      </c>
      <c r="T246" s="457">
        <v>1233</v>
      </c>
      <c r="V246" s="457">
        <f t="shared" si="3"/>
        <v>1233</v>
      </c>
    </row>
    <row r="247" spans="1:22">
      <c r="A247" s="457" t="s">
        <v>676</v>
      </c>
      <c r="B247" s="457" t="s">
        <v>1060</v>
      </c>
      <c r="C247" s="457" t="s">
        <v>204</v>
      </c>
      <c r="E247" s="457">
        <v>62</v>
      </c>
      <c r="F247" s="457">
        <v>29</v>
      </c>
      <c r="G247" s="457">
        <v>42</v>
      </c>
      <c r="H247" s="457">
        <v>34</v>
      </c>
      <c r="I247" s="457">
        <v>64</v>
      </c>
      <c r="J247" s="457">
        <v>66</v>
      </c>
      <c r="K247" s="457">
        <v>51</v>
      </c>
      <c r="L247" s="457">
        <v>55</v>
      </c>
      <c r="M247" s="457">
        <v>54</v>
      </c>
      <c r="N247" s="457">
        <v>64</v>
      </c>
      <c r="O247" s="457">
        <v>50</v>
      </c>
      <c r="P247" s="457">
        <v>63</v>
      </c>
      <c r="Q247" s="457">
        <v>54</v>
      </c>
      <c r="R247" s="457">
        <v>44</v>
      </c>
      <c r="T247" s="457">
        <v>732</v>
      </c>
      <c r="V247" s="457">
        <f t="shared" si="3"/>
        <v>732</v>
      </c>
    </row>
    <row r="248" spans="1:22">
      <c r="A248" s="457" t="s">
        <v>678</v>
      </c>
      <c r="B248" s="457" t="s">
        <v>1061</v>
      </c>
      <c r="C248" s="457" t="s">
        <v>230</v>
      </c>
      <c r="E248" s="457">
        <v>2</v>
      </c>
      <c r="F248" s="457">
        <v>10</v>
      </c>
      <c r="G248" s="457">
        <v>13</v>
      </c>
      <c r="H248" s="457">
        <v>4</v>
      </c>
      <c r="I248" s="457">
        <v>8</v>
      </c>
      <c r="J248" s="457">
        <v>3</v>
      </c>
      <c r="K248" s="457">
        <v>8</v>
      </c>
      <c r="L248" s="457">
        <v>11</v>
      </c>
      <c r="M248" s="457">
        <v>8</v>
      </c>
      <c r="N248" s="457">
        <v>3</v>
      </c>
      <c r="O248" s="457">
        <v>8</v>
      </c>
      <c r="P248" s="457">
        <v>7</v>
      </c>
      <c r="Q248" s="457">
        <v>10</v>
      </c>
      <c r="R248" s="457">
        <v>5</v>
      </c>
      <c r="T248" s="457">
        <v>100</v>
      </c>
      <c r="V248" s="457">
        <f t="shared" si="3"/>
        <v>100</v>
      </c>
    </row>
    <row r="249" spans="1:22">
      <c r="A249" s="457" t="s">
        <v>681</v>
      </c>
      <c r="B249" s="457" t="s">
        <v>1062</v>
      </c>
      <c r="C249" s="457" t="s">
        <v>188</v>
      </c>
      <c r="E249" s="457">
        <v>3</v>
      </c>
      <c r="F249" s="457">
        <v>4</v>
      </c>
      <c r="G249" s="457">
        <v>5</v>
      </c>
      <c r="H249" s="457">
        <v>4</v>
      </c>
      <c r="I249" s="457">
        <v>5</v>
      </c>
      <c r="J249" s="457">
        <v>6</v>
      </c>
      <c r="K249" s="457">
        <v>7</v>
      </c>
      <c r="L249" s="457">
        <v>6</v>
      </c>
      <c r="M249" s="457">
        <v>6</v>
      </c>
      <c r="N249" s="457">
        <v>7</v>
      </c>
      <c r="O249" s="457">
        <v>8</v>
      </c>
      <c r="P249" s="457">
        <v>10</v>
      </c>
      <c r="Q249" s="457">
        <v>9</v>
      </c>
      <c r="R249" s="457">
        <v>8</v>
      </c>
      <c r="T249" s="457">
        <v>88</v>
      </c>
      <c r="V249" s="457">
        <f t="shared" si="3"/>
        <v>88</v>
      </c>
    </row>
    <row r="250" spans="1:22">
      <c r="A250" s="457" t="s">
        <v>683</v>
      </c>
      <c r="B250" s="457" t="s">
        <v>1063</v>
      </c>
      <c r="C250" s="457" t="s">
        <v>227</v>
      </c>
      <c r="E250" s="457">
        <v>118</v>
      </c>
      <c r="F250" s="457">
        <v>73</v>
      </c>
      <c r="G250" s="457">
        <v>107</v>
      </c>
      <c r="H250" s="457">
        <v>96</v>
      </c>
      <c r="I250" s="457">
        <v>116</v>
      </c>
      <c r="J250" s="457">
        <v>124</v>
      </c>
      <c r="K250" s="457">
        <v>113</v>
      </c>
      <c r="L250" s="457">
        <v>95</v>
      </c>
      <c r="M250" s="457">
        <v>102</v>
      </c>
      <c r="N250" s="457">
        <v>93</v>
      </c>
      <c r="O250" s="457">
        <v>95</v>
      </c>
      <c r="P250" s="457">
        <v>111</v>
      </c>
      <c r="Q250" s="457">
        <v>91</v>
      </c>
      <c r="R250" s="457">
        <v>116</v>
      </c>
      <c r="T250" s="457">
        <v>1450</v>
      </c>
      <c r="V250" s="457">
        <f t="shared" si="3"/>
        <v>1450</v>
      </c>
    </row>
    <row r="251" spans="1:22">
      <c r="A251" s="457" t="s">
        <v>685</v>
      </c>
      <c r="B251" s="457" t="s">
        <v>1064</v>
      </c>
      <c r="C251" s="457" t="s">
        <v>196</v>
      </c>
      <c r="E251" s="457">
        <v>10</v>
      </c>
      <c r="F251" s="457">
        <v>5</v>
      </c>
      <c r="G251" s="457">
        <v>12</v>
      </c>
      <c r="H251" s="457">
        <v>8</v>
      </c>
      <c r="I251" s="457">
        <v>19</v>
      </c>
      <c r="J251" s="457">
        <v>16</v>
      </c>
      <c r="K251" s="457">
        <v>12</v>
      </c>
      <c r="L251" s="457">
        <v>11</v>
      </c>
      <c r="M251" s="457">
        <v>14</v>
      </c>
      <c r="N251" s="457">
        <v>18</v>
      </c>
      <c r="O251" s="457">
        <v>6</v>
      </c>
      <c r="P251" s="457">
        <v>17</v>
      </c>
      <c r="Q251" s="457">
        <v>13</v>
      </c>
      <c r="R251" s="457">
        <v>16</v>
      </c>
      <c r="T251" s="457">
        <v>177</v>
      </c>
      <c r="V251" s="457">
        <f t="shared" si="3"/>
        <v>177</v>
      </c>
    </row>
    <row r="252" spans="1:22">
      <c r="A252" s="457" t="s">
        <v>687</v>
      </c>
      <c r="B252" s="457" t="s">
        <v>1065</v>
      </c>
      <c r="C252" s="457" t="s">
        <v>188</v>
      </c>
      <c r="F252" s="457">
        <v>2</v>
      </c>
      <c r="G252" s="457">
        <v>5</v>
      </c>
      <c r="H252" s="457">
        <v>5</v>
      </c>
      <c r="I252" s="457">
        <v>4</v>
      </c>
      <c r="J252" s="457">
        <v>4</v>
      </c>
      <c r="K252" s="457">
        <v>2</v>
      </c>
      <c r="L252" s="457">
        <v>2</v>
      </c>
      <c r="M252" s="457">
        <v>4</v>
      </c>
      <c r="T252" s="457">
        <v>28</v>
      </c>
      <c r="V252" s="457">
        <f t="shared" si="3"/>
        <v>28</v>
      </c>
    </row>
    <row r="253" spans="1:22">
      <c r="A253" s="457" t="s">
        <v>689</v>
      </c>
      <c r="B253" s="457" t="s">
        <v>1066</v>
      </c>
      <c r="C253" s="457" t="s">
        <v>193</v>
      </c>
      <c r="E253" s="457">
        <v>274</v>
      </c>
      <c r="F253" s="457">
        <v>276</v>
      </c>
      <c r="G253" s="457">
        <v>405</v>
      </c>
      <c r="H253" s="457">
        <v>382</v>
      </c>
      <c r="I253" s="457">
        <v>435</v>
      </c>
      <c r="J253" s="457">
        <v>402</v>
      </c>
      <c r="K253" s="457">
        <v>383</v>
      </c>
      <c r="L253" s="457">
        <v>367</v>
      </c>
      <c r="M253" s="457">
        <v>359</v>
      </c>
      <c r="N253" s="457">
        <v>342</v>
      </c>
      <c r="O253" s="457">
        <v>340</v>
      </c>
      <c r="P253" s="457">
        <v>319</v>
      </c>
      <c r="Q253" s="457">
        <v>294</v>
      </c>
      <c r="R253" s="457">
        <v>353</v>
      </c>
      <c r="T253" s="457">
        <v>4931</v>
      </c>
      <c r="V253" s="457">
        <f t="shared" si="3"/>
        <v>4931</v>
      </c>
    </row>
    <row r="254" spans="1:22">
      <c r="A254" s="457" t="s">
        <v>691</v>
      </c>
      <c r="B254" s="457" t="s">
        <v>1248</v>
      </c>
      <c r="C254" s="457" t="s">
        <v>193</v>
      </c>
      <c r="F254" s="457">
        <v>5</v>
      </c>
      <c r="G254" s="457">
        <v>12</v>
      </c>
      <c r="H254" s="457">
        <v>14</v>
      </c>
      <c r="I254" s="457">
        <v>12</v>
      </c>
      <c r="J254" s="457">
        <v>8</v>
      </c>
      <c r="K254" s="457">
        <v>6</v>
      </c>
      <c r="L254" s="457">
        <v>4</v>
      </c>
      <c r="M254" s="457">
        <v>5</v>
      </c>
      <c r="N254" s="457">
        <v>10</v>
      </c>
      <c r="O254" s="457">
        <v>1</v>
      </c>
      <c r="P254" s="457">
        <v>2</v>
      </c>
      <c r="T254" s="457">
        <v>79</v>
      </c>
      <c r="V254" s="457">
        <f t="shared" si="3"/>
        <v>79</v>
      </c>
    </row>
    <row r="255" spans="1:22">
      <c r="A255" s="457" t="s">
        <v>693</v>
      </c>
      <c r="B255" s="457" t="s">
        <v>1068</v>
      </c>
      <c r="C255" s="457" t="s">
        <v>193</v>
      </c>
      <c r="G255" s="457">
        <v>3</v>
      </c>
      <c r="H255" s="457">
        <v>2</v>
      </c>
      <c r="I255" s="457">
        <v>1</v>
      </c>
      <c r="J255" s="457">
        <v>1</v>
      </c>
      <c r="O255" s="457">
        <v>2</v>
      </c>
      <c r="P255" s="457">
        <v>5</v>
      </c>
      <c r="Q255" s="457">
        <v>1</v>
      </c>
      <c r="T255" s="457">
        <v>15</v>
      </c>
      <c r="V255" s="457">
        <f t="shared" si="3"/>
        <v>15</v>
      </c>
    </row>
    <row r="256" spans="1:22">
      <c r="A256" s="457" t="s">
        <v>695</v>
      </c>
      <c r="B256" s="457" t="s">
        <v>1257</v>
      </c>
      <c r="C256" s="457" t="s">
        <v>193</v>
      </c>
      <c r="G256" s="457">
        <v>6</v>
      </c>
      <c r="H256" s="457">
        <v>2</v>
      </c>
      <c r="J256" s="457">
        <v>1</v>
      </c>
      <c r="K256" s="457">
        <v>2</v>
      </c>
      <c r="O256" s="457">
        <v>1</v>
      </c>
      <c r="P256" s="457">
        <v>4</v>
      </c>
      <c r="Q256" s="457">
        <v>2</v>
      </c>
      <c r="T256" s="457">
        <v>18</v>
      </c>
      <c r="V256" s="457">
        <f t="shared" si="3"/>
        <v>18</v>
      </c>
    </row>
    <row r="257" spans="1:22">
      <c r="A257" s="457" t="s">
        <v>697</v>
      </c>
      <c r="B257" s="457" t="s">
        <v>1070</v>
      </c>
      <c r="C257" s="457" t="s">
        <v>196</v>
      </c>
      <c r="E257" s="457">
        <v>70</v>
      </c>
      <c r="F257" s="457">
        <v>46</v>
      </c>
      <c r="G257" s="457">
        <v>47</v>
      </c>
      <c r="H257" s="457">
        <v>52</v>
      </c>
      <c r="I257" s="457">
        <v>54</v>
      </c>
      <c r="J257" s="457">
        <v>57</v>
      </c>
      <c r="K257" s="457">
        <v>51</v>
      </c>
      <c r="L257" s="457">
        <v>66</v>
      </c>
      <c r="M257" s="457">
        <v>40</v>
      </c>
      <c r="N257" s="457">
        <v>51</v>
      </c>
      <c r="O257" s="457">
        <v>40</v>
      </c>
      <c r="P257" s="457">
        <v>58</v>
      </c>
      <c r="Q257" s="457">
        <v>42</v>
      </c>
      <c r="R257" s="457">
        <v>57</v>
      </c>
      <c r="T257" s="457">
        <v>731</v>
      </c>
      <c r="V257" s="457">
        <f t="shared" si="3"/>
        <v>731</v>
      </c>
    </row>
    <row r="258" spans="1:22">
      <c r="A258" s="457" t="s">
        <v>699</v>
      </c>
      <c r="B258" s="457" t="s">
        <v>1145</v>
      </c>
      <c r="C258" s="457" t="s">
        <v>201</v>
      </c>
      <c r="V258" s="457">
        <f t="shared" si="3"/>
        <v>0</v>
      </c>
    </row>
    <row r="259" spans="1:22">
      <c r="A259" s="457" t="s">
        <v>701</v>
      </c>
      <c r="B259" s="457" t="s">
        <v>1071</v>
      </c>
      <c r="C259" s="457" t="s">
        <v>201</v>
      </c>
      <c r="V259" s="457">
        <f t="shared" si="3"/>
        <v>0</v>
      </c>
    </row>
    <row r="260" spans="1:22">
      <c r="A260" s="457" t="s">
        <v>703</v>
      </c>
      <c r="B260" s="457" t="s">
        <v>1146</v>
      </c>
      <c r="C260" s="457" t="s">
        <v>193</v>
      </c>
      <c r="V260" s="457">
        <f t="shared" ref="V260:V319" si="4">T260</f>
        <v>0</v>
      </c>
    </row>
    <row r="261" spans="1:22">
      <c r="A261" s="457" t="s">
        <v>705</v>
      </c>
      <c r="B261" s="457" t="s">
        <v>1240</v>
      </c>
      <c r="C261" s="457" t="s">
        <v>204</v>
      </c>
      <c r="E261" s="457">
        <v>31</v>
      </c>
      <c r="F261" s="457">
        <v>20</v>
      </c>
      <c r="G261" s="457">
        <v>35</v>
      </c>
      <c r="H261" s="457">
        <v>32</v>
      </c>
      <c r="I261" s="457">
        <v>31</v>
      </c>
      <c r="J261" s="457">
        <v>43</v>
      </c>
      <c r="K261" s="457">
        <v>34</v>
      </c>
      <c r="L261" s="457">
        <v>29</v>
      </c>
      <c r="M261" s="457">
        <v>27</v>
      </c>
      <c r="N261" s="457">
        <v>35</v>
      </c>
      <c r="O261" s="457">
        <v>33</v>
      </c>
      <c r="P261" s="457">
        <v>20</v>
      </c>
      <c r="Q261" s="457">
        <v>27</v>
      </c>
      <c r="R261" s="457">
        <v>24</v>
      </c>
      <c r="T261" s="457">
        <v>421</v>
      </c>
      <c r="V261" s="457">
        <f t="shared" si="4"/>
        <v>421</v>
      </c>
    </row>
    <row r="262" spans="1:22">
      <c r="A262" s="457" t="s">
        <v>707</v>
      </c>
      <c r="B262" s="457" t="s">
        <v>1073</v>
      </c>
      <c r="C262" s="457" t="s">
        <v>193</v>
      </c>
      <c r="E262" s="457">
        <v>1</v>
      </c>
      <c r="F262" s="457">
        <v>1</v>
      </c>
      <c r="M262" s="457">
        <v>2</v>
      </c>
      <c r="T262" s="457">
        <v>4</v>
      </c>
      <c r="V262" s="457">
        <f t="shared" si="4"/>
        <v>4</v>
      </c>
    </row>
    <row r="263" spans="1:22">
      <c r="A263" s="457" t="s">
        <v>709</v>
      </c>
      <c r="B263" s="457" t="s">
        <v>1074</v>
      </c>
      <c r="C263" s="457" t="s">
        <v>209</v>
      </c>
      <c r="D263" s="457" t="s">
        <v>818</v>
      </c>
      <c r="E263" s="457">
        <v>6</v>
      </c>
      <c r="F263" s="457">
        <v>10</v>
      </c>
      <c r="G263" s="457">
        <v>12</v>
      </c>
      <c r="H263" s="457">
        <v>7</v>
      </c>
      <c r="I263" s="457">
        <v>10</v>
      </c>
      <c r="J263" s="457">
        <v>11</v>
      </c>
      <c r="K263" s="457">
        <v>10</v>
      </c>
      <c r="L263" s="457">
        <v>10</v>
      </c>
      <c r="M263" s="457">
        <v>11</v>
      </c>
      <c r="N263" s="457">
        <v>12</v>
      </c>
      <c r="O263" s="457">
        <v>14</v>
      </c>
      <c r="P263" s="457">
        <v>12</v>
      </c>
      <c r="Q263" s="457">
        <v>5</v>
      </c>
      <c r="R263" s="457">
        <v>6</v>
      </c>
      <c r="T263" s="457">
        <v>136</v>
      </c>
      <c r="V263" s="457">
        <f t="shared" si="4"/>
        <v>136</v>
      </c>
    </row>
    <row r="264" spans="1:22">
      <c r="A264" s="457" t="s">
        <v>711</v>
      </c>
      <c r="B264" s="457" t="s">
        <v>1075</v>
      </c>
      <c r="C264" s="457" t="s">
        <v>196</v>
      </c>
      <c r="E264" s="457">
        <v>27</v>
      </c>
      <c r="F264" s="457">
        <v>11</v>
      </c>
      <c r="G264" s="457">
        <v>16</v>
      </c>
      <c r="H264" s="457">
        <v>23</v>
      </c>
      <c r="I264" s="457">
        <v>26</v>
      </c>
      <c r="J264" s="457">
        <v>31</v>
      </c>
      <c r="K264" s="457">
        <v>28</v>
      </c>
      <c r="L264" s="457">
        <v>24</v>
      </c>
      <c r="M264" s="457">
        <v>19</v>
      </c>
      <c r="N264" s="457">
        <v>31</v>
      </c>
      <c r="O264" s="457">
        <v>19</v>
      </c>
      <c r="P264" s="457">
        <v>29</v>
      </c>
      <c r="Q264" s="457">
        <v>27</v>
      </c>
      <c r="R264" s="457">
        <v>19</v>
      </c>
      <c r="T264" s="457">
        <v>330</v>
      </c>
      <c r="V264" s="457">
        <f t="shared" si="4"/>
        <v>330</v>
      </c>
    </row>
    <row r="265" spans="1:22">
      <c r="A265" s="457" t="s">
        <v>713</v>
      </c>
      <c r="B265" s="457" t="s">
        <v>1235</v>
      </c>
      <c r="C265" s="457" t="s">
        <v>204</v>
      </c>
      <c r="L265" s="457">
        <v>12</v>
      </c>
      <c r="M265" s="457">
        <v>12</v>
      </c>
      <c r="N265" s="457">
        <v>15</v>
      </c>
      <c r="O265" s="457">
        <v>9</v>
      </c>
      <c r="P265" s="457">
        <v>16</v>
      </c>
      <c r="Q265" s="457">
        <v>16</v>
      </c>
      <c r="R265" s="457">
        <v>13</v>
      </c>
      <c r="T265" s="457">
        <v>93</v>
      </c>
      <c r="V265" s="457">
        <f t="shared" si="4"/>
        <v>93</v>
      </c>
    </row>
    <row r="266" spans="1:22">
      <c r="A266" s="457" t="s">
        <v>715</v>
      </c>
      <c r="B266" s="457" t="s">
        <v>1243</v>
      </c>
      <c r="C266" s="457" t="s">
        <v>204</v>
      </c>
      <c r="O266" s="457">
        <v>5</v>
      </c>
      <c r="P266" s="457">
        <v>4</v>
      </c>
      <c r="Q266" s="457">
        <v>8</v>
      </c>
      <c r="R266" s="457">
        <v>4</v>
      </c>
      <c r="T266" s="457">
        <v>21</v>
      </c>
      <c r="V266" s="457">
        <f t="shared" si="4"/>
        <v>21</v>
      </c>
    </row>
    <row r="267" spans="1:22">
      <c r="A267" s="457" t="s">
        <v>717</v>
      </c>
      <c r="B267" s="457" t="s">
        <v>1234</v>
      </c>
      <c r="C267" s="457" t="s">
        <v>204</v>
      </c>
      <c r="O267" s="457">
        <v>14</v>
      </c>
      <c r="P267" s="457">
        <v>16</v>
      </c>
      <c r="Q267" s="457">
        <v>15</v>
      </c>
      <c r="R267" s="457">
        <v>14</v>
      </c>
      <c r="T267" s="457">
        <v>59</v>
      </c>
      <c r="V267" s="457">
        <f t="shared" si="4"/>
        <v>59</v>
      </c>
    </row>
    <row r="268" spans="1:22">
      <c r="A268" s="457" t="s">
        <v>719</v>
      </c>
      <c r="B268" s="457" t="s">
        <v>1079</v>
      </c>
      <c r="C268" s="457" t="s">
        <v>193</v>
      </c>
      <c r="G268" s="457">
        <v>1</v>
      </c>
      <c r="H268" s="457">
        <v>1</v>
      </c>
      <c r="I268" s="457">
        <v>2</v>
      </c>
      <c r="J268" s="457">
        <v>1</v>
      </c>
      <c r="K268" s="457">
        <v>2</v>
      </c>
      <c r="L268" s="457">
        <v>2</v>
      </c>
      <c r="M268" s="457">
        <v>1</v>
      </c>
      <c r="N268" s="457">
        <v>1</v>
      </c>
      <c r="T268" s="457">
        <v>11</v>
      </c>
      <c r="V268" s="457">
        <f t="shared" si="4"/>
        <v>11</v>
      </c>
    </row>
    <row r="269" spans="1:22">
      <c r="A269" s="457" t="s">
        <v>721</v>
      </c>
      <c r="B269" s="457" t="s">
        <v>1242</v>
      </c>
      <c r="C269" s="457" t="s">
        <v>204</v>
      </c>
      <c r="E269" s="457">
        <v>123</v>
      </c>
      <c r="F269" s="457">
        <v>81</v>
      </c>
      <c r="G269" s="457">
        <v>101</v>
      </c>
      <c r="H269" s="457">
        <v>86</v>
      </c>
      <c r="I269" s="457">
        <v>98</v>
      </c>
      <c r="J269" s="457">
        <v>90</v>
      </c>
      <c r="K269" s="457">
        <v>87</v>
      </c>
      <c r="L269" s="457">
        <v>75</v>
      </c>
      <c r="M269" s="457">
        <v>93</v>
      </c>
      <c r="N269" s="457">
        <v>92</v>
      </c>
      <c r="O269" s="457">
        <v>107</v>
      </c>
      <c r="P269" s="457">
        <v>95</v>
      </c>
      <c r="Q269" s="457">
        <v>90</v>
      </c>
      <c r="R269" s="457">
        <v>101</v>
      </c>
      <c r="T269" s="457">
        <v>1319</v>
      </c>
      <c r="V269" s="457">
        <f t="shared" si="4"/>
        <v>1319</v>
      </c>
    </row>
    <row r="270" spans="1:22">
      <c r="A270" s="457" t="s">
        <v>723</v>
      </c>
      <c r="B270" s="457" t="s">
        <v>1081</v>
      </c>
      <c r="C270" s="457" t="s">
        <v>220</v>
      </c>
      <c r="E270" s="457">
        <v>45</v>
      </c>
      <c r="F270" s="457">
        <v>40</v>
      </c>
      <c r="G270" s="457">
        <v>64</v>
      </c>
      <c r="H270" s="457">
        <v>58</v>
      </c>
      <c r="I270" s="457">
        <v>74</v>
      </c>
      <c r="J270" s="457">
        <v>74</v>
      </c>
      <c r="K270" s="457">
        <v>78</v>
      </c>
      <c r="L270" s="457">
        <v>72</v>
      </c>
      <c r="M270" s="457">
        <v>56</v>
      </c>
      <c r="N270" s="457">
        <v>82</v>
      </c>
      <c r="O270" s="457">
        <v>71</v>
      </c>
      <c r="P270" s="457">
        <v>62</v>
      </c>
      <c r="Q270" s="457">
        <v>79</v>
      </c>
      <c r="R270" s="457">
        <v>55</v>
      </c>
      <c r="T270" s="457">
        <v>910</v>
      </c>
      <c r="V270" s="457">
        <f t="shared" si="4"/>
        <v>910</v>
      </c>
    </row>
    <row r="271" spans="1:22">
      <c r="A271" s="457" t="s">
        <v>725</v>
      </c>
      <c r="B271" s="457" t="s">
        <v>1238</v>
      </c>
      <c r="C271" s="457" t="s">
        <v>227</v>
      </c>
      <c r="L271" s="457">
        <v>1</v>
      </c>
      <c r="M271" s="457">
        <v>2</v>
      </c>
      <c r="N271" s="457">
        <v>5</v>
      </c>
      <c r="O271" s="457">
        <v>2</v>
      </c>
      <c r="P271" s="457">
        <v>5</v>
      </c>
      <c r="Q271" s="457">
        <v>2</v>
      </c>
      <c r="R271" s="457">
        <v>2</v>
      </c>
      <c r="T271" s="457">
        <v>19</v>
      </c>
      <c r="V271" s="457">
        <f t="shared" si="4"/>
        <v>19</v>
      </c>
    </row>
    <row r="272" spans="1:22">
      <c r="A272" s="457" t="s">
        <v>727</v>
      </c>
      <c r="B272" s="457" t="s">
        <v>1083</v>
      </c>
      <c r="C272" s="457" t="s">
        <v>204</v>
      </c>
      <c r="E272" s="457">
        <v>301</v>
      </c>
      <c r="F272" s="457">
        <v>228</v>
      </c>
      <c r="G272" s="457">
        <v>293</v>
      </c>
      <c r="H272" s="457">
        <v>280</v>
      </c>
      <c r="I272" s="457">
        <v>303</v>
      </c>
      <c r="J272" s="457">
        <v>338</v>
      </c>
      <c r="K272" s="457">
        <v>307</v>
      </c>
      <c r="L272" s="457">
        <v>325</v>
      </c>
      <c r="M272" s="457">
        <v>339</v>
      </c>
      <c r="N272" s="457">
        <v>324</v>
      </c>
      <c r="O272" s="457">
        <v>338</v>
      </c>
      <c r="P272" s="457">
        <v>315</v>
      </c>
      <c r="Q272" s="457">
        <v>276</v>
      </c>
      <c r="R272" s="457">
        <v>362</v>
      </c>
      <c r="T272" s="457">
        <v>4329</v>
      </c>
      <c r="V272" s="457">
        <f t="shared" si="4"/>
        <v>4329</v>
      </c>
    </row>
    <row r="273" spans="1:22">
      <c r="A273" s="457" t="s">
        <v>729</v>
      </c>
      <c r="B273" s="457" t="s">
        <v>1147</v>
      </c>
      <c r="C273" s="457" t="s">
        <v>188</v>
      </c>
      <c r="F273" s="457">
        <v>1</v>
      </c>
      <c r="G273" s="457">
        <v>2</v>
      </c>
      <c r="I273" s="457">
        <v>1</v>
      </c>
      <c r="J273" s="457">
        <v>4</v>
      </c>
      <c r="K273" s="457">
        <v>3</v>
      </c>
      <c r="L273" s="457">
        <v>5</v>
      </c>
      <c r="M273" s="457">
        <v>1</v>
      </c>
      <c r="N273" s="457">
        <v>6</v>
      </c>
      <c r="O273" s="457">
        <v>2</v>
      </c>
      <c r="P273" s="457">
        <v>1</v>
      </c>
      <c r="Q273" s="457">
        <v>8</v>
      </c>
      <c r="R273" s="457">
        <v>4</v>
      </c>
      <c r="T273" s="457">
        <v>38</v>
      </c>
      <c r="V273" s="457">
        <f t="shared" si="4"/>
        <v>38</v>
      </c>
    </row>
    <row r="274" spans="1:22">
      <c r="A274" s="457" t="s">
        <v>731</v>
      </c>
      <c r="B274" s="457" t="s">
        <v>1084</v>
      </c>
      <c r="C274" s="457" t="s">
        <v>204</v>
      </c>
      <c r="E274" s="457">
        <v>97</v>
      </c>
      <c r="F274" s="457">
        <v>74</v>
      </c>
      <c r="G274" s="457">
        <v>72</v>
      </c>
      <c r="H274" s="457">
        <v>108</v>
      </c>
      <c r="I274" s="457">
        <v>117</v>
      </c>
      <c r="J274" s="457">
        <v>93</v>
      </c>
      <c r="K274" s="457">
        <v>84</v>
      </c>
      <c r="L274" s="457">
        <v>91</v>
      </c>
      <c r="M274" s="457">
        <v>74</v>
      </c>
      <c r="N274" s="457">
        <v>76</v>
      </c>
      <c r="O274" s="457">
        <v>66</v>
      </c>
      <c r="P274" s="457">
        <v>68</v>
      </c>
      <c r="Q274" s="457">
        <v>60</v>
      </c>
      <c r="R274" s="457">
        <v>90</v>
      </c>
      <c r="T274" s="457">
        <v>1170</v>
      </c>
      <c r="V274" s="457">
        <f t="shared" si="4"/>
        <v>1170</v>
      </c>
    </row>
    <row r="275" spans="1:22">
      <c r="A275" s="457" t="s">
        <v>733</v>
      </c>
      <c r="B275" s="457" t="s">
        <v>1085</v>
      </c>
      <c r="C275" s="457" t="s">
        <v>193</v>
      </c>
      <c r="E275" s="457">
        <v>1</v>
      </c>
      <c r="F275" s="457">
        <v>1</v>
      </c>
      <c r="G275" s="457">
        <v>1</v>
      </c>
      <c r="H275" s="457">
        <v>2</v>
      </c>
      <c r="I275" s="457">
        <v>2</v>
      </c>
      <c r="J275" s="457">
        <v>5</v>
      </c>
      <c r="K275" s="457">
        <v>4</v>
      </c>
      <c r="L275" s="457">
        <v>5</v>
      </c>
      <c r="M275" s="457">
        <v>2</v>
      </c>
      <c r="N275" s="457">
        <v>1</v>
      </c>
      <c r="O275" s="457">
        <v>4</v>
      </c>
      <c r="P275" s="457">
        <v>1</v>
      </c>
      <c r="Q275" s="457">
        <v>3</v>
      </c>
      <c r="R275" s="457">
        <v>6</v>
      </c>
      <c r="T275" s="457">
        <v>38</v>
      </c>
      <c r="V275" s="457">
        <f t="shared" si="4"/>
        <v>38</v>
      </c>
    </row>
    <row r="276" spans="1:22">
      <c r="A276" s="457" t="s">
        <v>735</v>
      </c>
      <c r="B276" s="457" t="s">
        <v>1086</v>
      </c>
      <c r="C276" s="457" t="s">
        <v>188</v>
      </c>
      <c r="E276" s="457">
        <v>10</v>
      </c>
      <c r="F276" s="457">
        <v>10</v>
      </c>
      <c r="G276" s="457">
        <v>18</v>
      </c>
      <c r="H276" s="457">
        <v>15</v>
      </c>
      <c r="I276" s="457">
        <v>22</v>
      </c>
      <c r="J276" s="457">
        <v>15</v>
      </c>
      <c r="K276" s="457">
        <v>18</v>
      </c>
      <c r="L276" s="457">
        <v>19</v>
      </c>
      <c r="M276" s="457">
        <v>15</v>
      </c>
      <c r="N276" s="457">
        <v>16</v>
      </c>
      <c r="O276" s="457">
        <v>16</v>
      </c>
      <c r="P276" s="457">
        <v>11</v>
      </c>
      <c r="Q276" s="457">
        <v>16</v>
      </c>
      <c r="R276" s="457">
        <v>18</v>
      </c>
      <c r="T276" s="457">
        <v>219</v>
      </c>
      <c r="V276" s="457">
        <f t="shared" si="4"/>
        <v>219</v>
      </c>
    </row>
    <row r="277" spans="1:22">
      <c r="A277" s="457" t="s">
        <v>737</v>
      </c>
      <c r="B277" s="457" t="s">
        <v>1087</v>
      </c>
      <c r="C277" s="457" t="s">
        <v>220</v>
      </c>
      <c r="E277" s="457">
        <v>3</v>
      </c>
      <c r="F277" s="457">
        <v>2</v>
      </c>
      <c r="G277" s="457">
        <v>4</v>
      </c>
      <c r="H277" s="457">
        <v>3</v>
      </c>
      <c r="I277" s="457">
        <v>4</v>
      </c>
      <c r="J277" s="457">
        <v>4</v>
      </c>
      <c r="K277" s="457">
        <v>5</v>
      </c>
      <c r="L277" s="457">
        <v>3</v>
      </c>
      <c r="M277" s="457">
        <v>1</v>
      </c>
      <c r="O277" s="457">
        <v>1</v>
      </c>
      <c r="P277" s="457">
        <v>2</v>
      </c>
      <c r="R277" s="457">
        <v>2</v>
      </c>
      <c r="T277" s="457">
        <v>34</v>
      </c>
      <c r="V277" s="457">
        <f t="shared" si="4"/>
        <v>34</v>
      </c>
    </row>
    <row r="278" spans="1:22">
      <c r="A278" s="457" t="s">
        <v>739</v>
      </c>
      <c r="B278" s="457" t="s">
        <v>1088</v>
      </c>
      <c r="C278" s="457" t="s">
        <v>188</v>
      </c>
      <c r="E278" s="457">
        <v>6</v>
      </c>
      <c r="F278" s="457">
        <v>11</v>
      </c>
      <c r="G278" s="457">
        <v>10</v>
      </c>
      <c r="H278" s="457">
        <v>9</v>
      </c>
      <c r="I278" s="457">
        <v>14</v>
      </c>
      <c r="J278" s="457">
        <v>10</v>
      </c>
      <c r="K278" s="457">
        <v>12</v>
      </c>
      <c r="L278" s="457">
        <v>5</v>
      </c>
      <c r="M278" s="457">
        <v>7</v>
      </c>
      <c r="N278" s="457">
        <v>10</v>
      </c>
      <c r="O278" s="457">
        <v>9</v>
      </c>
      <c r="P278" s="457">
        <v>10</v>
      </c>
      <c r="Q278" s="457">
        <v>17</v>
      </c>
      <c r="R278" s="457">
        <v>10</v>
      </c>
      <c r="T278" s="457">
        <v>140</v>
      </c>
      <c r="V278" s="457">
        <f t="shared" si="4"/>
        <v>140</v>
      </c>
    </row>
    <row r="279" spans="1:22">
      <c r="A279" s="457" t="s">
        <v>741</v>
      </c>
      <c r="B279" s="457" t="s">
        <v>1089</v>
      </c>
      <c r="C279" s="457" t="s">
        <v>230</v>
      </c>
      <c r="E279" s="457">
        <v>6</v>
      </c>
      <c r="F279" s="457">
        <v>8</v>
      </c>
      <c r="G279" s="457">
        <v>2</v>
      </c>
      <c r="H279" s="457">
        <v>5</v>
      </c>
      <c r="I279" s="457">
        <v>10</v>
      </c>
      <c r="J279" s="457">
        <v>13</v>
      </c>
      <c r="K279" s="457">
        <v>8</v>
      </c>
      <c r="L279" s="457">
        <v>15</v>
      </c>
      <c r="M279" s="457">
        <v>11</v>
      </c>
      <c r="N279" s="457">
        <v>6</v>
      </c>
      <c r="O279" s="457">
        <v>6</v>
      </c>
      <c r="P279" s="457">
        <v>10</v>
      </c>
      <c r="Q279" s="457">
        <v>11</v>
      </c>
      <c r="R279" s="457">
        <v>15</v>
      </c>
      <c r="T279" s="457">
        <v>126</v>
      </c>
      <c r="V279" s="457">
        <f t="shared" si="4"/>
        <v>126</v>
      </c>
    </row>
    <row r="280" spans="1:22">
      <c r="A280" s="457" t="s">
        <v>743</v>
      </c>
      <c r="B280" s="457" t="s">
        <v>1090</v>
      </c>
      <c r="C280" s="457" t="s">
        <v>220</v>
      </c>
      <c r="E280" s="457">
        <v>37</v>
      </c>
      <c r="F280" s="457">
        <v>16</v>
      </c>
      <c r="G280" s="457">
        <v>26</v>
      </c>
      <c r="H280" s="457">
        <v>31</v>
      </c>
      <c r="I280" s="457">
        <v>33</v>
      </c>
      <c r="J280" s="457">
        <v>27</v>
      </c>
      <c r="K280" s="457">
        <v>29</v>
      </c>
      <c r="L280" s="457">
        <v>43</v>
      </c>
      <c r="M280" s="457">
        <v>48</v>
      </c>
      <c r="N280" s="457">
        <v>50</v>
      </c>
      <c r="O280" s="457">
        <v>53</v>
      </c>
      <c r="P280" s="457">
        <v>41</v>
      </c>
      <c r="Q280" s="457">
        <v>41</v>
      </c>
      <c r="R280" s="457">
        <v>69</v>
      </c>
      <c r="T280" s="457">
        <v>544</v>
      </c>
      <c r="V280" s="457">
        <f t="shared" si="4"/>
        <v>544</v>
      </c>
    </row>
    <row r="281" spans="1:22">
      <c r="A281" s="457" t="s">
        <v>745</v>
      </c>
      <c r="B281" s="457" t="s">
        <v>1091</v>
      </c>
      <c r="C281" s="457" t="s">
        <v>201</v>
      </c>
      <c r="E281" s="457">
        <v>3</v>
      </c>
      <c r="F281" s="457">
        <v>1</v>
      </c>
      <c r="G281" s="457">
        <v>1</v>
      </c>
      <c r="H281" s="457">
        <v>2</v>
      </c>
      <c r="K281" s="457">
        <v>1</v>
      </c>
      <c r="L281" s="457">
        <v>1</v>
      </c>
      <c r="M281" s="457">
        <v>2</v>
      </c>
      <c r="N281" s="457">
        <v>1</v>
      </c>
      <c r="P281" s="457">
        <v>1</v>
      </c>
      <c r="Q281" s="457">
        <v>1</v>
      </c>
      <c r="R281" s="457">
        <v>5</v>
      </c>
      <c r="T281" s="457">
        <v>19</v>
      </c>
      <c r="V281" s="457">
        <f t="shared" si="4"/>
        <v>19</v>
      </c>
    </row>
    <row r="282" spans="1:22">
      <c r="A282" s="457" t="s">
        <v>747</v>
      </c>
      <c r="B282" s="457" t="s">
        <v>1092</v>
      </c>
      <c r="C282" s="457" t="s">
        <v>209</v>
      </c>
      <c r="D282" s="457" t="s">
        <v>818</v>
      </c>
      <c r="E282" s="457">
        <v>4</v>
      </c>
      <c r="F282" s="457">
        <v>8</v>
      </c>
      <c r="G282" s="457">
        <v>16</v>
      </c>
      <c r="H282" s="457">
        <v>9</v>
      </c>
      <c r="I282" s="457">
        <v>8</v>
      </c>
      <c r="J282" s="457">
        <v>4</v>
      </c>
      <c r="K282" s="457">
        <v>14</v>
      </c>
      <c r="L282" s="457">
        <v>10</v>
      </c>
      <c r="M282" s="457">
        <v>8</v>
      </c>
      <c r="N282" s="457">
        <v>2</v>
      </c>
      <c r="O282" s="457">
        <v>6</v>
      </c>
      <c r="P282" s="457">
        <v>5</v>
      </c>
      <c r="Q282" s="457">
        <v>6</v>
      </c>
      <c r="R282" s="457">
        <v>3</v>
      </c>
      <c r="T282" s="457">
        <v>103</v>
      </c>
      <c r="V282" s="457">
        <f t="shared" si="4"/>
        <v>103</v>
      </c>
    </row>
    <row r="283" spans="1:22">
      <c r="A283" s="457" t="s">
        <v>749</v>
      </c>
      <c r="B283" s="457" t="s">
        <v>1093</v>
      </c>
      <c r="C283" s="457" t="s">
        <v>209</v>
      </c>
      <c r="D283" s="457" t="s">
        <v>818</v>
      </c>
      <c r="E283" s="457">
        <v>2</v>
      </c>
      <c r="G283" s="457">
        <v>2</v>
      </c>
      <c r="H283" s="457">
        <v>2</v>
      </c>
      <c r="I283" s="457">
        <v>1</v>
      </c>
      <c r="L283" s="457">
        <v>3</v>
      </c>
      <c r="M283" s="457">
        <v>3</v>
      </c>
      <c r="N283" s="457">
        <v>2</v>
      </c>
      <c r="O283" s="457">
        <v>1</v>
      </c>
      <c r="P283" s="457">
        <v>3</v>
      </c>
      <c r="Q283" s="457">
        <v>2</v>
      </c>
      <c r="R283" s="457">
        <v>1</v>
      </c>
      <c r="T283" s="457">
        <v>22</v>
      </c>
      <c r="V283" s="457">
        <f t="shared" si="4"/>
        <v>22</v>
      </c>
    </row>
    <row r="284" spans="1:22">
      <c r="A284" s="457" t="s">
        <v>751</v>
      </c>
      <c r="B284" s="457" t="s">
        <v>1094</v>
      </c>
      <c r="C284" s="457" t="s">
        <v>204</v>
      </c>
      <c r="E284" s="457">
        <v>18</v>
      </c>
      <c r="F284" s="457">
        <v>11</v>
      </c>
      <c r="G284" s="457">
        <v>12</v>
      </c>
      <c r="H284" s="457">
        <v>13</v>
      </c>
      <c r="I284" s="457">
        <v>26</v>
      </c>
      <c r="J284" s="457">
        <v>33</v>
      </c>
      <c r="K284" s="457">
        <v>24</v>
      </c>
      <c r="L284" s="457">
        <v>35</v>
      </c>
      <c r="M284" s="457">
        <v>23</v>
      </c>
      <c r="N284" s="457">
        <v>25</v>
      </c>
      <c r="O284" s="457">
        <v>32</v>
      </c>
      <c r="P284" s="457">
        <v>32</v>
      </c>
      <c r="Q284" s="457">
        <v>19</v>
      </c>
      <c r="R284" s="457">
        <v>23</v>
      </c>
      <c r="T284" s="457">
        <v>326</v>
      </c>
      <c r="V284" s="457">
        <f t="shared" si="4"/>
        <v>326</v>
      </c>
    </row>
    <row r="285" spans="1:22">
      <c r="A285" s="457" t="s">
        <v>753</v>
      </c>
      <c r="B285" s="457" t="s">
        <v>1095</v>
      </c>
      <c r="C285" s="457" t="s">
        <v>188</v>
      </c>
      <c r="E285" s="457">
        <v>69</v>
      </c>
      <c r="F285" s="457">
        <v>53</v>
      </c>
      <c r="G285" s="457">
        <v>84</v>
      </c>
      <c r="H285" s="457">
        <v>65</v>
      </c>
      <c r="I285" s="457">
        <v>60</v>
      </c>
      <c r="J285" s="457">
        <v>69</v>
      </c>
      <c r="K285" s="457">
        <v>79</v>
      </c>
      <c r="L285" s="457">
        <v>77</v>
      </c>
      <c r="M285" s="457">
        <v>75</v>
      </c>
      <c r="N285" s="457">
        <v>47</v>
      </c>
      <c r="O285" s="457">
        <v>71</v>
      </c>
      <c r="P285" s="457">
        <v>47</v>
      </c>
      <c r="Q285" s="457">
        <v>57</v>
      </c>
      <c r="R285" s="457">
        <v>70</v>
      </c>
      <c r="T285" s="457">
        <v>923</v>
      </c>
      <c r="V285" s="457">
        <f t="shared" si="4"/>
        <v>923</v>
      </c>
    </row>
    <row r="286" spans="1:22">
      <c r="A286" s="457" t="s">
        <v>755</v>
      </c>
      <c r="B286" s="457" t="s">
        <v>1096</v>
      </c>
      <c r="C286" s="457" t="s">
        <v>220</v>
      </c>
      <c r="E286" s="457">
        <v>7</v>
      </c>
      <c r="F286" s="457">
        <v>5</v>
      </c>
      <c r="G286" s="457">
        <v>10</v>
      </c>
      <c r="H286" s="457">
        <v>4</v>
      </c>
      <c r="I286" s="457">
        <v>7</v>
      </c>
      <c r="J286" s="457">
        <v>7</v>
      </c>
      <c r="K286" s="457">
        <v>7</v>
      </c>
      <c r="L286" s="457">
        <v>7</v>
      </c>
      <c r="M286" s="457">
        <v>11</v>
      </c>
      <c r="N286" s="457">
        <v>7</v>
      </c>
      <c r="T286" s="457">
        <v>72</v>
      </c>
      <c r="V286" s="457">
        <f t="shared" si="4"/>
        <v>72</v>
      </c>
    </row>
    <row r="287" spans="1:22">
      <c r="A287" s="457" t="s">
        <v>757</v>
      </c>
      <c r="B287" s="457" t="s">
        <v>1097</v>
      </c>
      <c r="C287" s="457" t="s">
        <v>204</v>
      </c>
      <c r="E287" s="457">
        <v>45</v>
      </c>
      <c r="F287" s="457">
        <v>28</v>
      </c>
      <c r="G287" s="457">
        <v>39</v>
      </c>
      <c r="H287" s="457">
        <v>50</v>
      </c>
      <c r="I287" s="457">
        <v>40</v>
      </c>
      <c r="J287" s="457">
        <v>43</v>
      </c>
      <c r="K287" s="457">
        <v>49</v>
      </c>
      <c r="L287" s="457">
        <v>31</v>
      </c>
      <c r="M287" s="457">
        <v>36</v>
      </c>
      <c r="N287" s="457">
        <v>50</v>
      </c>
      <c r="O287" s="457">
        <v>29</v>
      </c>
      <c r="P287" s="457">
        <v>44</v>
      </c>
      <c r="Q287" s="457">
        <v>25</v>
      </c>
      <c r="R287" s="457">
        <v>48</v>
      </c>
      <c r="T287" s="457">
        <v>557</v>
      </c>
      <c r="V287" s="457">
        <f t="shared" si="4"/>
        <v>557</v>
      </c>
    </row>
    <row r="288" spans="1:22">
      <c r="A288" s="457" t="s">
        <v>759</v>
      </c>
      <c r="B288" s="457" t="s">
        <v>1250</v>
      </c>
      <c r="C288" s="457" t="s">
        <v>193</v>
      </c>
      <c r="E288" s="457">
        <v>5</v>
      </c>
      <c r="F288" s="457">
        <v>12</v>
      </c>
      <c r="G288" s="457">
        <v>7</v>
      </c>
      <c r="H288" s="457">
        <v>3</v>
      </c>
      <c r="I288" s="457">
        <v>9</v>
      </c>
      <c r="J288" s="457">
        <v>12</v>
      </c>
      <c r="K288" s="457">
        <v>7</v>
      </c>
      <c r="L288" s="457">
        <v>18</v>
      </c>
      <c r="M288" s="457">
        <v>13</v>
      </c>
      <c r="N288" s="457">
        <v>17</v>
      </c>
      <c r="P288" s="457">
        <v>6</v>
      </c>
      <c r="R288" s="457">
        <v>1</v>
      </c>
      <c r="T288" s="457">
        <v>110</v>
      </c>
      <c r="V288" s="457">
        <f t="shared" si="4"/>
        <v>110</v>
      </c>
    </row>
    <row r="289" spans="1:22">
      <c r="A289" s="457" t="s">
        <v>761</v>
      </c>
      <c r="B289" s="457" t="s">
        <v>1099</v>
      </c>
      <c r="C289" s="457" t="s">
        <v>209</v>
      </c>
      <c r="E289" s="457">
        <v>201</v>
      </c>
      <c r="F289" s="457">
        <v>197</v>
      </c>
      <c r="G289" s="457">
        <v>259</v>
      </c>
      <c r="H289" s="457">
        <v>249</v>
      </c>
      <c r="I289" s="457">
        <v>261</v>
      </c>
      <c r="J289" s="457">
        <v>265</v>
      </c>
      <c r="K289" s="457">
        <v>272</v>
      </c>
      <c r="L289" s="457">
        <v>237</v>
      </c>
      <c r="M289" s="457">
        <v>213</v>
      </c>
      <c r="N289" s="457">
        <v>248</v>
      </c>
      <c r="O289" s="457">
        <v>240</v>
      </c>
      <c r="P289" s="457">
        <v>220</v>
      </c>
      <c r="Q289" s="457">
        <v>172</v>
      </c>
      <c r="R289" s="457">
        <v>245</v>
      </c>
      <c r="T289" s="457">
        <v>3279</v>
      </c>
      <c r="V289" s="457">
        <f t="shared" si="4"/>
        <v>3279</v>
      </c>
    </row>
    <row r="290" spans="1:22">
      <c r="A290" s="457" t="s">
        <v>763</v>
      </c>
      <c r="B290" s="457" t="s">
        <v>1100</v>
      </c>
      <c r="C290" s="457" t="s">
        <v>204</v>
      </c>
      <c r="E290" s="457">
        <v>14</v>
      </c>
      <c r="F290" s="457">
        <v>12</v>
      </c>
      <c r="G290" s="457">
        <v>7</v>
      </c>
      <c r="H290" s="457">
        <v>9</v>
      </c>
      <c r="I290" s="457">
        <v>11</v>
      </c>
      <c r="J290" s="457">
        <v>13</v>
      </c>
      <c r="K290" s="457">
        <v>9</v>
      </c>
      <c r="L290" s="457">
        <v>16</v>
      </c>
      <c r="M290" s="457">
        <v>16</v>
      </c>
      <c r="N290" s="457">
        <v>17</v>
      </c>
      <c r="O290" s="457">
        <v>22</v>
      </c>
      <c r="P290" s="457">
        <v>16</v>
      </c>
      <c r="Q290" s="457">
        <v>12</v>
      </c>
      <c r="R290" s="457">
        <v>11</v>
      </c>
      <c r="T290" s="457">
        <v>185</v>
      </c>
      <c r="V290" s="457">
        <f t="shared" si="4"/>
        <v>185</v>
      </c>
    </row>
    <row r="291" spans="1:22">
      <c r="A291" s="457" t="s">
        <v>765</v>
      </c>
      <c r="B291" s="457" t="s">
        <v>1101</v>
      </c>
      <c r="C291" s="457" t="s">
        <v>209</v>
      </c>
      <c r="D291" s="457" t="s">
        <v>818</v>
      </c>
      <c r="E291" s="457">
        <v>2</v>
      </c>
      <c r="F291" s="457">
        <v>4</v>
      </c>
      <c r="G291" s="457">
        <v>4</v>
      </c>
      <c r="H291" s="457">
        <v>3</v>
      </c>
      <c r="I291" s="457">
        <v>6</v>
      </c>
      <c r="J291" s="457">
        <v>4</v>
      </c>
      <c r="K291" s="457">
        <v>6</v>
      </c>
      <c r="L291" s="457">
        <v>4</v>
      </c>
      <c r="M291" s="457">
        <v>2</v>
      </c>
      <c r="N291" s="457">
        <v>8</v>
      </c>
      <c r="O291" s="457">
        <v>4</v>
      </c>
      <c r="P291" s="457">
        <v>9</v>
      </c>
      <c r="Q291" s="457">
        <v>3</v>
      </c>
      <c r="R291" s="457">
        <v>13</v>
      </c>
      <c r="T291" s="457">
        <v>72</v>
      </c>
      <c r="V291" s="457">
        <f t="shared" si="4"/>
        <v>72</v>
      </c>
    </row>
    <row r="292" spans="1:22">
      <c r="A292" s="457" t="s">
        <v>767</v>
      </c>
      <c r="B292" s="457" t="s">
        <v>1102</v>
      </c>
      <c r="C292" s="457" t="s">
        <v>220</v>
      </c>
      <c r="E292" s="457">
        <v>30</v>
      </c>
      <c r="F292" s="457">
        <v>21</v>
      </c>
      <c r="G292" s="457">
        <v>11</v>
      </c>
      <c r="H292" s="457">
        <v>22</v>
      </c>
      <c r="I292" s="457">
        <v>11</v>
      </c>
      <c r="J292" s="457">
        <v>18</v>
      </c>
      <c r="K292" s="457">
        <v>21</v>
      </c>
      <c r="L292" s="457">
        <v>25</v>
      </c>
      <c r="M292" s="457">
        <v>17</v>
      </c>
      <c r="N292" s="457">
        <v>17</v>
      </c>
      <c r="O292" s="457">
        <v>35</v>
      </c>
      <c r="P292" s="457">
        <v>22</v>
      </c>
      <c r="Q292" s="457">
        <v>19</v>
      </c>
      <c r="R292" s="457">
        <v>44</v>
      </c>
      <c r="T292" s="457">
        <v>313</v>
      </c>
      <c r="V292" s="457">
        <f t="shared" si="4"/>
        <v>313</v>
      </c>
    </row>
    <row r="293" spans="1:22">
      <c r="A293" s="457" t="s">
        <v>769</v>
      </c>
      <c r="B293" s="457" t="s">
        <v>1103</v>
      </c>
      <c r="C293" s="457" t="s">
        <v>201</v>
      </c>
      <c r="D293" s="457" t="s">
        <v>818</v>
      </c>
      <c r="E293" s="457">
        <v>1</v>
      </c>
      <c r="F293" s="457">
        <v>2</v>
      </c>
      <c r="G293" s="457">
        <v>2</v>
      </c>
      <c r="H293" s="457">
        <v>3</v>
      </c>
      <c r="I293" s="457">
        <v>1</v>
      </c>
      <c r="J293" s="457">
        <v>1</v>
      </c>
      <c r="K293" s="457">
        <v>3</v>
      </c>
      <c r="M293" s="457">
        <v>1</v>
      </c>
      <c r="O293" s="457">
        <v>2</v>
      </c>
      <c r="P293" s="457">
        <v>3</v>
      </c>
      <c r="Q293" s="457">
        <v>2</v>
      </c>
      <c r="R293" s="457">
        <v>2</v>
      </c>
      <c r="T293" s="457">
        <v>23</v>
      </c>
      <c r="V293" s="457">
        <f t="shared" si="4"/>
        <v>23</v>
      </c>
    </row>
    <row r="294" spans="1:22">
      <c r="A294" s="457" t="s">
        <v>771</v>
      </c>
      <c r="B294" s="457" t="s">
        <v>1104</v>
      </c>
      <c r="C294" s="457" t="s">
        <v>201</v>
      </c>
      <c r="E294" s="457">
        <v>33</v>
      </c>
      <c r="F294" s="457">
        <v>44</v>
      </c>
      <c r="G294" s="457">
        <v>45</v>
      </c>
      <c r="H294" s="457">
        <v>59</v>
      </c>
      <c r="I294" s="457">
        <v>61</v>
      </c>
      <c r="J294" s="457">
        <v>66</v>
      </c>
      <c r="K294" s="457">
        <v>64</v>
      </c>
      <c r="L294" s="457">
        <v>63</v>
      </c>
      <c r="M294" s="457">
        <v>63</v>
      </c>
      <c r="N294" s="457">
        <v>86</v>
      </c>
      <c r="O294" s="457">
        <v>61</v>
      </c>
      <c r="P294" s="457">
        <v>67</v>
      </c>
      <c r="Q294" s="457">
        <v>60</v>
      </c>
      <c r="R294" s="457">
        <v>81</v>
      </c>
      <c r="T294" s="457">
        <v>853</v>
      </c>
      <c r="V294" s="457">
        <f t="shared" si="4"/>
        <v>853</v>
      </c>
    </row>
    <row r="295" spans="1:22">
      <c r="A295" s="457" t="s">
        <v>773</v>
      </c>
      <c r="B295" s="457" t="s">
        <v>1105</v>
      </c>
      <c r="C295" s="457" t="s">
        <v>220</v>
      </c>
      <c r="E295" s="457">
        <v>12</v>
      </c>
      <c r="F295" s="457">
        <v>37</v>
      </c>
      <c r="G295" s="457">
        <v>37</v>
      </c>
      <c r="H295" s="457">
        <v>25</v>
      </c>
      <c r="I295" s="457">
        <v>39</v>
      </c>
      <c r="J295" s="457">
        <v>26</v>
      </c>
      <c r="K295" s="457">
        <v>35</v>
      </c>
      <c r="L295" s="457">
        <v>38</v>
      </c>
      <c r="M295" s="457">
        <v>36</v>
      </c>
      <c r="N295" s="457">
        <v>39</v>
      </c>
      <c r="O295" s="457">
        <v>35</v>
      </c>
      <c r="P295" s="457">
        <v>24</v>
      </c>
      <c r="Q295" s="457">
        <v>27</v>
      </c>
      <c r="R295" s="457">
        <v>34</v>
      </c>
      <c r="T295" s="457">
        <v>444</v>
      </c>
      <c r="V295" s="457">
        <f t="shared" si="4"/>
        <v>444</v>
      </c>
    </row>
    <row r="296" spans="1:22">
      <c r="A296" s="457" t="s">
        <v>775</v>
      </c>
      <c r="B296" s="457" t="s">
        <v>1106</v>
      </c>
      <c r="C296" s="457" t="s">
        <v>230</v>
      </c>
      <c r="E296" s="457">
        <v>11</v>
      </c>
      <c r="F296" s="457">
        <v>7</v>
      </c>
      <c r="G296" s="457">
        <v>8</v>
      </c>
      <c r="H296" s="457">
        <v>10</v>
      </c>
      <c r="I296" s="457">
        <v>8</v>
      </c>
      <c r="J296" s="457">
        <v>8</v>
      </c>
      <c r="K296" s="457">
        <v>12</v>
      </c>
      <c r="L296" s="457">
        <v>13</v>
      </c>
      <c r="M296" s="457">
        <v>13</v>
      </c>
      <c r="N296" s="457">
        <v>9</v>
      </c>
      <c r="O296" s="457">
        <v>8</v>
      </c>
      <c r="P296" s="457">
        <v>11</v>
      </c>
      <c r="Q296" s="457">
        <v>10</v>
      </c>
      <c r="R296" s="457">
        <v>12</v>
      </c>
      <c r="T296" s="457">
        <v>140</v>
      </c>
      <c r="V296" s="457">
        <f t="shared" si="4"/>
        <v>140</v>
      </c>
    </row>
    <row r="297" spans="1:22">
      <c r="A297" s="457" t="s">
        <v>777</v>
      </c>
      <c r="B297" s="457" t="s">
        <v>1107</v>
      </c>
      <c r="C297" s="457" t="s">
        <v>209</v>
      </c>
      <c r="E297" s="457">
        <v>29</v>
      </c>
      <c r="F297" s="457">
        <v>27</v>
      </c>
      <c r="G297" s="457">
        <v>37</v>
      </c>
      <c r="H297" s="457">
        <v>32</v>
      </c>
      <c r="I297" s="457">
        <v>34</v>
      </c>
      <c r="J297" s="457">
        <v>37</v>
      </c>
      <c r="K297" s="457">
        <v>31</v>
      </c>
      <c r="L297" s="457">
        <v>34</v>
      </c>
      <c r="M297" s="457">
        <v>35</v>
      </c>
      <c r="N297" s="457">
        <v>35</v>
      </c>
      <c r="O297" s="457">
        <v>33</v>
      </c>
      <c r="P297" s="457">
        <v>27</v>
      </c>
      <c r="Q297" s="457">
        <v>38</v>
      </c>
      <c r="R297" s="457">
        <v>39</v>
      </c>
      <c r="T297" s="457">
        <v>468</v>
      </c>
      <c r="V297" s="457">
        <f t="shared" si="4"/>
        <v>468</v>
      </c>
    </row>
    <row r="298" spans="1:22">
      <c r="A298" s="457" t="s">
        <v>779</v>
      </c>
      <c r="B298" s="457" t="s">
        <v>1108</v>
      </c>
      <c r="C298" s="457" t="s">
        <v>193</v>
      </c>
      <c r="E298" s="457">
        <v>2</v>
      </c>
      <c r="G298" s="457">
        <v>1</v>
      </c>
      <c r="H298" s="457">
        <v>1</v>
      </c>
      <c r="I298" s="457">
        <v>2</v>
      </c>
      <c r="J298" s="457">
        <v>1</v>
      </c>
      <c r="L298" s="457">
        <v>2</v>
      </c>
      <c r="M298" s="457">
        <v>3</v>
      </c>
      <c r="N298" s="457">
        <v>1</v>
      </c>
      <c r="P298" s="457">
        <v>1</v>
      </c>
      <c r="T298" s="457">
        <v>14</v>
      </c>
      <c r="V298" s="457">
        <f t="shared" si="4"/>
        <v>14</v>
      </c>
    </row>
    <row r="299" spans="1:22">
      <c r="A299" s="457" t="s">
        <v>781</v>
      </c>
      <c r="B299" s="457" t="s">
        <v>1109</v>
      </c>
      <c r="C299" s="457" t="s">
        <v>230</v>
      </c>
      <c r="E299" s="457">
        <v>1</v>
      </c>
      <c r="F299" s="457">
        <v>3</v>
      </c>
      <c r="G299" s="457">
        <v>2</v>
      </c>
      <c r="I299" s="457">
        <v>3</v>
      </c>
      <c r="J299" s="457">
        <v>3</v>
      </c>
      <c r="K299" s="457">
        <v>2</v>
      </c>
      <c r="L299" s="457">
        <v>3</v>
      </c>
      <c r="M299" s="457">
        <v>2</v>
      </c>
      <c r="N299" s="457">
        <v>4</v>
      </c>
      <c r="O299" s="457">
        <v>4</v>
      </c>
      <c r="P299" s="457">
        <v>6</v>
      </c>
      <c r="Q299" s="457">
        <v>4</v>
      </c>
      <c r="R299" s="457">
        <v>5</v>
      </c>
      <c r="T299" s="457">
        <v>42</v>
      </c>
      <c r="V299" s="457">
        <f t="shared" si="4"/>
        <v>42</v>
      </c>
    </row>
    <row r="300" spans="1:22">
      <c r="A300" s="457" t="s">
        <v>783</v>
      </c>
      <c r="B300" s="457" t="s">
        <v>1110</v>
      </c>
      <c r="C300" s="457" t="s">
        <v>193</v>
      </c>
      <c r="E300" s="457">
        <v>1</v>
      </c>
      <c r="F300" s="457">
        <v>3</v>
      </c>
      <c r="G300" s="457">
        <v>2</v>
      </c>
      <c r="H300" s="457">
        <v>3</v>
      </c>
      <c r="I300" s="457">
        <v>2</v>
      </c>
      <c r="J300" s="457">
        <v>6</v>
      </c>
      <c r="K300" s="457">
        <v>4</v>
      </c>
      <c r="L300" s="457">
        <v>5</v>
      </c>
      <c r="M300" s="457">
        <v>3</v>
      </c>
      <c r="N300" s="457">
        <v>2</v>
      </c>
      <c r="O300" s="457">
        <v>1</v>
      </c>
      <c r="P300" s="457">
        <v>6</v>
      </c>
      <c r="Q300" s="457">
        <v>7</v>
      </c>
      <c r="R300" s="457">
        <v>16</v>
      </c>
      <c r="T300" s="457">
        <v>61</v>
      </c>
      <c r="V300" s="457">
        <f t="shared" si="4"/>
        <v>61</v>
      </c>
    </row>
    <row r="301" spans="1:22">
      <c r="A301" s="457" t="s">
        <v>785</v>
      </c>
      <c r="B301" s="457" t="s">
        <v>1111</v>
      </c>
      <c r="C301" s="457" t="s">
        <v>230</v>
      </c>
      <c r="E301" s="457">
        <v>80</v>
      </c>
      <c r="F301" s="457">
        <v>67</v>
      </c>
      <c r="G301" s="457">
        <v>65</v>
      </c>
      <c r="H301" s="457">
        <v>70</v>
      </c>
      <c r="I301" s="457">
        <v>78</v>
      </c>
      <c r="J301" s="457">
        <v>70</v>
      </c>
      <c r="K301" s="457">
        <v>80</v>
      </c>
      <c r="L301" s="457">
        <v>64</v>
      </c>
      <c r="M301" s="457">
        <v>79</v>
      </c>
      <c r="N301" s="457">
        <v>81</v>
      </c>
      <c r="O301" s="457">
        <v>68</v>
      </c>
      <c r="P301" s="457">
        <v>74</v>
      </c>
      <c r="Q301" s="457">
        <v>74</v>
      </c>
      <c r="R301" s="457">
        <v>97</v>
      </c>
      <c r="T301" s="457">
        <v>1047</v>
      </c>
      <c r="V301" s="457">
        <f t="shared" si="4"/>
        <v>1047</v>
      </c>
    </row>
    <row r="302" spans="1:22">
      <c r="A302" s="457" t="s">
        <v>787</v>
      </c>
      <c r="B302" s="457" t="s">
        <v>1259</v>
      </c>
      <c r="C302" s="457" t="s">
        <v>220</v>
      </c>
      <c r="E302" s="457">
        <v>42</v>
      </c>
      <c r="F302" s="457">
        <v>60</v>
      </c>
      <c r="G302" s="457">
        <v>63</v>
      </c>
      <c r="H302" s="457">
        <v>67</v>
      </c>
      <c r="I302" s="457">
        <v>79</v>
      </c>
      <c r="J302" s="457">
        <v>70</v>
      </c>
      <c r="K302" s="457">
        <v>69</v>
      </c>
      <c r="L302" s="457">
        <v>51</v>
      </c>
      <c r="M302" s="457">
        <v>45</v>
      </c>
      <c r="N302" s="457">
        <v>40</v>
      </c>
      <c r="O302" s="457">
        <v>53</v>
      </c>
      <c r="P302" s="457">
        <v>46</v>
      </c>
      <c r="Q302" s="457">
        <v>44</v>
      </c>
      <c r="R302" s="457">
        <v>47</v>
      </c>
      <c r="T302" s="457">
        <v>776</v>
      </c>
      <c r="V302" s="457">
        <f t="shared" si="4"/>
        <v>776</v>
      </c>
    </row>
    <row r="303" spans="1:22">
      <c r="A303" s="457" t="s">
        <v>789</v>
      </c>
      <c r="B303" s="457" t="s">
        <v>1247</v>
      </c>
      <c r="C303" s="457" t="s">
        <v>193</v>
      </c>
      <c r="E303" s="457">
        <v>30</v>
      </c>
      <c r="F303" s="457">
        <v>31</v>
      </c>
      <c r="G303" s="457">
        <v>37</v>
      </c>
      <c r="H303" s="457">
        <v>42</v>
      </c>
      <c r="I303" s="457">
        <v>37</v>
      </c>
      <c r="J303" s="457">
        <v>33</v>
      </c>
      <c r="K303" s="457">
        <v>30</v>
      </c>
      <c r="L303" s="457">
        <v>37</v>
      </c>
      <c r="M303" s="457">
        <v>36</v>
      </c>
      <c r="N303" s="457">
        <v>39</v>
      </c>
      <c r="O303" s="457">
        <v>34</v>
      </c>
      <c r="P303" s="457">
        <v>38</v>
      </c>
      <c r="Q303" s="457">
        <v>48</v>
      </c>
      <c r="R303" s="457">
        <v>54</v>
      </c>
      <c r="T303" s="457">
        <v>526</v>
      </c>
      <c r="V303" s="457">
        <f t="shared" si="4"/>
        <v>526</v>
      </c>
    </row>
    <row r="304" spans="1:22">
      <c r="A304" s="457" t="s">
        <v>1168</v>
      </c>
      <c r="B304" s="457" t="s">
        <v>1288</v>
      </c>
      <c r="C304" s="457" t="s">
        <v>196</v>
      </c>
      <c r="P304" s="457">
        <v>4</v>
      </c>
      <c r="Q304" s="457">
        <v>6</v>
      </c>
      <c r="T304" s="457">
        <v>10</v>
      </c>
      <c r="V304" s="457">
        <f t="shared" si="4"/>
        <v>10</v>
      </c>
    </row>
    <row r="305" spans="1:22">
      <c r="A305" s="457" t="s">
        <v>791</v>
      </c>
      <c r="B305" s="457" t="s">
        <v>1114</v>
      </c>
      <c r="C305" s="457" t="s">
        <v>188</v>
      </c>
      <c r="E305" s="457">
        <v>1</v>
      </c>
      <c r="F305" s="457">
        <v>1</v>
      </c>
      <c r="G305" s="457">
        <v>6</v>
      </c>
      <c r="H305" s="457">
        <v>7</v>
      </c>
      <c r="I305" s="457">
        <v>3</v>
      </c>
      <c r="J305" s="457">
        <v>6</v>
      </c>
      <c r="K305" s="457">
        <v>9</v>
      </c>
      <c r="L305" s="457">
        <v>5</v>
      </c>
      <c r="M305" s="457">
        <v>6</v>
      </c>
      <c r="N305" s="457">
        <v>6</v>
      </c>
      <c r="O305" s="457">
        <v>5</v>
      </c>
      <c r="P305" s="457">
        <v>2</v>
      </c>
      <c r="Q305" s="457">
        <v>4</v>
      </c>
      <c r="R305" s="457">
        <v>11</v>
      </c>
      <c r="T305" s="457">
        <v>72</v>
      </c>
      <c r="V305" s="457">
        <f t="shared" si="4"/>
        <v>72</v>
      </c>
    </row>
    <row r="306" spans="1:22">
      <c r="A306" s="457" t="s">
        <v>793</v>
      </c>
      <c r="B306" s="457" t="s">
        <v>1115</v>
      </c>
      <c r="C306" s="457" t="s">
        <v>204</v>
      </c>
      <c r="E306" s="457">
        <v>45</v>
      </c>
      <c r="F306" s="457">
        <v>49</v>
      </c>
      <c r="G306" s="457">
        <v>43</v>
      </c>
      <c r="H306" s="457">
        <v>36</v>
      </c>
      <c r="I306" s="457">
        <v>56</v>
      </c>
      <c r="J306" s="457">
        <v>48</v>
      </c>
      <c r="K306" s="457">
        <v>41</v>
      </c>
      <c r="L306" s="457">
        <v>47</v>
      </c>
      <c r="M306" s="457">
        <v>42</v>
      </c>
      <c r="N306" s="457">
        <v>35</v>
      </c>
      <c r="O306" s="457">
        <v>39</v>
      </c>
      <c r="P306" s="457">
        <v>51</v>
      </c>
      <c r="Q306" s="457">
        <v>39</v>
      </c>
      <c r="R306" s="457">
        <v>47</v>
      </c>
      <c r="T306" s="457">
        <v>618</v>
      </c>
      <c r="V306" s="457">
        <f t="shared" si="4"/>
        <v>618</v>
      </c>
    </row>
    <row r="307" spans="1:22">
      <c r="A307" s="457" t="s">
        <v>795</v>
      </c>
      <c r="B307" s="457" t="s">
        <v>1116</v>
      </c>
      <c r="C307" s="457" t="s">
        <v>209</v>
      </c>
      <c r="D307" s="457" t="s">
        <v>818</v>
      </c>
      <c r="E307" s="457">
        <v>6</v>
      </c>
      <c r="F307" s="457">
        <v>4</v>
      </c>
      <c r="G307" s="457">
        <v>10</v>
      </c>
      <c r="H307" s="457">
        <v>14</v>
      </c>
      <c r="I307" s="457">
        <v>10</v>
      </c>
      <c r="J307" s="457">
        <v>19</v>
      </c>
      <c r="K307" s="457">
        <v>14</v>
      </c>
      <c r="L307" s="457">
        <v>9</v>
      </c>
      <c r="M307" s="457">
        <v>12</v>
      </c>
      <c r="N307" s="457">
        <v>12</v>
      </c>
      <c r="O307" s="457">
        <v>7</v>
      </c>
      <c r="P307" s="457">
        <v>13</v>
      </c>
      <c r="Q307" s="457">
        <v>10</v>
      </c>
      <c r="R307" s="457">
        <v>7</v>
      </c>
      <c r="T307" s="457">
        <v>147</v>
      </c>
      <c r="V307" s="457">
        <f t="shared" si="4"/>
        <v>147</v>
      </c>
    </row>
    <row r="308" spans="1:22">
      <c r="A308" s="457" t="s">
        <v>246</v>
      </c>
      <c r="B308" s="457" t="s">
        <v>1361</v>
      </c>
      <c r="C308" s="457" t="s">
        <v>204</v>
      </c>
      <c r="O308" s="457">
        <v>10</v>
      </c>
      <c r="P308" s="457">
        <v>15</v>
      </c>
      <c r="T308" s="457">
        <v>25</v>
      </c>
      <c r="V308" s="457">
        <f t="shared" si="4"/>
        <v>25</v>
      </c>
    </row>
    <row r="309" spans="1:22">
      <c r="A309" s="457" t="s">
        <v>797</v>
      </c>
      <c r="B309" s="457" t="s">
        <v>1117</v>
      </c>
      <c r="C309" s="457" t="s">
        <v>193</v>
      </c>
      <c r="F309" s="457">
        <v>3</v>
      </c>
      <c r="G309" s="457">
        <v>1</v>
      </c>
      <c r="H309" s="457">
        <v>2</v>
      </c>
      <c r="I309" s="457">
        <v>3</v>
      </c>
      <c r="J309" s="457">
        <v>6</v>
      </c>
      <c r="K309" s="457">
        <v>5</v>
      </c>
      <c r="L309" s="457">
        <v>1</v>
      </c>
      <c r="M309" s="457">
        <v>1</v>
      </c>
      <c r="N309" s="457">
        <v>4</v>
      </c>
      <c r="O309" s="457">
        <v>3</v>
      </c>
      <c r="P309" s="457">
        <v>3</v>
      </c>
      <c r="Q309" s="457">
        <v>4</v>
      </c>
      <c r="R309" s="457">
        <v>4</v>
      </c>
      <c r="T309" s="457">
        <v>40</v>
      </c>
      <c r="V309" s="457">
        <f t="shared" si="4"/>
        <v>40</v>
      </c>
    </row>
    <row r="310" spans="1:22">
      <c r="A310" s="457" t="s">
        <v>799</v>
      </c>
      <c r="B310" s="457" t="s">
        <v>1118</v>
      </c>
      <c r="C310" s="457" t="s">
        <v>188</v>
      </c>
      <c r="G310" s="457">
        <v>3</v>
      </c>
      <c r="H310" s="457">
        <v>2</v>
      </c>
      <c r="I310" s="457">
        <v>1</v>
      </c>
      <c r="J310" s="457">
        <v>4</v>
      </c>
      <c r="K310" s="457">
        <v>6</v>
      </c>
      <c r="L310" s="457">
        <v>3</v>
      </c>
      <c r="M310" s="457">
        <v>4</v>
      </c>
      <c r="N310" s="457">
        <v>4</v>
      </c>
      <c r="O310" s="457">
        <v>5</v>
      </c>
      <c r="P310" s="457">
        <v>5</v>
      </c>
      <c r="Q310" s="457">
        <v>1</v>
      </c>
      <c r="R310" s="457">
        <v>7</v>
      </c>
      <c r="T310" s="457">
        <v>45</v>
      </c>
      <c r="V310" s="457">
        <f t="shared" si="4"/>
        <v>45</v>
      </c>
    </row>
    <row r="311" spans="1:22">
      <c r="A311" s="457" t="s">
        <v>801</v>
      </c>
      <c r="B311" s="457" t="s">
        <v>1148</v>
      </c>
      <c r="C311" s="457" t="s">
        <v>230</v>
      </c>
      <c r="H311" s="457">
        <v>3</v>
      </c>
      <c r="I311" s="457">
        <v>3</v>
      </c>
      <c r="K311" s="457">
        <v>3</v>
      </c>
      <c r="L311" s="457">
        <v>1</v>
      </c>
      <c r="M311" s="457">
        <v>1</v>
      </c>
      <c r="N311" s="457">
        <v>1</v>
      </c>
      <c r="O311" s="457">
        <v>1</v>
      </c>
      <c r="P311" s="457">
        <v>2</v>
      </c>
      <c r="Q311" s="457">
        <v>1</v>
      </c>
      <c r="R311" s="457">
        <v>2</v>
      </c>
      <c r="T311" s="457">
        <v>18</v>
      </c>
      <c r="V311" s="457">
        <f t="shared" si="4"/>
        <v>18</v>
      </c>
    </row>
    <row r="312" spans="1:22">
      <c r="A312" s="457" t="s">
        <v>803</v>
      </c>
      <c r="B312" s="457" t="s">
        <v>1119</v>
      </c>
      <c r="C312" s="457" t="s">
        <v>188</v>
      </c>
      <c r="E312" s="457">
        <v>9</v>
      </c>
      <c r="F312" s="457">
        <v>7</v>
      </c>
      <c r="G312" s="457">
        <v>3</v>
      </c>
      <c r="H312" s="457">
        <v>10</v>
      </c>
      <c r="I312" s="457">
        <v>10</v>
      </c>
      <c r="J312" s="457">
        <v>7</v>
      </c>
      <c r="K312" s="457">
        <v>11</v>
      </c>
      <c r="L312" s="457">
        <v>5</v>
      </c>
      <c r="M312" s="457">
        <v>8</v>
      </c>
      <c r="N312" s="457">
        <v>9</v>
      </c>
      <c r="O312" s="457">
        <v>11</v>
      </c>
      <c r="P312" s="457">
        <v>4</v>
      </c>
      <c r="Q312" s="457">
        <v>10</v>
      </c>
      <c r="R312" s="457">
        <v>12</v>
      </c>
      <c r="T312" s="457">
        <v>116</v>
      </c>
      <c r="V312" s="457">
        <f t="shared" si="4"/>
        <v>116</v>
      </c>
    </row>
    <row r="313" spans="1:22">
      <c r="A313" s="457" t="s">
        <v>805</v>
      </c>
      <c r="B313" s="457" t="s">
        <v>1120</v>
      </c>
      <c r="C313" s="457" t="s">
        <v>188</v>
      </c>
      <c r="E313" s="457">
        <v>1</v>
      </c>
      <c r="F313" s="457">
        <v>2</v>
      </c>
      <c r="G313" s="457">
        <v>1</v>
      </c>
      <c r="I313" s="457">
        <v>1</v>
      </c>
      <c r="J313" s="457">
        <v>1</v>
      </c>
      <c r="L313" s="457">
        <v>5</v>
      </c>
      <c r="M313" s="457">
        <v>2</v>
      </c>
      <c r="N313" s="457">
        <v>6</v>
      </c>
      <c r="O313" s="457">
        <v>1</v>
      </c>
      <c r="Q313" s="457">
        <v>1</v>
      </c>
      <c r="R313" s="457">
        <v>2</v>
      </c>
      <c r="T313" s="457">
        <v>23</v>
      </c>
      <c r="V313" s="457">
        <f t="shared" si="4"/>
        <v>23</v>
      </c>
    </row>
    <row r="314" spans="1:22">
      <c r="A314" s="457" t="s">
        <v>807</v>
      </c>
      <c r="B314" s="457" t="s">
        <v>1121</v>
      </c>
      <c r="C314" s="457" t="s">
        <v>209</v>
      </c>
      <c r="D314" s="457" t="s">
        <v>818</v>
      </c>
      <c r="E314" s="457">
        <v>1</v>
      </c>
      <c r="K314" s="457">
        <v>1</v>
      </c>
      <c r="M314" s="457">
        <v>1</v>
      </c>
      <c r="O314" s="457">
        <v>1</v>
      </c>
      <c r="R314" s="457">
        <v>1</v>
      </c>
      <c r="T314" s="457">
        <v>5</v>
      </c>
      <c r="V314" s="457">
        <f t="shared" si="4"/>
        <v>5</v>
      </c>
    </row>
    <row r="315" spans="1:22">
      <c r="A315" s="457" t="s">
        <v>809</v>
      </c>
      <c r="B315" s="457" t="s">
        <v>1122</v>
      </c>
      <c r="C315" s="457" t="s">
        <v>209</v>
      </c>
      <c r="E315" s="457">
        <v>23</v>
      </c>
      <c r="F315" s="457">
        <v>22</v>
      </c>
      <c r="G315" s="457">
        <v>23</v>
      </c>
      <c r="H315" s="457">
        <v>20</v>
      </c>
      <c r="I315" s="457">
        <v>21</v>
      </c>
      <c r="J315" s="457">
        <v>33</v>
      </c>
      <c r="K315" s="457">
        <v>24</v>
      </c>
      <c r="L315" s="457">
        <v>27</v>
      </c>
      <c r="M315" s="457">
        <v>26</v>
      </c>
      <c r="N315" s="457">
        <v>24</v>
      </c>
      <c r="O315" s="457">
        <v>28</v>
      </c>
      <c r="P315" s="457">
        <v>23</v>
      </c>
      <c r="Q315" s="457">
        <v>15</v>
      </c>
      <c r="R315" s="457">
        <v>39</v>
      </c>
      <c r="T315" s="457">
        <v>348</v>
      </c>
      <c r="V315" s="457">
        <f t="shared" si="4"/>
        <v>348</v>
      </c>
    </row>
    <row r="316" spans="1:22">
      <c r="A316" s="457" t="s">
        <v>811</v>
      </c>
      <c r="B316" s="457" t="s">
        <v>1123</v>
      </c>
      <c r="C316" s="457" t="s">
        <v>220</v>
      </c>
      <c r="E316" s="457">
        <v>193</v>
      </c>
      <c r="F316" s="457">
        <v>138</v>
      </c>
      <c r="G316" s="457">
        <v>154</v>
      </c>
      <c r="H316" s="457">
        <v>167</v>
      </c>
      <c r="I316" s="457">
        <v>155</v>
      </c>
      <c r="J316" s="457">
        <v>157</v>
      </c>
      <c r="K316" s="457">
        <v>156</v>
      </c>
      <c r="L316" s="457">
        <v>128</v>
      </c>
      <c r="M316" s="457">
        <v>153</v>
      </c>
      <c r="N316" s="457">
        <v>152</v>
      </c>
      <c r="O316" s="457">
        <v>159</v>
      </c>
      <c r="P316" s="457">
        <v>174</v>
      </c>
      <c r="Q316" s="457">
        <v>158</v>
      </c>
      <c r="R316" s="457">
        <v>185</v>
      </c>
      <c r="T316" s="457">
        <v>2229</v>
      </c>
      <c r="V316" s="457">
        <f t="shared" si="4"/>
        <v>2229</v>
      </c>
    </row>
    <row r="317" spans="1:22">
      <c r="A317" s="457" t="s">
        <v>813</v>
      </c>
      <c r="B317" s="457" t="s">
        <v>1124</v>
      </c>
      <c r="C317" s="457" t="s">
        <v>188</v>
      </c>
      <c r="E317" s="457">
        <v>44</v>
      </c>
      <c r="F317" s="457">
        <v>44</v>
      </c>
      <c r="G317" s="457">
        <v>60</v>
      </c>
      <c r="H317" s="457">
        <v>55</v>
      </c>
      <c r="I317" s="457">
        <v>69</v>
      </c>
      <c r="J317" s="457">
        <v>60</v>
      </c>
      <c r="K317" s="457">
        <v>63</v>
      </c>
      <c r="L317" s="457">
        <v>68</v>
      </c>
      <c r="M317" s="457">
        <v>57</v>
      </c>
      <c r="N317" s="457">
        <v>61</v>
      </c>
      <c r="O317" s="457">
        <v>68</v>
      </c>
      <c r="P317" s="457">
        <v>58</v>
      </c>
      <c r="Q317" s="457">
        <v>58</v>
      </c>
      <c r="R317" s="457">
        <v>68</v>
      </c>
      <c r="T317" s="457">
        <v>833</v>
      </c>
      <c r="V317" s="457">
        <f t="shared" si="4"/>
        <v>833</v>
      </c>
    </row>
    <row r="318" spans="1:22">
      <c r="A318" s="457" t="s">
        <v>815</v>
      </c>
      <c r="B318" s="457" t="s">
        <v>1125</v>
      </c>
      <c r="C318" s="457" t="s">
        <v>220</v>
      </c>
      <c r="E318" s="457">
        <v>5</v>
      </c>
      <c r="F318" s="457">
        <v>10</v>
      </c>
      <c r="G318" s="457">
        <v>15</v>
      </c>
      <c r="H318" s="457">
        <v>11</v>
      </c>
      <c r="I318" s="457">
        <v>12</v>
      </c>
      <c r="J318" s="457">
        <v>13</v>
      </c>
      <c r="K318" s="457">
        <v>14</v>
      </c>
      <c r="L318" s="457">
        <v>11</v>
      </c>
      <c r="M318" s="457">
        <v>15</v>
      </c>
      <c r="N318" s="457">
        <v>15</v>
      </c>
      <c r="O318" s="457">
        <v>8</v>
      </c>
      <c r="P318" s="457">
        <v>9</v>
      </c>
      <c r="Q318" s="457">
        <v>11</v>
      </c>
      <c r="R318" s="457">
        <v>8</v>
      </c>
      <c r="T318" s="457">
        <v>157</v>
      </c>
      <c r="V318" s="457">
        <f t="shared" si="4"/>
        <v>157</v>
      </c>
    </row>
    <row r="319" spans="1:22">
      <c r="A319" s="457" t="s">
        <v>1229</v>
      </c>
      <c r="E319" s="457">
        <v>10550</v>
      </c>
      <c r="F319" s="457">
        <v>8330</v>
      </c>
      <c r="G319" s="457">
        <v>10530</v>
      </c>
      <c r="H319" s="457">
        <v>10458</v>
      </c>
      <c r="I319" s="457">
        <v>11637</v>
      </c>
      <c r="J319" s="457">
        <v>11916</v>
      </c>
      <c r="K319" s="457">
        <v>11658</v>
      </c>
      <c r="L319" s="457">
        <v>11304</v>
      </c>
      <c r="M319" s="457">
        <v>10936</v>
      </c>
      <c r="N319" s="457">
        <v>11116</v>
      </c>
      <c r="O319" s="457">
        <v>10872</v>
      </c>
      <c r="P319" s="457">
        <v>10596</v>
      </c>
      <c r="Q319" s="457">
        <v>9659</v>
      </c>
      <c r="R319" s="457">
        <v>12369</v>
      </c>
      <c r="T319" s="457">
        <v>151931</v>
      </c>
      <c r="V319" s="457">
        <f t="shared" si="4"/>
        <v>151931</v>
      </c>
    </row>
    <row r="320" spans="1:22">
      <c r="A320" s="459"/>
      <c r="C320" s="459"/>
    </row>
  </sheetData>
  <autoFilter ref="A3:V320" xr:uid="{65A3485E-7934-419B-9366-18701F2BCAE7}"/>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7030A0"/>
  </sheetPr>
  <dimension ref="A1:K26"/>
  <sheetViews>
    <sheetView showGridLines="0" workbookViewId="0">
      <selection activeCell="B6" sqref="B6"/>
    </sheetView>
  </sheetViews>
  <sheetFormatPr defaultColWidth="0" defaultRowHeight="14.5" zeroHeight="1"/>
  <cols>
    <col min="1" max="4" width="22.7265625" customWidth="1"/>
    <col min="5" max="7" width="22.7265625" hidden="1" customWidth="1"/>
    <col min="8" max="8" width="25.81640625" hidden="1" customWidth="1"/>
    <col min="9" max="9" width="18.1796875" hidden="1" customWidth="1"/>
    <col min="10" max="10" width="15.1796875" hidden="1" customWidth="1"/>
    <col min="11" max="11" width="12.54296875" hidden="1" customWidth="1"/>
    <col min="12" max="16384" width="9.1796875" hidden="1"/>
  </cols>
  <sheetData>
    <row r="1" spans="1:11">
      <c r="A1" s="2" t="s">
        <v>161</v>
      </c>
      <c r="H1" s="2" t="s">
        <v>108</v>
      </c>
    </row>
    <row r="2" spans="1:11">
      <c r="A2" s="2" t="s">
        <v>160</v>
      </c>
      <c r="H2" s="2"/>
    </row>
    <row r="3" spans="1:11" ht="43.5">
      <c r="A3" s="2" t="s">
        <v>122</v>
      </c>
      <c r="B3" s="6" t="s">
        <v>158</v>
      </c>
      <c r="C3" s="6" t="s">
        <v>159</v>
      </c>
      <c r="I3" t="s">
        <v>43</v>
      </c>
      <c r="J3" t="s">
        <v>137</v>
      </c>
      <c r="K3" t="s">
        <v>8</v>
      </c>
    </row>
    <row r="4" spans="1:11">
      <c r="A4" s="3" t="str">
        <f>IF(MIN('2. Getting Started'!B$10:B$13)&lt;=('2. Getting Started'!B$6-2),'2. Getting Started'!B$6-1,"")</f>
        <v/>
      </c>
      <c r="B4" s="234"/>
      <c r="C4" s="234"/>
      <c r="I4">
        <v>2</v>
      </c>
      <c r="J4" s="9">
        <f>B4</f>
        <v>0</v>
      </c>
      <c r="K4" s="9">
        <f>C4</f>
        <v>0</v>
      </c>
    </row>
    <row r="5" spans="1:11">
      <c r="A5" s="3" t="str">
        <f>IF(MIN('2. Getting Started'!B$10:B$13)&lt;=('2. Getting Started'!B$6-3),'2. Getting Started'!B$6-2,"")</f>
        <v/>
      </c>
      <c r="B5" s="234"/>
      <c r="C5" s="234"/>
      <c r="I5">
        <v>3</v>
      </c>
      <c r="J5" s="9">
        <f>SUM(B$4:B5)</f>
        <v>0</v>
      </c>
      <c r="K5" s="9">
        <f>SUM(C$4:C5)</f>
        <v>0</v>
      </c>
    </row>
    <row r="6" spans="1:11">
      <c r="A6" s="3" t="str">
        <f>IF(MIN('2. Getting Started'!B$10:B$13)&lt;=('2. Getting Started'!B$6-4),'2. Getting Started'!B$6-3,"")</f>
        <v/>
      </c>
      <c r="B6" s="234"/>
      <c r="C6" s="234"/>
      <c r="I6">
        <v>4</v>
      </c>
      <c r="J6" s="9">
        <f>SUM(B$4:B6)</f>
        <v>0</v>
      </c>
      <c r="K6" s="9">
        <f>SUM(C$4:C6)</f>
        <v>0</v>
      </c>
    </row>
    <row r="7" spans="1:11">
      <c r="A7" s="3" t="str">
        <f>IF(MIN('2. Getting Started'!B$10:B$13)&lt;=('2. Getting Started'!B$6-5),'2. Getting Started'!B$6-4,"")</f>
        <v/>
      </c>
      <c r="B7" s="234"/>
      <c r="C7" s="234"/>
      <c r="I7">
        <v>5</v>
      </c>
      <c r="J7" s="9">
        <f>SUM(B$4:B7)</f>
        <v>0</v>
      </c>
      <c r="K7" s="9">
        <f>SUM(C$4:C7)</f>
        <v>0</v>
      </c>
    </row>
    <row r="8" spans="1:11">
      <c r="A8" s="3" t="str">
        <f>IF(MIN('2. Getting Started'!B$10:B$13)&lt;=('2. Getting Started'!B$6-6),'2. Getting Started'!B$6-5,"")</f>
        <v/>
      </c>
      <c r="B8" s="234"/>
      <c r="C8" s="234"/>
      <c r="I8">
        <v>6</v>
      </c>
      <c r="J8" s="9">
        <f>SUM(B$4:B8)</f>
        <v>0</v>
      </c>
      <c r="K8" s="9">
        <f>SUM(C$4:C8)</f>
        <v>0</v>
      </c>
    </row>
    <row r="9" spans="1:11">
      <c r="A9" s="3" t="str">
        <f>IF(MIN('2. Getting Started'!B$10:B$13)&lt;=('2. Getting Started'!B$6-7),'2. Getting Started'!B$6-6,"")</f>
        <v/>
      </c>
      <c r="B9" s="234"/>
      <c r="C9" s="234"/>
      <c r="I9">
        <v>7</v>
      </c>
      <c r="J9" s="9">
        <f>SUM(B$4:B9)</f>
        <v>0</v>
      </c>
      <c r="K9" s="9">
        <f>SUM(C$4:C9)</f>
        <v>0</v>
      </c>
    </row>
    <row r="10" spans="1:11">
      <c r="A10" s="3" t="str">
        <f>IF(MIN('2. Getting Started'!B$10:B$13)&lt;=('2. Getting Started'!B$6-8),'2. Getting Started'!B$6-7,"")</f>
        <v/>
      </c>
      <c r="B10" s="234"/>
      <c r="C10" s="234"/>
      <c r="I10">
        <v>8</v>
      </c>
      <c r="J10" s="9">
        <f>SUM(B$4:B10)</f>
        <v>0</v>
      </c>
      <c r="K10" s="9">
        <f>SUM(C$4:C10)</f>
        <v>0</v>
      </c>
    </row>
    <row r="11" spans="1:11">
      <c r="A11" s="3" t="str">
        <f>IF(MIN('2. Getting Started'!B$10:B$13)&lt;=('2. Getting Started'!B$6-9),'2. Getting Started'!B$6-8,"")</f>
        <v/>
      </c>
      <c r="B11" s="234"/>
      <c r="C11" s="234"/>
      <c r="I11">
        <v>9</v>
      </c>
      <c r="J11" s="9">
        <f>SUM(B$4:B11)</f>
        <v>0</v>
      </c>
      <c r="K11" s="9">
        <f>SUM(C$4:C11)</f>
        <v>0</v>
      </c>
    </row>
    <row r="12" spans="1:11">
      <c r="A12" s="3" t="str">
        <f>IF(MIN('2. Getting Started'!B$10:B$13)&lt;=('2. Getting Started'!B$6-10),'2. Getting Started'!B$6-9,"")</f>
        <v/>
      </c>
      <c r="B12" s="234"/>
      <c r="C12" s="234"/>
      <c r="I12">
        <v>10</v>
      </c>
      <c r="J12" s="9">
        <f>SUM(B$4:B12)</f>
        <v>0</v>
      </c>
      <c r="K12" s="9">
        <f>SUM(C$4:C12)</f>
        <v>0</v>
      </c>
    </row>
    <row r="13" spans="1:11">
      <c r="A13" s="3" t="str">
        <f>IF(MIN('2. Getting Started'!B$10:B$13)&lt;=('2. Getting Started'!B$6-11),'2. Getting Started'!B$6-10,"")</f>
        <v/>
      </c>
      <c r="B13" s="234"/>
      <c r="C13" s="234"/>
      <c r="I13">
        <v>11</v>
      </c>
      <c r="J13" s="9">
        <f>SUM(B$4:B13)</f>
        <v>0</v>
      </c>
      <c r="K13" s="9">
        <f>SUM(C$4:C13)</f>
        <v>0</v>
      </c>
    </row>
    <row r="14" spans="1:11">
      <c r="A14" s="3" t="str">
        <f>IF(MIN('2. Getting Started'!B$10:B$13)&lt;=('2. Getting Started'!B$6-12),'2. Getting Started'!B$6-11,"")</f>
        <v/>
      </c>
      <c r="B14" s="234"/>
      <c r="C14" s="234"/>
      <c r="I14">
        <v>12</v>
      </c>
      <c r="J14" s="9">
        <f>SUM(B$4:B14)</f>
        <v>0</v>
      </c>
      <c r="K14" s="9">
        <f>SUM(C$4:C14)</f>
        <v>0</v>
      </c>
    </row>
    <row r="15" spans="1:11">
      <c r="A15" s="3" t="str">
        <f>IF(MIN('2. Getting Started'!B$10:B$13)&lt;=('2. Getting Started'!B$6-13),'2. Getting Started'!B$6-12,"")</f>
        <v/>
      </c>
      <c r="B15" s="234"/>
      <c r="C15" s="234"/>
      <c r="I15">
        <v>13</v>
      </c>
      <c r="J15" s="9">
        <f>SUM(B$4:B15)</f>
        <v>0</v>
      </c>
      <c r="K15" s="9">
        <f>SUM(C$4:C15)</f>
        <v>0</v>
      </c>
    </row>
    <row r="16" spans="1:11">
      <c r="A16" s="3" t="str">
        <f>IF(MIN('2. Getting Started'!B$10:B$13)&lt;=('2. Getting Started'!B$6-14),'2. Getting Started'!B$6-13,"")</f>
        <v/>
      </c>
      <c r="B16" s="234"/>
      <c r="C16" s="234"/>
      <c r="I16">
        <v>14</v>
      </c>
      <c r="J16" s="9">
        <f>SUM(B$4:B16)</f>
        <v>0</v>
      </c>
      <c r="K16" s="9">
        <f>SUM(C$4:C16)</f>
        <v>0</v>
      </c>
    </row>
    <row r="17" spans="1:11">
      <c r="A17" s="3" t="str">
        <f>IF(MIN('2. Getting Started'!B$10:B$13)&lt;=('2. Getting Started'!B$6-15),'2. Getting Started'!B$6-14,"")</f>
        <v/>
      </c>
      <c r="B17" s="234"/>
      <c r="C17" s="234"/>
      <c r="I17">
        <v>15</v>
      </c>
      <c r="J17" s="9">
        <f>SUM(B$4:B17)</f>
        <v>0</v>
      </c>
      <c r="K17" s="9">
        <f>SUM(C$4:C17)</f>
        <v>0</v>
      </c>
    </row>
    <row r="18" spans="1:11">
      <c r="A18" s="3" t="str">
        <f>IF(MIN('2. Getting Started'!B$10:B$13)&lt;=('2. Getting Started'!B$6-16),'2. Getting Started'!B$6-15,"")</f>
        <v/>
      </c>
      <c r="B18" s="234"/>
      <c r="C18" s="234"/>
      <c r="I18">
        <v>16</v>
      </c>
      <c r="J18" s="9">
        <f>SUM(B$4:B18)</f>
        <v>0</v>
      </c>
      <c r="K18" s="9">
        <f>SUM(C$4:C18)</f>
        <v>0</v>
      </c>
    </row>
    <row r="19" spans="1:11">
      <c r="A19" s="3" t="str">
        <f>IF(MIN('2. Getting Started'!B$10:B$13)&lt;=('2. Getting Started'!B$6-17),'2. Getting Started'!B$6-16,"")</f>
        <v/>
      </c>
      <c r="B19" s="234"/>
      <c r="C19" s="234"/>
      <c r="I19">
        <v>17</v>
      </c>
      <c r="J19" s="9">
        <f>SUM(B$4:B19)</f>
        <v>0</v>
      </c>
      <c r="K19" s="9">
        <f>SUM(C$4:C19)</f>
        <v>0</v>
      </c>
    </row>
    <row r="20" spans="1:11">
      <c r="A20" s="3" t="str">
        <f>IF(MIN('2. Getting Started'!B$10:B$13)&lt;=('2. Getting Started'!B$6-18),'2. Getting Started'!B$6-17,"")</f>
        <v/>
      </c>
      <c r="B20" s="234"/>
      <c r="C20" s="234"/>
      <c r="I20">
        <v>18</v>
      </c>
      <c r="J20" s="9">
        <f>SUM(B$4:B20)</f>
        <v>0</v>
      </c>
      <c r="K20" s="9">
        <f>SUM(C$4:C20)</f>
        <v>0</v>
      </c>
    </row>
    <row r="21" spans="1:11">
      <c r="A21" s="3" t="str">
        <f>IF(MIN('2. Getting Started'!B$10:B$13)&lt;=('2. Getting Started'!B$6-19),'2. Getting Started'!B$6-18,"")</f>
        <v/>
      </c>
      <c r="B21" s="234"/>
      <c r="C21" s="234"/>
      <c r="I21">
        <v>19</v>
      </c>
      <c r="J21" s="9">
        <f>SUM(B$4:B21)</f>
        <v>0</v>
      </c>
      <c r="K21" s="9">
        <f>SUM(C$4:C21)</f>
        <v>0</v>
      </c>
    </row>
    <row r="22" spans="1:11">
      <c r="A22" s="3" t="str">
        <f>IF(MIN('2. Getting Started'!B$10:B$13)&lt;=('2. Getting Started'!B$6-20),'2. Getting Started'!B$6-19,"")</f>
        <v/>
      </c>
      <c r="B22" s="234"/>
      <c r="C22" s="234"/>
      <c r="I22">
        <v>20</v>
      </c>
      <c r="J22" s="9">
        <f>SUM(B$4:B22)</f>
        <v>0</v>
      </c>
      <c r="K22" s="9">
        <f>SUM(C$4:C22)</f>
        <v>0</v>
      </c>
    </row>
    <row r="23" spans="1:11">
      <c r="A23" s="237" t="str">
        <f>IF(MIN('2. Getting Started'!B$10:B$13)&lt;=('2. Getting Started'!B$6-21),'2. Getting Started'!B$6-20,"")</f>
        <v/>
      </c>
      <c r="B23" s="238"/>
      <c r="C23" s="238"/>
      <c r="I23">
        <v>21</v>
      </c>
      <c r="J23" s="9">
        <f>SUM(B$4:B23)</f>
        <v>0</v>
      </c>
      <c r="K23" s="9">
        <f>SUM(C$4:C23)</f>
        <v>0</v>
      </c>
    </row>
    <row r="24" spans="1:11" ht="24.75" customHeight="1">
      <c r="A24" s="341" t="s">
        <v>183</v>
      </c>
      <c r="B24" s="343"/>
      <c r="C24" s="343"/>
      <c r="D24" s="343"/>
    </row>
    <row r="25" spans="1:11" ht="15.5">
      <c r="A25" s="358" t="s">
        <v>182</v>
      </c>
    </row>
    <row r="26" spans="1:11">
      <c r="A26" s="464" t="s">
        <v>24</v>
      </c>
      <c r="B26" s="464"/>
      <c r="C26" s="464"/>
      <c r="D26" s="464"/>
    </row>
  </sheetData>
  <sheetProtection algorithmName="SHA-512" hashValue="pep2608bpdvpYWDANJKV9TIxSTnzv+4ovuHrEIyf1HV9Wr6iyz4xmFjawBo5tixFcFHcVJJo5N6N+s0R0eTS6A==" saltValue="yvhKz7982A/851k+FTZmzw==" spinCount="100000" sheet="1" objects="1" scenarios="1" formatColumns="0" formatRows="0"/>
  <mergeCells count="1">
    <mergeCell ref="A26:D26"/>
  </mergeCells>
  <phoneticPr fontId="30" type="noConversion"/>
  <hyperlinks>
    <hyperlink ref="A25" r:id="rId1" xr:uid="{00000000-0004-0000-0300-000000000000}"/>
  </hyperlinks>
  <pageMargins left="0.7" right="0.7" top="0.75" bottom="0.75" header="0.3" footer="0.3"/>
  <pageSetup orientation="portrait" verticalDpi="300"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A5"/>
  <sheetViews>
    <sheetView workbookViewId="0">
      <selection activeCell="A9" sqref="A9"/>
    </sheetView>
  </sheetViews>
  <sheetFormatPr defaultRowHeight="14.5"/>
  <cols>
    <col min="1" max="1" width="46.26953125" bestFit="1" customWidth="1"/>
  </cols>
  <sheetData>
    <row r="1" spans="1:1" ht="15.5">
      <c r="A1" s="199" t="s">
        <v>164</v>
      </c>
    </row>
    <row r="2" spans="1:1">
      <c r="A2" t="s">
        <v>165</v>
      </c>
    </row>
    <row r="3" spans="1:1">
      <c r="A3" t="s">
        <v>166</v>
      </c>
    </row>
    <row r="4" spans="1:1">
      <c r="A4" t="s">
        <v>167</v>
      </c>
    </row>
    <row r="5" spans="1:1">
      <c r="A5" t="s">
        <v>168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7030A0"/>
  </sheetPr>
  <dimension ref="A1:D16"/>
  <sheetViews>
    <sheetView showGridLines="0" topLeftCell="A7" workbookViewId="0">
      <selection activeCell="A15" sqref="A15"/>
    </sheetView>
  </sheetViews>
  <sheetFormatPr defaultColWidth="0" defaultRowHeight="14.5" zeroHeight="1"/>
  <cols>
    <col min="1" max="1" width="27.26953125" customWidth="1"/>
    <col min="2" max="2" width="23" customWidth="1"/>
    <col min="3" max="3" width="0.81640625" customWidth="1"/>
    <col min="4" max="4" width="0" hidden="1" customWidth="1"/>
    <col min="5" max="16384" width="9.1796875" hidden="1"/>
  </cols>
  <sheetData>
    <row r="1" spans="1:4" ht="43.5">
      <c r="A1" s="8" t="s">
        <v>173</v>
      </c>
      <c r="B1" s="335"/>
    </row>
    <row r="2" spans="1:4" ht="65.25" customHeight="1">
      <c r="A2" s="218" t="s">
        <v>23</v>
      </c>
      <c r="B2" s="334" t="s">
        <v>138</v>
      </c>
    </row>
    <row r="3" spans="1:4">
      <c r="A3" s="224" t="str">
        <f>CONCATENATE("Year 1: ",'2. Getting Started'!B6)</f>
        <v>Year 1: 2021</v>
      </c>
      <c r="B3" s="263" t="s">
        <v>1132</v>
      </c>
    </row>
    <row r="4" spans="1:4">
      <c r="A4" s="224" t="str">
        <f>CONCATENATE("Year 2: ",'2. Getting Started'!$B$6+1)</f>
        <v>Year 2: 2022</v>
      </c>
      <c r="B4" s="263" t="s">
        <v>1132</v>
      </c>
      <c r="D4" s="1"/>
    </row>
    <row r="5" spans="1:4">
      <c r="A5" s="224" t="str">
        <f>CONCATENATE("Year 3: ",'2. Getting Started'!$B$6+2)</f>
        <v>Year 3: 2023</v>
      </c>
      <c r="B5" s="263" t="s">
        <v>1132</v>
      </c>
    </row>
    <row r="6" spans="1:4">
      <c r="A6" s="224" t="str">
        <f>CONCATENATE("Year 4: ",'2. Getting Started'!$B$6+3)</f>
        <v>Year 4: 2024</v>
      </c>
      <c r="B6" s="263" t="s">
        <v>1132</v>
      </c>
    </row>
    <row r="7" spans="1:4">
      <c r="A7" s="224" t="str">
        <f>CONCATENATE("Year 5: ",'2. Getting Started'!$B$6+4)</f>
        <v>Year 5: 2025</v>
      </c>
      <c r="B7" s="263" t="s">
        <v>1132</v>
      </c>
    </row>
    <row r="8" spans="1:4">
      <c r="A8" s="224" t="str">
        <f>CONCATENATE("Year 6: ",'2. Getting Started'!$B$6+5)</f>
        <v>Year 6: 2026</v>
      </c>
      <c r="B8" s="263" t="s">
        <v>1132</v>
      </c>
    </row>
    <row r="9" spans="1:4">
      <c r="A9" s="224" t="str">
        <f>CONCATENATE("Year 7: ",'2. Getting Started'!$B$6+6)</f>
        <v>Year 7: 2027</v>
      </c>
      <c r="B9" s="263" t="s">
        <v>1132</v>
      </c>
    </row>
    <row r="10" spans="1:4">
      <c r="A10" s="224" t="str">
        <f>CONCATENATE("Year 8: ",'2. Getting Started'!$B$6+7)</f>
        <v>Year 8: 2028</v>
      </c>
      <c r="B10" s="263" t="s">
        <v>1132</v>
      </c>
    </row>
    <row r="11" spans="1:4">
      <c r="A11" s="224" t="str">
        <f>CONCATENATE("Year 9: ",'2. Getting Started'!$B$6+8)</f>
        <v>Year 9: 2029</v>
      </c>
      <c r="B11" s="263" t="s">
        <v>1132</v>
      </c>
    </row>
    <row r="12" spans="1:4">
      <c r="A12" s="224" t="str">
        <f>CONCATENATE("Year 10: ",'2. Getting Started'!$B$6+9)</f>
        <v>Year 10: 2030</v>
      </c>
      <c r="B12" s="263" t="s">
        <v>1132</v>
      </c>
    </row>
    <row r="13" spans="1:4">
      <c r="A13" s="275" t="str">
        <f>CONCATENATE("Year 11: ",'2. Getting Started'!$B$6+10)</f>
        <v>Year 11: 2031</v>
      </c>
      <c r="B13" s="264" t="s">
        <v>1132</v>
      </c>
    </row>
    <row r="14" spans="1:4" ht="37.5" customHeight="1">
      <c r="A14" s="465" t="s">
        <v>183</v>
      </c>
      <c r="B14" s="465"/>
    </row>
    <row r="15" spans="1:4" ht="15.5">
      <c r="A15" s="358" t="s">
        <v>182</v>
      </c>
    </row>
    <row r="16" spans="1:4">
      <c r="A16" s="464" t="s">
        <v>24</v>
      </c>
      <c r="B16" s="464"/>
    </row>
  </sheetData>
  <sheetProtection algorithmName="SHA-512" hashValue="rT4ey0Err78a73A0zRkihaj7oSaClQIrB7PyIaGjIeAR6OEmuQtkKscb52msyEDEAF0kJRFIHtUUQYAsCTgFtw==" saltValue="kl212+gWzqm4DGjIdijElg==" spinCount="100000" sheet="1" objects="1" scenarios="1"/>
  <mergeCells count="2">
    <mergeCell ref="A14:B14"/>
    <mergeCell ref="A16:B16"/>
  </mergeCells>
  <dataValidations count="1">
    <dataValidation type="list" allowBlank="1" showInputMessage="1" showErrorMessage="1" sqref="B3:B13" xr:uid="{00000000-0002-0000-0400-000000000000}">
      <formula1>"Yes,No"</formula1>
    </dataValidation>
  </dataValidations>
  <hyperlinks>
    <hyperlink ref="A15" r:id="rId1" xr:uid="{00000000-0004-0000-0400-000000000000}"/>
  </hyperlinks>
  <pageMargins left="0.7" right="0.7" top="0.75" bottom="0.75" header="0.3" footer="0.3"/>
  <pageSetup orientation="portrait" verticalDpi="300"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7030A0"/>
    <pageSetUpPr autoPageBreaks="0"/>
  </sheetPr>
  <dimension ref="A1:AD16"/>
  <sheetViews>
    <sheetView showGridLines="0" zoomScale="90" zoomScaleNormal="90" workbookViewId="0">
      <selection activeCell="G5" sqref="G5"/>
    </sheetView>
  </sheetViews>
  <sheetFormatPr defaultColWidth="0" defaultRowHeight="15.5" zeroHeight="1"/>
  <cols>
    <col min="1" max="2" width="13.7265625" style="10" customWidth="1"/>
    <col min="3" max="4" width="18" style="10" customWidth="1"/>
    <col min="5" max="6" width="18" style="15" customWidth="1"/>
    <col min="7" max="12" width="18" style="10" customWidth="1"/>
    <col min="13" max="13" width="0.81640625" style="10" customWidth="1"/>
    <col min="14" max="16" width="12.54296875" style="10" hidden="1" customWidth="1"/>
    <col min="17" max="17" width="19.1796875" style="10" hidden="1" customWidth="1"/>
    <col min="18" max="22" width="12.54296875" style="10" hidden="1" customWidth="1"/>
    <col min="23" max="23" width="19.1796875" style="10" hidden="1" customWidth="1"/>
    <col min="24" max="27" width="12.54296875" style="10" hidden="1" customWidth="1"/>
    <col min="28" max="30" width="19.1796875" style="10" hidden="1" customWidth="1"/>
    <col min="31" max="60" width="12.54296875" style="10" hidden="1" customWidth="1"/>
    <col min="61" max="16384" width="12.54296875" style="10" hidden="1"/>
  </cols>
  <sheetData>
    <row r="1" spans="1:16" ht="19" thickBot="1">
      <c r="A1" s="294" t="s">
        <v>14</v>
      </c>
      <c r="B1" s="294"/>
      <c r="C1" s="295" t="str">
        <f>IF('2. Getting Started'!B2="","",'2. Getting Started'!B2)</f>
        <v/>
      </c>
      <c r="D1" s="295"/>
      <c r="E1" s="178"/>
      <c r="F1" s="294" t="s">
        <v>149</v>
      </c>
      <c r="G1" s="296"/>
      <c r="H1" s="296"/>
      <c r="I1" s="296"/>
      <c r="J1" s="296"/>
      <c r="K1" s="296"/>
      <c r="L1" s="296"/>
      <c r="M1" s="344"/>
      <c r="N1" s="344"/>
      <c r="O1" s="344"/>
      <c r="P1" s="344"/>
    </row>
    <row r="2" spans="1:16" s="11" customFormat="1" ht="93.5" thickTop="1" thickBot="1">
      <c r="A2" s="289" t="s">
        <v>25</v>
      </c>
      <c r="B2" s="310" t="s">
        <v>23</v>
      </c>
      <c r="C2" s="318" t="s">
        <v>145</v>
      </c>
      <c r="D2" s="293" t="s">
        <v>49</v>
      </c>
      <c r="E2" s="290" t="s">
        <v>0</v>
      </c>
      <c r="F2" s="291" t="s">
        <v>36</v>
      </c>
      <c r="G2" s="292" t="s">
        <v>37</v>
      </c>
      <c r="H2" s="293" t="s">
        <v>38</v>
      </c>
      <c r="I2" s="292" t="s">
        <v>39</v>
      </c>
      <c r="J2" s="293" t="s">
        <v>40</v>
      </c>
      <c r="K2" s="292" t="s">
        <v>41</v>
      </c>
      <c r="L2" s="293" t="s">
        <v>42</v>
      </c>
      <c r="M2" s="344"/>
      <c r="N2" s="344"/>
      <c r="O2" s="344"/>
      <c r="P2" s="344"/>
    </row>
    <row r="3" spans="1:16" s="11" customFormat="1" ht="47.15" customHeight="1" thickTop="1">
      <c r="A3" s="306" t="str">
        <f>CONCATENATE("Last Year Met Compliance Standard Prior to ",'2. Getting Started'!B6)</f>
        <v>Last Year Met Compliance Standard Prior to 2021</v>
      </c>
      <c r="B3" s="311"/>
      <c r="C3" s="317"/>
      <c r="D3" s="307"/>
      <c r="E3" s="308">
        <f>IF('2. Getting Started'!C10="","",'2. Getting Started'!C10)</f>
        <v>0</v>
      </c>
      <c r="F3" s="309" t="str">
        <f>IF('2. Getting Started'!B10="","",CONCATENATE('2. Getting Started'!B10,": Met"))</f>
        <v>2020: Met</v>
      </c>
      <c r="G3" s="308">
        <f>IF('2. Getting Started'!C11="","",'2. Getting Started'!C11)</f>
        <v>0</v>
      </c>
      <c r="H3" s="309" t="str">
        <f>IF('2. Getting Started'!B11="","",CONCATENATE('2. Getting Started'!B11,": Met"))</f>
        <v>2020: Met</v>
      </c>
      <c r="I3" s="308" t="e">
        <f>IF('2. Getting Started'!C12="","",'2. Getting Started'!C12)</f>
        <v>#DIV/0!</v>
      </c>
      <c r="J3" s="309" t="str">
        <f>IF('2. Getting Started'!B12="","",CONCATENATE('2. Getting Started'!B12,": Met"))</f>
        <v>2020: Met</v>
      </c>
      <c r="K3" s="308" t="e">
        <f>IF('2. Getting Started'!C13="","",'2. Getting Started'!C13)</f>
        <v>#DIV/0!</v>
      </c>
      <c r="L3" s="309" t="str">
        <f>IF('2. Getting Started'!B13="","",CONCATENATE('2. Getting Started'!B13,": Met"))</f>
        <v>2020: Met</v>
      </c>
      <c r="M3" s="344"/>
      <c r="N3" s="344"/>
      <c r="O3" s="344"/>
      <c r="P3" s="344"/>
    </row>
    <row r="4" spans="1:16" ht="46.9" customHeight="1">
      <c r="A4" s="314" t="s">
        <v>26</v>
      </c>
      <c r="B4" s="312">
        <f>'2. Getting Started'!B$6</f>
        <v>2021</v>
      </c>
      <c r="C4" s="319" t="s">
        <v>146</v>
      </c>
      <c r="D4" s="333">
        <f>IF('5. Year 1 Amounts'!I1="","",'5. Year 1 Amounts'!I1)</f>
        <v>0</v>
      </c>
      <c r="E4" s="305">
        <f>'5. Year 1 Amounts'!K$30</f>
        <v>0</v>
      </c>
      <c r="F4" s="297" t="str">
        <f>'7. Year 1 Summary'!B$17</f>
        <v>Met</v>
      </c>
      <c r="G4" s="305">
        <f>'5. Year 1 Amounts'!M$30</f>
        <v>0</v>
      </c>
      <c r="H4" s="297" t="str">
        <f>'7. Year 1 Summary'!C$17</f>
        <v>Met</v>
      </c>
      <c r="I4" s="305" t="e">
        <f>'5. Year 1 Amounts'!K$31</f>
        <v>#DIV/0!</v>
      </c>
      <c r="J4" s="297" t="e">
        <f>'7. Year 1 Summary'!D$17</f>
        <v>#DIV/0!</v>
      </c>
      <c r="K4" s="305" t="e">
        <f>'5. Year 1 Amounts'!M$31</f>
        <v>#DIV/0!</v>
      </c>
      <c r="L4" s="297" t="e">
        <f>'7. Year 1 Summary'!E$17</f>
        <v>#DIV/0!</v>
      </c>
      <c r="M4" s="344"/>
      <c r="N4" s="344"/>
      <c r="O4" s="344"/>
      <c r="P4" s="344"/>
    </row>
    <row r="5" spans="1:16" ht="46.9" customHeight="1">
      <c r="A5" s="315" t="s">
        <v>27</v>
      </c>
      <c r="B5" s="313">
        <f>'2. Getting Started'!B$6+1</f>
        <v>2022</v>
      </c>
      <c r="C5" s="320" t="s">
        <v>146</v>
      </c>
      <c r="D5" s="333" t="e">
        <f>IF(AND($C5="Compliance Standard (Expenditures)",'8. Year 2 Amounts'!$I$1&lt;&gt;""),'8. Year 2 Amounts'!$I$1,IF(AND($C5="Eligibility Standard (Budget)",'8. Year 2 Amounts'!$B$1&lt;&gt;""),'8. Year 2 Amounts'!$B$1,""))</f>
        <v>#N/A</v>
      </c>
      <c r="E5" s="298">
        <f>IF($C5="Compliance Standard (Expenditures)",'8. Year 2 Amounts'!$K$30,IF($C5="Eligibility Standard (Budget)",'8. Year 2 Amounts'!$D$30,""))</f>
        <v>0</v>
      </c>
      <c r="F5" s="297" t="str">
        <f>IF($C5="Compliance Standard (Expenditures)",'10. Year 2 Summary'!B$17,IF($C5="Eligibility Standard (Budget)",'10. Year 2 Summary'!B$9,""))</f>
        <v>Met</v>
      </c>
      <c r="G5" s="298">
        <f>IF(C5="Compliance Standard (Expenditures)",'8. Year 2 Amounts'!M$30,IF(C5="Eligibility Standard (Budget)",'8. Year 2 Amounts'!F$30,""))</f>
        <v>0</v>
      </c>
      <c r="H5" s="297" t="str">
        <f>IF($C5="Compliance Standard (Expenditures)",'10. Year 2 Summary'!C$17,IF($C5="Eligibility Standard (Budget)",'10. Year 2 Summary'!C$9,""))</f>
        <v>Met</v>
      </c>
      <c r="I5" s="298" t="e">
        <f>IF($C5="Compliance Standard (Expenditures)",'8. Year 2 Amounts'!$K$31,IF($C5="Eligibility Standard (Budget)",'8. Year 2 Amounts'!$D$31,""))</f>
        <v>#N/A</v>
      </c>
      <c r="J5" s="297" t="e">
        <f>IF($C5="Compliance Standard (Expenditures)",'10. Year 2 Summary'!D$17,IF($C5="Eligibility Standard (Budget)",'10. Year 2 Summary'!D$9,""))</f>
        <v>#N/A</v>
      </c>
      <c r="K5" s="298" t="e">
        <f>IF($C5="Compliance Standard (Expenditures)",'8. Year 2 Amounts'!$M$31,IF($C5="Eligibility Standard (Budget)",'8. Year 2 Amounts'!$F$31,""))</f>
        <v>#N/A</v>
      </c>
      <c r="L5" s="297" t="e">
        <f>IF($C5="Compliance Standard (Expenditures)",'10. Year 2 Summary'!E$17,IF($C5="Eligibility Standard (Budget)",'10. Year 2 Summary'!E$9,""))</f>
        <v>#N/A</v>
      </c>
      <c r="M5" s="344"/>
      <c r="N5" s="344"/>
      <c r="O5" s="344"/>
      <c r="P5" s="344"/>
    </row>
    <row r="6" spans="1:16" ht="46.9" customHeight="1">
      <c r="A6" s="315" t="s">
        <v>28</v>
      </c>
      <c r="B6" s="313">
        <f>'2. Getting Started'!B$6+2</f>
        <v>2023</v>
      </c>
      <c r="C6" s="320" t="s">
        <v>146</v>
      </c>
      <c r="D6" s="333">
        <f>IF(AND($C6="Compliance Standard (Expenditures)",'11. Year 3 Amounts'!$I$1&lt;&gt;""),'11. Year 3 Amounts'!$I$1,IF(AND($C6="Eligibility Standard (Budget)",'11. Year 3 Amounts'!$B$1&lt;&gt;""),'11. Year 3 Amounts'!$B$1,""))</f>
        <v>0</v>
      </c>
      <c r="E6" s="298" t="str">
        <f>IF($C6="Compliance Standard (Expenditures)",'11. Year 3 Amounts'!$K$30,IF($C6="Eligibility Standard (Budget)",'11. Year 3 Amounts'!$D$30,""))</f>
        <v/>
      </c>
      <c r="F6" s="297" t="str">
        <f>IF($C6="Compliance Standard (Expenditures)",'13. Year 3 Summary'!B$17,IF($C6="Eligibility Standard (Budget)",'13. Year 3 Summary'!B$9,""))</f>
        <v/>
      </c>
      <c r="G6" s="298" t="str">
        <f>IF(C6="Compliance Standard (Expenditures)",'11. Year 3 Amounts'!M$30,IF(C6="Eligibility Standard (Budget)",'11. Year 3 Amounts'!F$30,""))</f>
        <v/>
      </c>
      <c r="H6" s="297" t="str">
        <f>IF($C6="Compliance Standard (Expenditures)",'13. Year 3 Summary'!C$17,IF($C6="Eligibility Standard (Budget)",'13. Year 3 Summary'!C$9,""))</f>
        <v/>
      </c>
      <c r="I6" s="298" t="str">
        <f>IF($C6="Compliance Standard (Expenditures)",'11. Year 3 Amounts'!$K$31,IF($C6="Eligibility Standard (Budget)",'11. Year 3 Amounts'!$D$31,""))</f>
        <v/>
      </c>
      <c r="J6" s="297" t="str">
        <f>IF($C6="Compliance Standard (Expenditures)",'13. Year 3 Summary'!D$17,IF($C6="Eligibility Standard (Budget)",'13. Year 3 Summary'!D$9,""))</f>
        <v/>
      </c>
      <c r="K6" s="298" t="str">
        <f>IF($C6="Compliance Standard (Expenditures)",'11. Year 3 Amounts'!$M$31,IF($C6="Eligibility Standard (Budget)",'11. Year 3 Amounts'!$F$31,""))</f>
        <v/>
      </c>
      <c r="L6" s="297" t="str">
        <f>IF($C6="Compliance Standard (Expenditures)",'13. Year 3 Summary'!E$17,IF($C6="Eligibility Standard (Budget)",'13. Year 3 Summary'!E$9,""))</f>
        <v/>
      </c>
      <c r="M6" s="344"/>
      <c r="N6" s="344"/>
      <c r="O6" s="344"/>
      <c r="P6" s="344"/>
    </row>
    <row r="7" spans="1:16" ht="46.9" customHeight="1">
      <c r="A7" s="315" t="s">
        <v>29</v>
      </c>
      <c r="B7" s="313">
        <f>'2. Getting Started'!B$6+3</f>
        <v>2024</v>
      </c>
      <c r="C7" s="320" t="s">
        <v>147</v>
      </c>
      <c r="D7" s="333" t="str">
        <f>IF(AND($C7="Compliance Standard (Expenditures)",'14. Year 4 Amounts'!$I$1&lt;&gt;""),'14. Year 4 Amounts'!$I$1,IF(AND($C7="Eligibility Standard (Budget)",'14. Year 4 Amounts'!$B$1&lt;&gt;""),'14. Year 4 Amounts'!$B$1,""))</f>
        <v/>
      </c>
      <c r="E7" s="298" t="str">
        <f>IF($C7="Compliance Standard (Expenditures)",'14. Year 4 Amounts'!$K$30,IF($C7="Eligibility Standard (Budget)",'14. Year 4 Amounts'!$D$30,""))</f>
        <v/>
      </c>
      <c r="F7" s="297" t="str">
        <f>IF($C7="Compliance Standard (Expenditures)",'16. Year 4 Summary'!B$17,IF($C7="Eligibility Standard (Budget)",'16. Year 4 Summary'!B$9,""))</f>
        <v/>
      </c>
      <c r="G7" s="298" t="str">
        <f>IF(C7="Compliance Standard (Expenditures)",'14. Year 4 Amounts'!M$30,IF(C7="Eligibility Standard (Budget)",'14. Year 4 Amounts'!F$30,""))</f>
        <v/>
      </c>
      <c r="H7" s="297" t="str">
        <f>IF($C7="Compliance Standard (Expenditures)",'16. Year 4 Summary'!C$17,IF($C7="Eligibility Standard (Budget)",'16. Year 4 Summary'!C$9,""))</f>
        <v/>
      </c>
      <c r="I7" s="298" t="str">
        <f>IF($C7="Compliance Standard (Expenditures)",'14. Year 4 Amounts'!$K$31,IF($C7="Eligibility Standard (Budget)",'14. Year 4 Amounts'!$D$31,""))</f>
        <v/>
      </c>
      <c r="J7" s="297" t="str">
        <f>IF($C7="Compliance Standard (Expenditures)",'16. Year 4 Summary'!D$17,IF($C7="Eligibility Standard (Budget)",'16. Year 4 Summary'!D$9,""))</f>
        <v/>
      </c>
      <c r="K7" s="298" t="str">
        <f>IF($C7="Compliance Standard (Expenditures)",'14. Year 4 Amounts'!$M$31,IF($C7="Eligibility Standard (Budget)",'14. Year 4 Amounts'!$F$31,""))</f>
        <v/>
      </c>
      <c r="L7" s="297" t="str">
        <f>IF($C7="Compliance Standard (Expenditures)",'16. Year 4 Summary'!E$17,IF($C7="Eligibility Standard (Budget)",'16. Year 4 Summary'!E$9,""))</f>
        <v/>
      </c>
      <c r="M7" s="344"/>
      <c r="N7" s="344"/>
      <c r="O7" s="344"/>
      <c r="P7" s="344"/>
    </row>
    <row r="8" spans="1:16" ht="46.9" customHeight="1">
      <c r="A8" s="315" t="s">
        <v>30</v>
      </c>
      <c r="B8" s="313">
        <f>'2. Getting Started'!B$6+4</f>
        <v>2025</v>
      </c>
      <c r="C8" s="320" t="s">
        <v>147</v>
      </c>
      <c r="D8" s="333" t="str">
        <f>IF(AND($C8="Compliance Standard (Expenditures)",'17. Year 5 Amounts'!$I$1&lt;&gt;""),'17. Year 5 Amounts'!$I$1,IF(AND($C8="Eligibility Standard (Budget)",'17. Year 5 Amounts'!$B$1&lt;&gt;""),'17. Year 5 Amounts'!$B$1,""))</f>
        <v/>
      </c>
      <c r="E8" s="298" t="str">
        <f>IF($C8="Compliance Standard (Expenditures)",'17. Year 5 Amounts'!$K$30,IF($C8="Eligibility Standard (Budget)",'17. Year 5 Amounts'!$D$30,""))</f>
        <v/>
      </c>
      <c r="F8" s="297" t="str">
        <f>IF($C8="Compliance Standard (Expenditures)",'19. Year 5 Summary'!B$17,IF($C8="Eligibility Standard (Budget)",'19. Year 5 Summary'!B$9,""))</f>
        <v/>
      </c>
      <c r="G8" s="298" t="str">
        <f>IF(C8="Compliance Standard (Expenditures)",'17. Year 5 Amounts'!M$30,IF(C8="Eligibility Standard (Budget)",'17. Year 5 Amounts'!F$30,""))</f>
        <v/>
      </c>
      <c r="H8" s="297" t="str">
        <f>IF($C8="Compliance Standard (Expenditures)",'19. Year 5 Summary'!C$17,IF($C8="Eligibility Standard (Budget)",'19. Year 5 Summary'!C$9,""))</f>
        <v/>
      </c>
      <c r="I8" s="298" t="str">
        <f>IF($C8="Compliance Standard (Expenditures)",'17. Year 5 Amounts'!$K$31,IF($C8="Eligibility Standard (Budget)",'17. Year 5 Amounts'!$D$31,""))</f>
        <v/>
      </c>
      <c r="J8" s="297" t="str">
        <f>IF($C8="Compliance Standard (Expenditures)",'19. Year 5 Summary'!D$17,IF($C8="Eligibility Standard (Budget)",'19. Year 5 Summary'!D$9,""))</f>
        <v/>
      </c>
      <c r="K8" s="298" t="str">
        <f>IF($C8="Compliance Standard (Expenditures)",'17. Year 5 Amounts'!$M$31,IF($C8="Eligibility Standard (Budget)",'17. Year 5 Amounts'!$F$31,""))</f>
        <v/>
      </c>
      <c r="L8" s="297" t="str">
        <f>IF($C8="Compliance Standard (Expenditures)",'19. Year 5 Summary'!E$17,IF($C8="Eligibility Standard (Budget)",'19. Year 5 Summary'!E$9,""))</f>
        <v/>
      </c>
      <c r="M8" s="344"/>
      <c r="N8" s="344"/>
      <c r="O8" s="344"/>
      <c r="P8" s="344"/>
    </row>
    <row r="9" spans="1:16" ht="46.9" customHeight="1">
      <c r="A9" s="315" t="s">
        <v>31</v>
      </c>
      <c r="B9" s="313">
        <f>'2. Getting Started'!B$6+5</f>
        <v>2026</v>
      </c>
      <c r="C9" s="320" t="s">
        <v>147</v>
      </c>
      <c r="D9" s="333" t="str">
        <f>IF(AND($C9="Compliance Standard (Expenditures)",'20. Year 6 Amounts'!$I$1&lt;&gt;""),'20. Year 6 Amounts'!$I$1,IF(AND($C9="Eligibility Standard (Budget)",'20. Year 6 Amounts'!$B$1&lt;&gt;""),'20. Year 6 Amounts'!$B$1,""))</f>
        <v/>
      </c>
      <c r="E9" s="298" t="str">
        <f>IF($C9="Compliance Standard (Expenditures)",'20. Year 6 Amounts'!$K$30,IF($C9="Eligibility Standard (Budget)",'20. Year 6 Amounts'!$D$30,""))</f>
        <v/>
      </c>
      <c r="F9" s="297" t="str">
        <f>IF($C9="Compliance Standard (Expenditures)",'22. Year 6 Summary'!B$17,IF($C9="Eligibility Standard (Budget)",'22. Year 6 Summary'!B$9,""))</f>
        <v/>
      </c>
      <c r="G9" s="298" t="str">
        <f>IF(C9="Compliance Standard (Expenditures)",'20. Year 6 Amounts'!M$30,IF(C9="Eligibility Standard (Budget)",'20. Year 6 Amounts'!F$30,""))</f>
        <v/>
      </c>
      <c r="H9" s="297" t="str">
        <f>IF($C9="Compliance Standard (Expenditures)",'22. Year 6 Summary'!C$17,IF($C9="Eligibility Standard (Budget)",'22. Year 6 Summary'!C$9,""))</f>
        <v/>
      </c>
      <c r="I9" s="298" t="str">
        <f>IF($C9="Compliance Standard (Expenditures)",'20. Year 6 Amounts'!$K$31,IF($C9="Eligibility Standard (Budget)",'20. Year 6 Amounts'!$D$31,""))</f>
        <v/>
      </c>
      <c r="J9" s="297" t="str">
        <f>IF($C9="Compliance Standard (Expenditures)",'22. Year 6 Summary'!D$17,IF($C9="Eligibility Standard (Budget)",'22. Year 6 Summary'!D$9,""))</f>
        <v/>
      </c>
      <c r="K9" s="298" t="str">
        <f>IF($C9="Compliance Standard (Expenditures)",'20. Year 6 Amounts'!$M$31,IF($C9="Eligibility Standard (Budget)",'20. Year 6 Amounts'!$F$31,""))</f>
        <v/>
      </c>
      <c r="L9" s="297" t="str">
        <f>IF($C9="Compliance Standard (Expenditures)",'22. Year 6 Summary'!E$17,IF($C9="Eligibility Standard (Budget)",'22. Year 6 Summary'!E$9,""))</f>
        <v/>
      </c>
      <c r="M9" s="344"/>
      <c r="N9" s="344"/>
      <c r="O9" s="344"/>
      <c r="P9" s="344"/>
    </row>
    <row r="10" spans="1:16" ht="46.9" customHeight="1">
      <c r="A10" s="315" t="s">
        <v>32</v>
      </c>
      <c r="B10" s="313">
        <f>'2. Getting Started'!B$6+6</f>
        <v>2027</v>
      </c>
      <c r="C10" s="320" t="s">
        <v>147</v>
      </c>
      <c r="D10" s="333" t="str">
        <f>IF(AND($C10="Compliance Standard (Expenditures)",'23. Year 7 Amounts'!$I$1&lt;&gt;""),'23. Year 7 Amounts'!$I$1,IF(AND($C10="Eligibility Standard (Budget)",'23. Year 7 Amounts'!$B$1&lt;&gt;""),'23. Year 7 Amounts'!$B$1,""))</f>
        <v/>
      </c>
      <c r="E10" s="298" t="str">
        <f>IF($C10="Compliance Standard (Expenditures)",'23. Year 7 Amounts'!$K$30,IF($C10="Eligibility Standard (Budget)",'23. Year 7 Amounts'!$D$30,""))</f>
        <v/>
      </c>
      <c r="F10" s="297" t="str">
        <f>IF($C10="Compliance Standard (Expenditures)",'25. Year 7 Summary'!B$17,IF($C10="Eligibility Standard (Budget)",'25. Year 7 Summary'!B$9,""))</f>
        <v/>
      </c>
      <c r="G10" s="298" t="str">
        <f>IF(C10="Compliance Standard (Expenditures)",'23. Year 7 Amounts'!M$30,IF(C10="Eligibility Standard (Budget)",'23. Year 7 Amounts'!F$30,""))</f>
        <v/>
      </c>
      <c r="H10" s="297" t="str">
        <f>IF($C10="Compliance Standard (Expenditures)",'25. Year 7 Summary'!C$17,IF($C10="Eligibility Standard (Budget)",'25. Year 7 Summary'!C$9,""))</f>
        <v/>
      </c>
      <c r="I10" s="298" t="str">
        <f>IF($C10="Compliance Standard (Expenditures)",'23. Year 7 Amounts'!$K$31,IF($C10="Eligibility Standard (Budget)",'23. Year 7 Amounts'!$D$31,""))</f>
        <v/>
      </c>
      <c r="J10" s="297" t="str">
        <f>IF($C10="Compliance Standard (Expenditures)",'25. Year 7 Summary'!D$17,IF($C10="Eligibility Standard (Budget)",'25. Year 7 Summary'!D$9,""))</f>
        <v/>
      </c>
      <c r="K10" s="298" t="str">
        <f>IF($C10="Compliance Standard (Expenditures)",'23. Year 7 Amounts'!$M$31,IF($C10="Eligibility Standard (Budget)",'23. Year 7 Amounts'!$F$31,""))</f>
        <v/>
      </c>
      <c r="L10" s="297" t="str">
        <f>IF($C10="Compliance Standard (Expenditures)",'25. Year 7 Summary'!E$17,IF($C10="Eligibility Standard (Budget)",'25. Year 7 Summary'!E$9,""))</f>
        <v/>
      </c>
      <c r="M10" s="344"/>
      <c r="N10" s="344"/>
      <c r="O10" s="344"/>
      <c r="P10" s="344"/>
    </row>
    <row r="11" spans="1:16" ht="46.9" customHeight="1">
      <c r="A11" s="315" t="s">
        <v>33</v>
      </c>
      <c r="B11" s="313">
        <f>'2. Getting Started'!B$6+7</f>
        <v>2028</v>
      </c>
      <c r="C11" s="320" t="s">
        <v>146</v>
      </c>
      <c r="D11" s="333" t="str">
        <f>IF(AND($C11="Compliance Standard (Expenditures)",'26. Year 8 Amounts'!$I$1&lt;&gt;""),'26. Year 8 Amounts'!$I$1,IF(AND($C11="Eligibility Standard (Budget)",'26. Year 8 Amounts'!$B$1&lt;&gt;""),'26. Year 8 Amounts'!$B$1,""))</f>
        <v/>
      </c>
      <c r="E11" s="298" t="str">
        <f>IF($C11="Compliance Standard (Expenditures)",'26. Year 8 Amounts'!$K$30,IF($C11="Eligibility Standard (Budget)",'26. Year 8 Amounts'!$D$30,""))</f>
        <v/>
      </c>
      <c r="F11" s="297" t="str">
        <f>IF($C11="Compliance Standard (Expenditures)",'28. Year 8 Summary'!B$17,IF($C11="Eligibility Standard (Budget)",'28. Year 8 Summary'!B$9,""))</f>
        <v/>
      </c>
      <c r="G11" s="298" t="str">
        <f>IF(C11="Compliance Standard (Expenditures)",'26. Year 8 Amounts'!M$30,IF(C11="Eligibility Standard (Budget)",'26. Year 8 Amounts'!F$30,""))</f>
        <v/>
      </c>
      <c r="H11" s="297" t="str">
        <f>IF($C11="Compliance Standard (Expenditures)",'28. Year 8 Summary'!C$17,IF($C11="Eligibility Standard (Budget)",'28. Year 8 Summary'!C$9,""))</f>
        <v/>
      </c>
      <c r="I11" s="298" t="str">
        <f>IF($C11="Compliance Standard (Expenditures)",'26. Year 8 Amounts'!$K$31,IF($C11="Eligibility Standard (Budget)",'26. Year 8 Amounts'!$D$31,""))</f>
        <v/>
      </c>
      <c r="J11" s="297" t="str">
        <f>IF($C11="Compliance Standard (Expenditures)",'28. Year 8 Summary'!D$17,IF($C11="Eligibility Standard (Budget)",'28. Year 8 Summary'!D$9,""))</f>
        <v/>
      </c>
      <c r="K11" s="298" t="str">
        <f>IF($C11="Compliance Standard (Expenditures)",'26. Year 8 Amounts'!$M$31,IF($C11="Eligibility Standard (Budget)",'26. Year 8 Amounts'!$F$31,""))</f>
        <v/>
      </c>
      <c r="L11" s="297" t="str">
        <f>IF($C11="Compliance Standard (Expenditures)",'28. Year 8 Summary'!E$17,IF($C11="Eligibility Standard (Budget)",'28. Year 8 Summary'!E$9,""))</f>
        <v/>
      </c>
      <c r="M11" s="344"/>
      <c r="N11" s="344"/>
      <c r="O11" s="344"/>
      <c r="P11" s="344"/>
    </row>
    <row r="12" spans="1:16" ht="46.9" customHeight="1">
      <c r="A12" s="315" t="s">
        <v>34</v>
      </c>
      <c r="B12" s="313">
        <f>'2. Getting Started'!B$6+8</f>
        <v>2029</v>
      </c>
      <c r="C12" s="320" t="s">
        <v>146</v>
      </c>
      <c r="D12" s="333" t="str">
        <f>IF(AND($C12="Compliance Standard (Expenditures)",'29. Year 9 Amounts'!$I$1&lt;&gt;""),'29. Year 9 Amounts'!$I$1,IF(AND($C12="Eligibility Standard (Budget)",'29. Year 9 Amounts'!$B$1&lt;&gt;""),'29. Year 9 Amounts'!$B$1,""))</f>
        <v/>
      </c>
      <c r="E12" s="298" t="str">
        <f>IF($C12="Compliance Standard (Expenditures)",'29. Year 9 Amounts'!$K$30,IF($C12="Eligibility Standard (Budget)",'29. Year 9 Amounts'!$D$30,""))</f>
        <v/>
      </c>
      <c r="F12" s="297" t="str">
        <f>IF($C12="Compliance Standard (Expenditures)",'31. Year 9 Summary'!B$17,IF($C12="Eligibility Standard (Budget)",'31. Year 9 Summary'!B$9,""))</f>
        <v/>
      </c>
      <c r="G12" s="298" t="str">
        <f>IF(C12="Compliance Standard (Expenditures)",'29. Year 9 Amounts'!M$30,IF(C12="Eligibility Standard (Budget)",'29. Year 9 Amounts'!F$30,""))</f>
        <v/>
      </c>
      <c r="H12" s="297" t="str">
        <f>IF($C12="Compliance Standard (Expenditures)",'31. Year 9 Summary'!C$17,IF($C12="Eligibility Standard (Budget)",'31. Year 9 Summary'!C$9,""))</f>
        <v/>
      </c>
      <c r="I12" s="298" t="str">
        <f>IF($C12="Compliance Standard (Expenditures)",'29. Year 9 Amounts'!$K$31,IF($C12="Eligibility Standard (Budget)",'29. Year 9 Amounts'!$D$31,""))</f>
        <v/>
      </c>
      <c r="J12" s="297" t="str">
        <f>IF($C12="Compliance Standard (Expenditures)",'31. Year 9 Summary'!D$17,IF($C12="Eligibility Standard (Budget)",'31. Year 9 Summary'!D$9,""))</f>
        <v/>
      </c>
      <c r="K12" s="298" t="str">
        <f>IF($C12="Compliance Standard (Expenditures)",'29. Year 9 Amounts'!$M$31,IF($C12="Eligibility Standard (Budget)",'29. Year 9 Amounts'!$F$31,""))</f>
        <v/>
      </c>
      <c r="L12" s="297" t="str">
        <f>IF($C12="Compliance Standard (Expenditures)",'31. Year 9 Summary'!E$17,IF($C12="Eligibility Standard (Budget)",'31. Year 9 Summary'!E$9,""))</f>
        <v/>
      </c>
      <c r="M12" s="344"/>
      <c r="N12" s="344"/>
      <c r="O12" s="344"/>
      <c r="P12" s="344"/>
    </row>
    <row r="13" spans="1:16" ht="46.9" customHeight="1" thickBot="1">
      <c r="A13" s="316" t="s">
        <v>35</v>
      </c>
      <c r="B13" s="313">
        <f>'2. Getting Started'!B$6+9</f>
        <v>2030</v>
      </c>
      <c r="C13" s="320" t="s">
        <v>147</v>
      </c>
      <c r="D13" s="333" t="str">
        <f>IF(AND($C13="Compliance Standard (Expenditures)",'32. Year 10 Amounts'!$I$1&lt;&gt;""),'32. Year 10 Amounts'!$I$1,IF(AND($C13="Eligibility Standard (Budget)",'32. Year 10 Amounts'!$B$1&lt;&gt;""),'32. Year 10 Amounts'!$B$1,""))</f>
        <v/>
      </c>
      <c r="E13" s="298" t="str">
        <f>IF($C13="Compliance Standard (Expenditures)",'32. Year 10 Amounts'!$K$30,IF($C13="Eligibility Standard (Budget)",'32. Year 10 Amounts'!$D$30,""))</f>
        <v/>
      </c>
      <c r="F13" s="297" t="str">
        <f>IF($C13="Compliance Standard (Expenditures)",'34. Year 10 Summary'!B$17,IF($C13="Eligibility Standard (Budget)",'34. Year 10 Summary'!B$9,""))</f>
        <v/>
      </c>
      <c r="G13" s="298" t="str">
        <f>IF(C13="Compliance Standard (Expenditures)",'32. Year 10 Amounts'!M$30,IF(C13="Eligibility Standard (Budget)",'32. Year 10 Amounts'!F$30,""))</f>
        <v/>
      </c>
      <c r="H13" s="297" t="str">
        <f>IF($C13="Compliance Standard (Expenditures)",'34. Year 10 Summary'!C$17,IF($C13="Eligibility Standard (Budget)",'34. Year 10 Summary'!C$9,""))</f>
        <v/>
      </c>
      <c r="I13" s="298" t="str">
        <f>IF($C13="Compliance Standard (Expenditures)",'32. Year 10 Amounts'!$K$31,IF($C13="Eligibility Standard (Budget)",'32. Year 10 Amounts'!$D$31,""))</f>
        <v/>
      </c>
      <c r="J13" s="297" t="str">
        <f>IF($C13="Compliance Standard (Expenditures)",'34. Year 10 Summary'!D$17,IF($C13="Eligibility Standard (Budget)",'34. Year 10 Summary'!D$9,""))</f>
        <v/>
      </c>
      <c r="K13" s="298" t="str">
        <f>IF($C13="Compliance Standard (Expenditures)",'32. Year 10 Amounts'!$M$31,IF($C13="Eligibility Standard (Budget)",'32. Year 10 Amounts'!$F$31,""))</f>
        <v/>
      </c>
      <c r="L13" s="297" t="str">
        <f>IF($C13="Compliance Standard (Expenditures)",'34. Year 10 Summary'!E$17,IF($C13="Eligibility Standard (Budget)",'34. Year 10 Summary'!E$9,""))</f>
        <v/>
      </c>
      <c r="M13" s="344"/>
      <c r="N13" s="344"/>
      <c r="O13" s="344"/>
      <c r="P13" s="344"/>
    </row>
    <row r="14" spans="1:16" ht="24.75" customHeight="1" thickTop="1">
      <c r="A14" s="341" t="s">
        <v>183</v>
      </c>
      <c r="C14" s="12"/>
      <c r="D14" s="12"/>
      <c r="E14" s="12"/>
      <c r="F14" s="12"/>
      <c r="G14" s="12"/>
      <c r="H14" s="12"/>
      <c r="I14" s="12"/>
      <c r="J14" s="12"/>
      <c r="K14" s="12"/>
      <c r="L14" s="12"/>
      <c r="M14" s="12"/>
      <c r="N14" s="12"/>
      <c r="O14" s="12"/>
      <c r="P14" s="12"/>
    </row>
    <row r="15" spans="1:16" s="14" customFormat="1">
      <c r="A15" s="358" t="s">
        <v>182</v>
      </c>
      <c r="C15" s="13"/>
      <c r="D15" s="13"/>
      <c r="E15" s="13"/>
      <c r="F15" s="13"/>
      <c r="G15" s="13"/>
      <c r="H15" s="13"/>
      <c r="I15" s="13"/>
      <c r="J15" s="13"/>
      <c r="K15" s="13"/>
      <c r="L15" s="13"/>
      <c r="M15" s="13"/>
      <c r="N15" s="13"/>
      <c r="O15" s="13"/>
      <c r="P15" s="13"/>
    </row>
    <row r="16" spans="1:16">
      <c r="A16" s="466" t="s">
        <v>24</v>
      </c>
      <c r="B16" s="466"/>
      <c r="C16" s="466"/>
      <c r="D16" s="466"/>
      <c r="E16" s="466"/>
      <c r="F16" s="466"/>
      <c r="G16" s="466"/>
      <c r="H16" s="466"/>
      <c r="I16" s="466"/>
      <c r="J16" s="466"/>
      <c r="K16" s="466"/>
      <c r="L16" s="466"/>
      <c r="M16" s="344"/>
      <c r="N16" s="344"/>
      <c r="O16" s="344"/>
      <c r="P16" s="344"/>
    </row>
  </sheetData>
  <sheetProtection algorithmName="SHA-512" hashValue="u+e66Bp427jgLOyIwG1GANnEGMHgKbSDV0EPQN9EuzyZuoYPmJ6MdFXEd3XncYJSlP9YTbBelMCPs4CpOEx/og==" saltValue="lu8CeT3eMdio0JhZwHlBnQ==" spinCount="100000" sheet="1" formatColumns="0" formatRows="0"/>
  <mergeCells count="1">
    <mergeCell ref="A16:L16"/>
  </mergeCells>
  <conditionalFormatting sqref="F4:F13">
    <cfRule type="containsText" dxfId="228" priority="7" operator="containsText" text="Did Not Meet">
      <formula>NOT(ISERROR(SEARCH("Did Not Meet",F4)))</formula>
    </cfRule>
    <cfRule type="containsText" dxfId="227" priority="8" operator="containsText" text="Met">
      <formula>NOT(ISERROR(SEARCH("Met",F4)))</formula>
    </cfRule>
  </conditionalFormatting>
  <conditionalFormatting sqref="H4:H13">
    <cfRule type="containsText" dxfId="226" priority="5" operator="containsText" text="Did Not Meet">
      <formula>NOT(ISERROR(SEARCH("Did Not Meet",H4)))</formula>
    </cfRule>
    <cfRule type="containsText" dxfId="225" priority="6" operator="containsText" text="Met">
      <formula>NOT(ISERROR(SEARCH("Met",H4)))</formula>
    </cfRule>
  </conditionalFormatting>
  <conditionalFormatting sqref="J4:J13">
    <cfRule type="containsText" dxfId="224" priority="3" operator="containsText" text="Did Not Meet">
      <formula>NOT(ISERROR(SEARCH("Did Not Meet",J4)))</formula>
    </cfRule>
    <cfRule type="containsText" dxfId="223" priority="4" operator="containsText" text="Met">
      <formula>NOT(ISERROR(SEARCH("Met",J4)))</formula>
    </cfRule>
  </conditionalFormatting>
  <conditionalFormatting sqref="L4:L13">
    <cfRule type="containsText" dxfId="222" priority="1" operator="containsText" text="Did Not Meet">
      <formula>NOT(ISERROR(SEARCH("Did Not Meet",L4)))</formula>
    </cfRule>
    <cfRule type="containsText" dxfId="221" priority="2" operator="containsText" text="Met">
      <formula>NOT(ISERROR(SEARCH("Met",L4)))</formula>
    </cfRule>
  </conditionalFormatting>
  <dataValidations count="1">
    <dataValidation type="list" allowBlank="1" showInputMessage="1" showErrorMessage="1" sqref="C5:C13" xr:uid="{00000000-0002-0000-0500-000000000000}">
      <formula1>"Compliance Standard (Expenditures),Eligibility Standard (Budget)"</formula1>
    </dataValidation>
  </dataValidations>
  <hyperlinks>
    <hyperlink ref="A4" location="'7. Year 1 Summary'!A1" display="Year 1" xr:uid="{00000000-0004-0000-0500-000000000000}"/>
    <hyperlink ref="A5" location="'10. Year 2 Summary'!A1" display="Year 2" xr:uid="{00000000-0004-0000-0500-000001000000}"/>
    <hyperlink ref="A6" location="'13. Year 3 Summary'!A1" display="Year 3" xr:uid="{00000000-0004-0000-0500-000002000000}"/>
    <hyperlink ref="A7" location="'16. Year 4 Summary'!A1" display="Year 4" xr:uid="{00000000-0004-0000-0500-000003000000}"/>
    <hyperlink ref="A8" location="'19. Year 5 Summary'!A1" display="Year 5" xr:uid="{00000000-0004-0000-0500-000004000000}"/>
    <hyperlink ref="A9" location="'22. Year 6 Summary'!A1" display="Year 6" xr:uid="{00000000-0004-0000-0500-000005000000}"/>
    <hyperlink ref="A10" location="'25. Year 7 Summary'!A1" display="Year 7" xr:uid="{00000000-0004-0000-0500-000006000000}"/>
    <hyperlink ref="A11" location="'28. Year 8 Summary'!A1" display="Year 8" xr:uid="{00000000-0004-0000-0500-000007000000}"/>
    <hyperlink ref="A12" location="'31. Year 9 Summary'!A1" display="Year 9" xr:uid="{00000000-0004-0000-0500-000008000000}"/>
    <hyperlink ref="A13" location="'34. Year 10 Summary'!A1" display="Year 10" xr:uid="{00000000-0004-0000-0500-000009000000}"/>
    <hyperlink ref="A15" r:id="rId1" xr:uid="{00000000-0004-0000-0500-00000A000000}"/>
  </hyperlinks>
  <pageMargins left="0.75" right="0.75" top="1" bottom="1" header="0.5" footer="0.5"/>
  <pageSetup orientation="portrait" horizontalDpi="4294967292" verticalDpi="4294967292"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53125" style="20" bestFit="1" customWidth="1"/>
    <col min="2" max="3" width="12.81640625" style="20" customWidth="1"/>
    <col min="4" max="6" width="23.7265625" style="20" customWidth="1"/>
    <col min="7" max="7" width="5.453125" style="20" customWidth="1"/>
    <col min="8" max="8" width="39.453125" style="20" customWidth="1"/>
    <col min="9" max="10" width="12.81640625" style="20" customWidth="1"/>
    <col min="11" max="13" width="23.7265625" style="20" customWidth="1"/>
    <col min="14" max="14" width="0.81640625" style="20" customWidth="1"/>
    <col min="15" max="16384" width="10.54296875" style="20" hidden="1"/>
  </cols>
  <sheetData>
    <row r="1" spans="1:13" ht="16"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Started'!B6+3," -  LEA Effort - Budgeted Amounts")</f>
        <v>Eligibility Standard - State Fiscal Year 2024 -  LEA Effort - Budgeted Amounts</v>
      </c>
      <c r="B2" s="23"/>
      <c r="C2" s="23"/>
      <c r="D2" s="23"/>
      <c r="E2" s="23"/>
      <c r="F2" s="24"/>
      <c r="G2" s="467"/>
      <c r="H2" s="22" t="str">
        <f>CONCATENATE("Compliance Standard - State Fiscal Year ",'2. Getting Started'!B6+3," - LEA Effort - Final Expenditures")</f>
        <v>Compliance Standard - State Fiscal Year 2024 - LEA Effort - Final Expenditures</v>
      </c>
      <c r="I2" s="23"/>
      <c r="J2" s="23"/>
      <c r="K2" s="23"/>
      <c r="L2" s="23"/>
      <c r="M2" s="24"/>
    </row>
    <row r="3" spans="1:13" s="25" customFormat="1" ht="24" customHeight="1">
      <c r="A3" s="26"/>
      <c r="B3" s="27"/>
      <c r="D3" s="28" t="str">
        <f>CONCATENATE("SFY ",'2. Getting Started'!$B6+3," Budget")</f>
        <v>SFY 2024 Budget</v>
      </c>
      <c r="E3" s="29"/>
      <c r="F3" s="30"/>
      <c r="G3" s="467"/>
      <c r="H3" s="26"/>
      <c r="I3" s="27"/>
      <c r="J3" s="31"/>
      <c r="K3" s="28" t="str">
        <f>CONCATENATE("SFY ",'2. Getting Started'!$B6+3," Final Expenditures")</f>
        <v>SFY 2024 Final Expenditures</v>
      </c>
      <c r="L3" s="29"/>
      <c r="M3" s="32"/>
    </row>
    <row r="4" spans="1:13" s="37" customFormat="1" ht="18.5">
      <c r="A4" s="33" t="s">
        <v>50</v>
      </c>
      <c r="B4" s="34" t="s">
        <v>51</v>
      </c>
      <c r="C4" s="35" t="s">
        <v>52</v>
      </c>
      <c r="D4" s="36" t="s">
        <v>53</v>
      </c>
      <c r="E4" s="36" t="s">
        <v>54</v>
      </c>
      <c r="F4" s="36" t="s">
        <v>8</v>
      </c>
      <c r="G4" s="467"/>
      <c r="H4" s="33" t="s">
        <v>50</v>
      </c>
      <c r="I4" s="34" t="s">
        <v>55</v>
      </c>
      <c r="J4" s="35" t="s">
        <v>52</v>
      </c>
      <c r="K4" s="36" t="s">
        <v>53</v>
      </c>
      <c r="L4" s="36" t="s">
        <v>54</v>
      </c>
      <c r="M4" s="36" t="s">
        <v>8</v>
      </c>
    </row>
    <row r="5" spans="1:13" ht="15.5">
      <c r="A5" s="49"/>
      <c r="B5" s="50"/>
      <c r="C5" s="51"/>
      <c r="D5" s="52"/>
      <c r="E5" s="52"/>
      <c r="F5" s="38" t="str">
        <f>IF(AND(D5="",E5=""),"",SUM(D5:E5))</f>
        <v/>
      </c>
      <c r="G5" s="467"/>
      <c r="H5" s="49"/>
      <c r="I5" s="50"/>
      <c r="J5" s="51"/>
      <c r="K5" s="52"/>
      <c r="L5" s="52"/>
      <c r="M5" s="38" t="str">
        <f>IF(AND(K5="",L5=""),"",SUM(K5:L5))</f>
        <v/>
      </c>
    </row>
    <row r="6" spans="1:13" ht="15.5">
      <c r="A6" s="49"/>
      <c r="B6" s="50"/>
      <c r="C6" s="51"/>
      <c r="D6" s="52"/>
      <c r="E6" s="52"/>
      <c r="F6" s="38" t="str">
        <f t="shared" ref="F6:F29" si="0">IF(AND(D6="",E6=""),"",SUM(D6:E6))</f>
        <v/>
      </c>
      <c r="G6" s="467"/>
      <c r="H6" s="49"/>
      <c r="I6" s="50"/>
      <c r="J6" s="51"/>
      <c r="K6" s="52"/>
      <c r="L6" s="52"/>
      <c r="M6" s="38" t="str">
        <f t="shared" ref="M6:M29" si="1">IF(AND(K6="",L6=""),"",SUM(K6:L6))</f>
        <v/>
      </c>
    </row>
    <row r="7" spans="1:13" ht="15.5">
      <c r="A7" s="49"/>
      <c r="B7" s="50"/>
      <c r="C7" s="51"/>
      <c r="D7" s="52"/>
      <c r="E7" s="52"/>
      <c r="F7" s="38" t="str">
        <f t="shared" si="0"/>
        <v/>
      </c>
      <c r="G7" s="467"/>
      <c r="H7" s="49"/>
      <c r="I7" s="50"/>
      <c r="J7" s="51"/>
      <c r="K7" s="52"/>
      <c r="L7" s="52"/>
      <c r="M7" s="38" t="str">
        <f t="shared" si="1"/>
        <v/>
      </c>
    </row>
    <row r="8" spans="1:13" ht="15.5">
      <c r="A8" s="49"/>
      <c r="B8" s="50"/>
      <c r="C8" s="51"/>
      <c r="D8" s="52"/>
      <c r="E8" s="52"/>
      <c r="F8" s="38" t="str">
        <f t="shared" si="0"/>
        <v/>
      </c>
      <c r="G8" s="467"/>
      <c r="H8" s="49"/>
      <c r="I8" s="50"/>
      <c r="J8" s="51"/>
      <c r="K8" s="52"/>
      <c r="L8" s="52"/>
      <c r="M8" s="38" t="str">
        <f t="shared" si="1"/>
        <v/>
      </c>
    </row>
    <row r="9" spans="1:13" ht="15.5">
      <c r="A9" s="49"/>
      <c r="B9" s="50"/>
      <c r="C9" s="51"/>
      <c r="D9" s="52"/>
      <c r="E9" s="52"/>
      <c r="F9" s="38" t="str">
        <f t="shared" si="0"/>
        <v/>
      </c>
      <c r="G9" s="467"/>
      <c r="H9" s="49"/>
      <c r="I9" s="50"/>
      <c r="J9" s="51"/>
      <c r="K9" s="52"/>
      <c r="L9" s="52"/>
      <c r="M9" s="38" t="str">
        <f t="shared" si="1"/>
        <v/>
      </c>
    </row>
    <row r="10" spans="1:13" ht="15.5">
      <c r="A10" s="49"/>
      <c r="B10" s="50"/>
      <c r="C10" s="51"/>
      <c r="D10" s="52"/>
      <c r="E10" s="52"/>
      <c r="F10" s="38" t="str">
        <f t="shared" si="0"/>
        <v/>
      </c>
      <c r="G10" s="467"/>
      <c r="H10" s="49"/>
      <c r="I10" s="50"/>
      <c r="J10" s="51"/>
      <c r="K10" s="52"/>
      <c r="L10" s="52"/>
      <c r="M10" s="38" t="str">
        <f t="shared" si="1"/>
        <v/>
      </c>
    </row>
    <row r="11" spans="1:13" ht="15.5">
      <c r="A11" s="49"/>
      <c r="B11" s="50"/>
      <c r="C11" s="51"/>
      <c r="D11" s="52"/>
      <c r="E11" s="52"/>
      <c r="F11" s="38" t="str">
        <f t="shared" si="0"/>
        <v/>
      </c>
      <c r="G11" s="467"/>
      <c r="H11" s="49"/>
      <c r="I11" s="50"/>
      <c r="J11" s="51"/>
      <c r="K11" s="52"/>
      <c r="L11" s="52"/>
      <c r="M11" s="38" t="str">
        <f t="shared" si="1"/>
        <v/>
      </c>
    </row>
    <row r="12" spans="1:13" ht="15.5">
      <c r="A12" s="49"/>
      <c r="B12" s="50"/>
      <c r="C12" s="51"/>
      <c r="D12" s="52"/>
      <c r="E12" s="52"/>
      <c r="F12" s="38" t="str">
        <f t="shared" si="0"/>
        <v/>
      </c>
      <c r="G12" s="467"/>
      <c r="H12" s="49"/>
      <c r="I12" s="50"/>
      <c r="J12" s="51"/>
      <c r="K12" s="52"/>
      <c r="L12" s="52"/>
      <c r="M12" s="38" t="str">
        <f t="shared" si="1"/>
        <v/>
      </c>
    </row>
    <row r="13" spans="1:13" ht="15.5">
      <c r="A13" s="49"/>
      <c r="B13" s="50"/>
      <c r="C13" s="51"/>
      <c r="D13" s="52"/>
      <c r="E13" s="52"/>
      <c r="F13" s="38" t="str">
        <f t="shared" si="0"/>
        <v/>
      </c>
      <c r="G13" s="467"/>
      <c r="H13" s="49"/>
      <c r="I13" s="50"/>
      <c r="J13" s="51"/>
      <c r="K13" s="52"/>
      <c r="L13" s="52"/>
      <c r="M13" s="38" t="str">
        <f t="shared" si="1"/>
        <v/>
      </c>
    </row>
    <row r="14" spans="1:13" ht="15.5">
      <c r="A14" s="49"/>
      <c r="B14" s="50"/>
      <c r="C14" s="51"/>
      <c r="D14" s="52"/>
      <c r="E14" s="52"/>
      <c r="F14" s="38" t="str">
        <f t="shared" si="0"/>
        <v/>
      </c>
      <c r="G14" s="467"/>
      <c r="H14" s="49"/>
      <c r="I14" s="50"/>
      <c r="J14" s="51"/>
      <c r="K14" s="52"/>
      <c r="L14" s="52"/>
      <c r="M14" s="38" t="str">
        <f t="shared" si="1"/>
        <v/>
      </c>
    </row>
    <row r="15" spans="1:13" ht="15.5">
      <c r="A15" s="49"/>
      <c r="B15" s="50"/>
      <c r="C15" s="51"/>
      <c r="D15" s="52"/>
      <c r="E15" s="52"/>
      <c r="F15" s="38" t="str">
        <f t="shared" si="0"/>
        <v/>
      </c>
      <c r="G15" s="467"/>
      <c r="H15" s="49"/>
      <c r="I15" s="50"/>
      <c r="J15" s="51"/>
      <c r="K15" s="52"/>
      <c r="L15" s="52"/>
      <c r="M15" s="38" t="str">
        <f t="shared" si="1"/>
        <v/>
      </c>
    </row>
    <row r="16" spans="1:13" ht="15.5">
      <c r="A16" s="49"/>
      <c r="B16" s="50"/>
      <c r="C16" s="51"/>
      <c r="D16" s="52"/>
      <c r="E16" s="52"/>
      <c r="F16" s="38" t="str">
        <f t="shared" si="0"/>
        <v/>
      </c>
      <c r="G16" s="467"/>
      <c r="H16" s="49"/>
      <c r="I16" s="50"/>
      <c r="J16" s="51"/>
      <c r="K16" s="52"/>
      <c r="L16" s="52"/>
      <c r="M16" s="38" t="str">
        <f t="shared" si="1"/>
        <v/>
      </c>
    </row>
    <row r="17" spans="1:13" ht="15.5">
      <c r="A17" s="49"/>
      <c r="B17" s="50"/>
      <c r="C17" s="51"/>
      <c r="D17" s="52"/>
      <c r="E17" s="52"/>
      <c r="F17" s="38" t="str">
        <f t="shared" si="0"/>
        <v/>
      </c>
      <c r="G17" s="467"/>
      <c r="H17" s="49"/>
      <c r="I17" s="50"/>
      <c r="J17" s="51"/>
      <c r="K17" s="52"/>
      <c r="L17" s="52"/>
      <c r="M17" s="38" t="str">
        <f t="shared" si="1"/>
        <v/>
      </c>
    </row>
    <row r="18" spans="1:13" ht="15.5">
      <c r="A18" s="49"/>
      <c r="B18" s="50"/>
      <c r="C18" s="51"/>
      <c r="D18" s="52"/>
      <c r="E18" s="52"/>
      <c r="F18" s="38" t="str">
        <f t="shared" si="0"/>
        <v/>
      </c>
      <c r="G18" s="467"/>
      <c r="H18" s="49"/>
      <c r="I18" s="50"/>
      <c r="J18" s="51"/>
      <c r="K18" s="52"/>
      <c r="L18" s="52"/>
      <c r="M18" s="38" t="str">
        <f t="shared" si="1"/>
        <v/>
      </c>
    </row>
    <row r="19" spans="1:13" ht="15.5">
      <c r="A19" s="49"/>
      <c r="B19" s="50"/>
      <c r="C19" s="51"/>
      <c r="D19" s="52"/>
      <c r="E19" s="52"/>
      <c r="F19" s="38" t="str">
        <f t="shared" si="0"/>
        <v/>
      </c>
      <c r="G19" s="467"/>
      <c r="H19" s="49"/>
      <c r="I19" s="50"/>
      <c r="J19" s="51"/>
      <c r="K19" s="52"/>
      <c r="L19" s="52"/>
      <c r="M19" s="38" t="str">
        <f t="shared" si="1"/>
        <v/>
      </c>
    </row>
    <row r="20" spans="1:13" ht="15.5">
      <c r="A20" s="49"/>
      <c r="B20" s="50"/>
      <c r="C20" s="51"/>
      <c r="D20" s="52"/>
      <c r="E20" s="52"/>
      <c r="F20" s="38" t="str">
        <f t="shared" si="0"/>
        <v/>
      </c>
      <c r="G20" s="467"/>
      <c r="H20" s="49"/>
      <c r="I20" s="50"/>
      <c r="J20" s="51"/>
      <c r="K20" s="52"/>
      <c r="L20" s="52"/>
      <c r="M20" s="38" t="str">
        <f t="shared" si="1"/>
        <v/>
      </c>
    </row>
    <row r="21" spans="1:13" ht="15.5">
      <c r="A21" s="49"/>
      <c r="B21" s="50"/>
      <c r="C21" s="51"/>
      <c r="D21" s="52"/>
      <c r="E21" s="52"/>
      <c r="F21" s="38" t="str">
        <f t="shared" si="0"/>
        <v/>
      </c>
      <c r="G21" s="467"/>
      <c r="H21" s="49"/>
      <c r="I21" s="50"/>
      <c r="J21" s="51"/>
      <c r="K21" s="52"/>
      <c r="L21" s="52"/>
      <c r="M21" s="38" t="str">
        <f t="shared" si="1"/>
        <v/>
      </c>
    </row>
    <row r="22" spans="1:13" ht="15.5">
      <c r="A22" s="49"/>
      <c r="B22" s="50"/>
      <c r="C22" s="51"/>
      <c r="D22" s="52"/>
      <c r="E22" s="52"/>
      <c r="F22" s="38" t="str">
        <f t="shared" si="0"/>
        <v/>
      </c>
      <c r="G22" s="467"/>
      <c r="H22" s="49"/>
      <c r="I22" s="50"/>
      <c r="J22" s="51"/>
      <c r="K22" s="52"/>
      <c r="L22" s="52"/>
      <c r="M22" s="38" t="str">
        <f t="shared" si="1"/>
        <v/>
      </c>
    </row>
    <row r="23" spans="1:13" ht="15.5">
      <c r="A23" s="49"/>
      <c r="B23" s="50"/>
      <c r="C23" s="51"/>
      <c r="D23" s="52"/>
      <c r="E23" s="52"/>
      <c r="F23" s="38" t="str">
        <f t="shared" si="0"/>
        <v/>
      </c>
      <c r="G23" s="467"/>
      <c r="H23" s="49"/>
      <c r="I23" s="50"/>
      <c r="J23" s="51"/>
      <c r="K23" s="52"/>
      <c r="L23" s="52"/>
      <c r="M23" s="38" t="str">
        <f t="shared" si="1"/>
        <v/>
      </c>
    </row>
    <row r="24" spans="1:13" ht="15.5">
      <c r="A24" s="49"/>
      <c r="B24" s="50"/>
      <c r="C24" s="51"/>
      <c r="D24" s="52"/>
      <c r="E24" s="52"/>
      <c r="F24" s="38" t="str">
        <f t="shared" si="0"/>
        <v/>
      </c>
      <c r="G24" s="467"/>
      <c r="H24" s="49"/>
      <c r="I24" s="50"/>
      <c r="J24" s="51"/>
      <c r="K24" s="52"/>
      <c r="L24" s="52"/>
      <c r="M24" s="38" t="str">
        <f t="shared" si="1"/>
        <v/>
      </c>
    </row>
    <row r="25" spans="1:13" ht="15.5">
      <c r="A25" s="49"/>
      <c r="B25" s="50"/>
      <c r="C25" s="51"/>
      <c r="D25" s="52"/>
      <c r="E25" s="52"/>
      <c r="F25" s="38" t="str">
        <f t="shared" si="0"/>
        <v/>
      </c>
      <c r="G25" s="467"/>
      <c r="H25" s="49"/>
      <c r="I25" s="50"/>
      <c r="J25" s="51"/>
      <c r="K25" s="52"/>
      <c r="L25" s="52"/>
      <c r="M25" s="38" t="str">
        <f t="shared" si="1"/>
        <v/>
      </c>
    </row>
    <row r="26" spans="1:13" ht="15.5">
      <c r="A26" s="49"/>
      <c r="B26" s="50"/>
      <c r="C26" s="51"/>
      <c r="D26" s="52"/>
      <c r="E26" s="52"/>
      <c r="F26" s="38" t="str">
        <f t="shared" si="0"/>
        <v/>
      </c>
      <c r="G26" s="467"/>
      <c r="H26" s="49"/>
      <c r="I26" s="50"/>
      <c r="J26" s="51"/>
      <c r="K26" s="52"/>
      <c r="L26" s="52"/>
      <c r="M26" s="38" t="str">
        <f t="shared" si="1"/>
        <v/>
      </c>
    </row>
    <row r="27" spans="1:13" ht="15.5">
      <c r="A27" s="49"/>
      <c r="B27" s="50"/>
      <c r="C27" s="51"/>
      <c r="D27" s="52"/>
      <c r="E27" s="52"/>
      <c r="F27" s="38" t="str">
        <f t="shared" si="0"/>
        <v/>
      </c>
      <c r="G27" s="467"/>
      <c r="H27" s="49"/>
      <c r="I27" s="50"/>
      <c r="J27" s="51"/>
      <c r="K27" s="52"/>
      <c r="L27" s="52"/>
      <c r="M27" s="38" t="str">
        <f t="shared" si="1"/>
        <v/>
      </c>
    </row>
    <row r="28" spans="1:13" ht="15.5">
      <c r="A28" s="49"/>
      <c r="B28" s="50"/>
      <c r="C28" s="51"/>
      <c r="D28" s="52"/>
      <c r="E28" s="52"/>
      <c r="F28" s="38" t="str">
        <f t="shared" si="0"/>
        <v/>
      </c>
      <c r="G28" s="467"/>
      <c r="H28" s="49"/>
      <c r="I28" s="50"/>
      <c r="J28" s="51"/>
      <c r="K28" s="52"/>
      <c r="L28" s="52"/>
      <c r="M28" s="38" t="str">
        <f t="shared" si="1"/>
        <v/>
      </c>
    </row>
    <row r="29" spans="1:13" ht="16" thickBot="1">
      <c r="A29" s="53"/>
      <c r="B29" s="54"/>
      <c r="C29" s="55"/>
      <c r="D29" s="56"/>
      <c r="E29" s="56"/>
      <c r="F29" s="38" t="str">
        <f t="shared" si="0"/>
        <v/>
      </c>
      <c r="G29" s="467"/>
      <c r="H29" s="53"/>
      <c r="I29" s="54"/>
      <c r="J29" s="55"/>
      <c r="K29" s="56"/>
      <c r="L29" s="56"/>
      <c r="M29" s="38" t="str">
        <f t="shared" si="1"/>
        <v/>
      </c>
    </row>
    <row r="30" spans="1:13" ht="19"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5">
      <c r="A32" s="345" t="s">
        <v>183</v>
      </c>
      <c r="B32" s="45"/>
      <c r="C32" s="45"/>
      <c r="D32" s="45"/>
      <c r="E32" s="45"/>
      <c r="F32" s="45"/>
      <c r="G32" s="45"/>
      <c r="H32" s="45"/>
      <c r="I32" s="45"/>
      <c r="J32" s="45"/>
      <c r="K32" s="45"/>
      <c r="L32" s="45"/>
      <c r="M32" s="45"/>
    </row>
    <row r="33" spans="1:13" s="47" customFormat="1" ht="15.5">
      <c r="A33" s="358" t="s">
        <v>182</v>
      </c>
      <c r="B33" s="46"/>
      <c r="C33" s="46"/>
      <c r="D33" s="46"/>
      <c r="E33" s="46"/>
      <c r="F33" s="46"/>
      <c r="G33" s="46"/>
      <c r="H33" s="46"/>
      <c r="I33" s="46"/>
      <c r="J33" s="46"/>
      <c r="K33" s="46"/>
      <c r="L33" s="46"/>
      <c r="M33" s="46"/>
    </row>
    <row r="34" spans="1:13" s="25" customFormat="1" ht="18.5">
      <c r="A34" s="468" t="s">
        <v>24</v>
      </c>
      <c r="B34" s="468"/>
      <c r="C34" s="468"/>
      <c r="D34" s="468"/>
      <c r="E34" s="468"/>
      <c r="F34" s="468"/>
      <c r="G34" s="468"/>
      <c r="H34" s="468"/>
      <c r="I34" s="468"/>
      <c r="J34" s="468"/>
      <c r="K34" s="468"/>
      <c r="L34" s="468"/>
      <c r="M34" s="468"/>
    </row>
    <row r="35" spans="1:13" ht="15.5" hidden="1"/>
  </sheetData>
  <sheetProtection algorithmName="SHA-512" hashValue="Za+V4J6iibIEXg8rgbkYjmPqMRSz5T6tXD4cjtYd9kGvbPEOLvdfv4esmbEuRCXxUMH5qCq6HcFAMQO1snZPoA==" saltValue="rL2iCI5T01flqVgvOmmV4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F00-000000000000}"/>
    <dataValidation allowBlank="1" showInputMessage="1" showErrorMessage="1" prompt="Don't forget to enter Child Count in Cell I1." sqref="H5" xr:uid="{00000000-0002-0000-0F00-000001000000}"/>
  </dataValidations>
  <hyperlinks>
    <hyperlink ref="A33" r:id="rId1" xr:uid="{00000000-0004-0000-0F00-000000000000}"/>
  </hyperlinks>
  <pageMargins left="0.75" right="0.75" top="1" bottom="1" header="0.5" footer="0.5"/>
  <pageSetup orientation="portrait" horizontalDpi="4294967292" verticalDpi="4294967292"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pageSetUpPr autoPageBreaks="0"/>
  </sheetPr>
  <dimension ref="A1:AB75"/>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5" zeroHeight="1"/>
  <cols>
    <col min="1" max="1" width="40.26953125" style="58" customWidth="1"/>
    <col min="2" max="2" width="32.81640625" style="58" bestFit="1" customWidth="1"/>
    <col min="3" max="3" width="28" style="58" customWidth="1"/>
    <col min="4" max="5" width="28.26953125" style="58" customWidth="1"/>
    <col min="6" max="6" width="34" style="58" bestFit="1" customWidth="1"/>
    <col min="7" max="7" width="28.26953125" style="58" customWidth="1"/>
    <col min="8" max="8" width="40.26953125" style="58" customWidth="1"/>
    <col min="9" max="9" width="32.81640625" style="58" bestFit="1" customWidth="1"/>
    <col min="10" max="12" width="28.26953125" style="58" customWidth="1"/>
    <col min="13" max="13" width="34" style="58" bestFit="1" customWidth="1"/>
    <col min="14" max="14" width="0.81640625" style="58" customWidth="1"/>
    <col min="15" max="18" width="12.26953125" style="58" hidden="1" customWidth="1"/>
    <col min="19" max="19" width="13.7265625" style="58" hidden="1" customWidth="1"/>
    <col min="20" max="16384" width="12.26953125" style="58" hidden="1"/>
  </cols>
  <sheetData>
    <row r="1" spans="1:20" ht="25.9" customHeight="1">
      <c r="A1" s="57" t="s">
        <v>58</v>
      </c>
      <c r="D1" s="59" t="s">
        <v>14</v>
      </c>
      <c r="E1" s="10" t="str">
        <f>IF('2. Getting Started'!$B2="","",'2. Getting Started'!$B2)</f>
        <v/>
      </c>
      <c r="G1" s="473" t="s">
        <v>176</v>
      </c>
      <c r="K1" s="59" t="s">
        <v>14</v>
      </c>
      <c r="L1" s="10" t="str">
        <f>IF('2. Getting Started'!$B2="","",'2. Getting Started'!$B2)</f>
        <v/>
      </c>
    </row>
    <row r="2" spans="1:20" ht="25.9" customHeight="1" thickBot="1">
      <c r="A2" s="338" t="s">
        <v>170</v>
      </c>
      <c r="D2" s="59"/>
      <c r="E2" s="10"/>
      <c r="G2" s="473"/>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Started'!B6+3," Budget")</f>
        <v>Eligibility Standard -- Exceptions to MOE as Permitted by 34 CFR §300.204 and Adjustment to MOE as Permitted by 34 CFR §300.205 -- Projections for State Fiscal Year 2024 Budget</v>
      </c>
      <c r="B3" s="61"/>
      <c r="C3" s="61"/>
      <c r="D3" s="61"/>
      <c r="E3" s="61"/>
      <c r="F3" s="62"/>
      <c r="G3" s="473"/>
      <c r="H3" s="60" t="str">
        <f>CONCATENATE("Compliance Standard -- Exceptions to MOE as Permitted by 34 CFR §300.204 and Adjustment to MOE as Permitted by 34 CFR §300.205 -- Final Expenditures for  State Fiscal Year ",'2. Getting Started'!B6+3)</f>
        <v>Compliance Standard -- Exceptions to MOE as Permitted by 34 CFR §300.204 and Adjustment to MOE as Permitted by 34 CFR §300.205 -- Final Expenditures for  State Fiscal Year 2024</v>
      </c>
      <c r="I3" s="61"/>
      <c r="J3" s="61"/>
      <c r="K3" s="61"/>
      <c r="L3" s="61"/>
      <c r="M3" s="62"/>
      <c r="O3" s="64"/>
      <c r="P3" s="64"/>
      <c r="Q3" s="64"/>
      <c r="R3" s="64"/>
      <c r="S3" s="64"/>
      <c r="T3" s="64"/>
    </row>
    <row r="4" spans="1:20">
      <c r="A4" s="65" t="s">
        <v>59</v>
      </c>
      <c r="B4" s="66"/>
      <c r="C4" s="67"/>
      <c r="D4" s="67"/>
      <c r="E4" s="67"/>
      <c r="F4" s="68"/>
      <c r="G4" s="473"/>
      <c r="H4" s="65" t="s">
        <v>59</v>
      </c>
      <c r="I4" s="66"/>
      <c r="J4" s="67"/>
      <c r="K4" s="67"/>
      <c r="L4" s="67"/>
      <c r="M4" s="68"/>
      <c r="N4" s="70"/>
      <c r="O4" s="70"/>
      <c r="P4" s="70"/>
      <c r="Q4" s="70"/>
      <c r="R4" s="70"/>
      <c r="S4" s="70"/>
    </row>
    <row r="5" spans="1:20">
      <c r="A5" s="71" t="s">
        <v>60</v>
      </c>
      <c r="B5" s="72"/>
      <c r="C5" s="69"/>
      <c r="D5" s="69"/>
      <c r="E5" s="69"/>
      <c r="F5" s="73"/>
      <c r="G5" s="473"/>
      <c r="H5" s="71" t="s">
        <v>60</v>
      </c>
      <c r="I5" s="72"/>
      <c r="J5" s="69"/>
      <c r="K5" s="69"/>
      <c r="L5" s="69"/>
      <c r="M5" s="73"/>
      <c r="N5" s="74"/>
      <c r="O5" s="74"/>
      <c r="P5" s="74"/>
      <c r="Q5" s="74"/>
      <c r="R5" s="74"/>
    </row>
    <row r="6" spans="1:20" ht="35.65" customHeight="1" thickBot="1">
      <c r="A6" s="75" t="s">
        <v>61</v>
      </c>
      <c r="B6" s="76"/>
      <c r="C6" s="76"/>
      <c r="D6" s="76"/>
      <c r="E6" s="76"/>
      <c r="F6" s="77"/>
      <c r="G6" s="473"/>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3"/>
      <c r="H7" s="78" t="s">
        <v>62</v>
      </c>
      <c r="I7" s="79" t="s">
        <v>63</v>
      </c>
      <c r="J7" s="80" t="s">
        <v>64</v>
      </c>
      <c r="K7" s="80" t="s">
        <v>65</v>
      </c>
      <c r="L7" s="81" t="s">
        <v>66</v>
      </c>
      <c r="M7" s="82" t="s">
        <v>68</v>
      </c>
      <c r="N7" s="74"/>
      <c r="O7" s="74"/>
    </row>
    <row r="8" spans="1:20">
      <c r="A8" s="186"/>
      <c r="B8" s="187"/>
      <c r="C8" s="187"/>
      <c r="D8" s="188"/>
      <c r="E8" s="188"/>
      <c r="F8" s="84">
        <f>D8+E8</f>
        <v>0</v>
      </c>
      <c r="G8" s="473"/>
      <c r="H8" s="186"/>
      <c r="I8" s="187"/>
      <c r="J8" s="187"/>
      <c r="K8" s="188"/>
      <c r="L8" s="188"/>
      <c r="M8" s="84">
        <f>K8+L8</f>
        <v>0</v>
      </c>
      <c r="N8" s="85"/>
      <c r="O8" s="85"/>
    </row>
    <row r="9" spans="1:20">
      <c r="A9" s="186"/>
      <c r="B9" s="187"/>
      <c r="C9" s="187"/>
      <c r="D9" s="188"/>
      <c r="E9" s="188"/>
      <c r="F9" s="84">
        <f>D9+E9</f>
        <v>0</v>
      </c>
      <c r="G9" s="473"/>
      <c r="H9" s="186"/>
      <c r="I9" s="187"/>
      <c r="J9" s="187"/>
      <c r="K9" s="188"/>
      <c r="L9" s="188"/>
      <c r="M9" s="84">
        <f>K9+L9</f>
        <v>0</v>
      </c>
      <c r="N9" s="85"/>
      <c r="O9" s="85"/>
    </row>
    <row r="10" spans="1:20">
      <c r="A10" s="186"/>
      <c r="B10" s="187"/>
      <c r="C10" s="187"/>
      <c r="D10" s="188"/>
      <c r="E10" s="188"/>
      <c r="F10" s="84">
        <f>D10+E10</f>
        <v>0</v>
      </c>
      <c r="G10" s="473"/>
      <c r="H10" s="186"/>
      <c r="I10" s="187"/>
      <c r="J10" s="187"/>
      <c r="K10" s="188"/>
      <c r="L10" s="188"/>
      <c r="M10" s="84">
        <f>K10+L10</f>
        <v>0</v>
      </c>
      <c r="N10" s="85"/>
      <c r="O10" s="85"/>
    </row>
    <row r="11" spans="1:20">
      <c r="A11" s="186"/>
      <c r="B11" s="187"/>
      <c r="C11" s="187"/>
      <c r="D11" s="188"/>
      <c r="E11" s="188"/>
      <c r="F11" s="84">
        <f>D11+E11</f>
        <v>0</v>
      </c>
      <c r="G11" s="473"/>
      <c r="H11" s="186"/>
      <c r="I11" s="187"/>
      <c r="J11" s="187"/>
      <c r="K11" s="188"/>
      <c r="L11" s="188"/>
      <c r="M11" s="84">
        <f>K11+L11</f>
        <v>0</v>
      </c>
      <c r="N11" s="85"/>
      <c r="O11" s="85"/>
    </row>
    <row r="12" spans="1:20">
      <c r="A12" s="186"/>
      <c r="B12" s="187"/>
      <c r="C12" s="187"/>
      <c r="D12" s="188"/>
      <c r="E12" s="188"/>
      <c r="F12" s="84">
        <f>D12+E12</f>
        <v>0</v>
      </c>
      <c r="G12" s="473"/>
      <c r="H12" s="186"/>
      <c r="I12" s="187"/>
      <c r="J12" s="187"/>
      <c r="K12" s="188"/>
      <c r="L12" s="188"/>
      <c r="M12" s="84">
        <f>K12+L12</f>
        <v>0</v>
      </c>
      <c r="N12" s="85"/>
      <c r="O12" s="85"/>
    </row>
    <row r="13" spans="1:20" ht="16" thickBot="1">
      <c r="A13" s="86"/>
      <c r="B13" s="87"/>
      <c r="C13" s="88" t="s">
        <v>69</v>
      </c>
      <c r="D13" s="89">
        <f t="shared" ref="D13:F13" si="0">SUM(D8:D12)</f>
        <v>0</v>
      </c>
      <c r="E13" s="89">
        <f t="shared" si="0"/>
        <v>0</v>
      </c>
      <c r="F13" s="90">
        <f t="shared" si="0"/>
        <v>0</v>
      </c>
      <c r="G13" s="473"/>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3"/>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3"/>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3"/>
      <c r="H16" s="189"/>
      <c r="I16" s="190"/>
      <c r="J16" s="100"/>
      <c r="K16" s="188"/>
      <c r="L16" s="188"/>
      <c r="M16" s="84">
        <f t="shared" ref="M16:M20" si="3">K16+L16</f>
        <v>0</v>
      </c>
      <c r="N16" s="85"/>
      <c r="O16" s="85"/>
    </row>
    <row r="17" spans="1:19">
      <c r="A17" s="189"/>
      <c r="B17" s="190"/>
      <c r="C17" s="100"/>
      <c r="D17" s="188"/>
      <c r="E17" s="188"/>
      <c r="F17" s="84">
        <f t="shared" si="2"/>
        <v>0</v>
      </c>
      <c r="G17" s="473"/>
      <c r="H17" s="189"/>
      <c r="I17" s="190"/>
      <c r="J17" s="100"/>
      <c r="K17" s="188"/>
      <c r="L17" s="188"/>
      <c r="M17" s="84">
        <f t="shared" si="3"/>
        <v>0</v>
      </c>
      <c r="N17" s="85"/>
      <c r="O17" s="85"/>
    </row>
    <row r="18" spans="1:19">
      <c r="A18" s="189"/>
      <c r="B18" s="190"/>
      <c r="C18" s="100"/>
      <c r="D18" s="188"/>
      <c r="E18" s="188"/>
      <c r="F18" s="84">
        <f t="shared" si="2"/>
        <v>0</v>
      </c>
      <c r="G18" s="473"/>
      <c r="H18" s="189"/>
      <c r="I18" s="190"/>
      <c r="J18" s="100"/>
      <c r="K18" s="188"/>
      <c r="L18" s="188"/>
      <c r="M18" s="84">
        <f t="shared" si="3"/>
        <v>0</v>
      </c>
      <c r="N18" s="85"/>
      <c r="O18" s="85"/>
    </row>
    <row r="19" spans="1:19">
      <c r="A19" s="189"/>
      <c r="B19" s="190"/>
      <c r="C19" s="100"/>
      <c r="D19" s="188"/>
      <c r="E19" s="188"/>
      <c r="F19" s="84">
        <f t="shared" si="2"/>
        <v>0</v>
      </c>
      <c r="G19" s="473"/>
      <c r="H19" s="189"/>
      <c r="I19" s="190"/>
      <c r="J19" s="100"/>
      <c r="K19" s="188"/>
      <c r="L19" s="188"/>
      <c r="M19" s="84">
        <f t="shared" si="3"/>
        <v>0</v>
      </c>
      <c r="N19" s="85"/>
      <c r="O19" s="85"/>
    </row>
    <row r="20" spans="1:19">
      <c r="A20" s="189"/>
      <c r="B20" s="190"/>
      <c r="C20" s="100"/>
      <c r="D20" s="188"/>
      <c r="E20" s="188"/>
      <c r="F20" s="84">
        <f t="shared" si="2"/>
        <v>0</v>
      </c>
      <c r="G20" s="473"/>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3"/>
      <c r="H21" s="101"/>
      <c r="I21" s="102"/>
      <c r="J21" s="103" t="s">
        <v>72</v>
      </c>
      <c r="K21" s="104">
        <f t="shared" ref="K21:M21" si="5">SUM(K16:K20)</f>
        <v>0</v>
      </c>
      <c r="L21" s="104">
        <f t="shared" si="5"/>
        <v>0</v>
      </c>
      <c r="M21" s="84">
        <f t="shared" si="5"/>
        <v>0</v>
      </c>
      <c r="N21" s="85"/>
      <c r="O21" s="85"/>
    </row>
    <row r="22" spans="1:19" ht="16" thickBot="1">
      <c r="A22" s="105"/>
      <c r="B22" s="106"/>
      <c r="C22" s="107"/>
      <c r="D22" s="107"/>
      <c r="E22" s="108" t="s">
        <v>73</v>
      </c>
      <c r="F22" s="109">
        <f>F13-F21</f>
        <v>0</v>
      </c>
      <c r="G22" s="473"/>
      <c r="H22" s="105"/>
      <c r="I22" s="106"/>
      <c r="J22" s="106"/>
      <c r="K22" s="111"/>
      <c r="L22" s="108" t="s">
        <v>74</v>
      </c>
      <c r="M22" s="109">
        <f>M13-M21</f>
        <v>0</v>
      </c>
      <c r="N22" s="94"/>
      <c r="O22" s="94"/>
      <c r="P22" s="94"/>
      <c r="Q22" s="94"/>
      <c r="R22" s="94"/>
      <c r="S22" s="94"/>
    </row>
    <row r="23" spans="1:19" ht="16" thickBot="1">
      <c r="A23" s="471" t="s">
        <v>22</v>
      </c>
      <c r="B23" s="471"/>
      <c r="C23" s="471"/>
      <c r="D23" s="471"/>
      <c r="E23" s="471"/>
      <c r="F23" s="471"/>
      <c r="G23" s="473"/>
      <c r="H23" s="471" t="s">
        <v>22</v>
      </c>
      <c r="I23" s="471"/>
      <c r="J23" s="471"/>
      <c r="K23" s="471"/>
      <c r="L23" s="471"/>
      <c r="M23" s="471"/>
      <c r="N23" s="94"/>
      <c r="O23" s="94"/>
      <c r="P23" s="94"/>
      <c r="Q23" s="94"/>
      <c r="R23" s="94"/>
      <c r="S23" s="94"/>
    </row>
    <row r="24" spans="1:19">
      <c r="A24" s="112" t="s">
        <v>105</v>
      </c>
      <c r="B24" s="113"/>
      <c r="C24" s="113"/>
      <c r="D24" s="63"/>
      <c r="E24" s="120"/>
      <c r="F24" s="120"/>
      <c r="G24" s="473"/>
      <c r="H24" s="112" t="s">
        <v>105</v>
      </c>
      <c r="I24" s="113"/>
      <c r="J24" s="113"/>
      <c r="K24" s="63"/>
      <c r="L24" s="120"/>
      <c r="M24" s="120"/>
      <c r="N24" s="119"/>
      <c r="O24" s="119"/>
      <c r="P24" s="119"/>
      <c r="Q24" s="119"/>
    </row>
    <row r="25" spans="1:19">
      <c r="A25" s="121" t="s">
        <v>71</v>
      </c>
      <c r="B25" s="122" t="s">
        <v>77</v>
      </c>
      <c r="C25" s="123"/>
      <c r="D25" s="124"/>
      <c r="E25" s="123"/>
      <c r="F25" s="123"/>
      <c r="G25" s="473"/>
      <c r="H25" s="121" t="s">
        <v>71</v>
      </c>
      <c r="I25" s="122" t="s">
        <v>77</v>
      </c>
      <c r="J25" s="123"/>
      <c r="K25" s="124"/>
      <c r="L25" s="123"/>
      <c r="M25" s="123"/>
      <c r="N25" s="119"/>
      <c r="O25" s="119"/>
      <c r="P25" s="119"/>
      <c r="Q25" s="119"/>
    </row>
    <row r="26" spans="1:19">
      <c r="A26" s="125" t="str">
        <f>CONCATENATE("SFY ",'2. Getting Started'!B6+3," Projected Child Count")</f>
        <v>SFY 2024 Projected Child Count</v>
      </c>
      <c r="B26" s="126" t="str">
        <f>IF('14. Year 4 Amounts'!B1="","",'14. Year 4 Amounts'!B1)</f>
        <v/>
      </c>
      <c r="C26" s="123"/>
      <c r="D26" s="124"/>
      <c r="E26" s="123"/>
      <c r="F26" s="123"/>
      <c r="G26" s="473"/>
      <c r="H26" s="125" t="str">
        <f>CONCATENATE("SFY ",'2. Getting Started'!B6+3," Child Count")</f>
        <v>SFY 2024 Child Count</v>
      </c>
      <c r="I26" s="126" t="str">
        <f>IF('14. Year 4 Amounts'!I1="","",'14. Year 4 Amounts'!I1)</f>
        <v/>
      </c>
      <c r="J26" s="123"/>
      <c r="K26" s="124"/>
      <c r="L26" s="123"/>
      <c r="M26" s="123"/>
      <c r="N26" s="119"/>
      <c r="O26" s="119"/>
      <c r="P26" s="119"/>
      <c r="Q26" s="119"/>
    </row>
    <row r="27" spans="1:19">
      <c r="A27" s="125" t="str">
        <f>CONCATENATE("SFY ",'2. Getting Started'!B6+2," Projected Child Count")</f>
        <v>SFY 2023 Projected Child Count</v>
      </c>
      <c r="B27" s="126">
        <f>IF('11. Year 3 Amounts'!B1="","",'11. Year 3 Amounts'!B1)</f>
        <v>0</v>
      </c>
      <c r="C27" s="119"/>
      <c r="D27" s="128"/>
      <c r="E27" s="119"/>
      <c r="F27" s="123"/>
      <c r="G27" s="473"/>
      <c r="H27" s="125" t="str">
        <f>CONCATENATE("SFY ",'2. Getting Started'!B6+2," Child Count")</f>
        <v>SFY 2023 Child Count</v>
      </c>
      <c r="I27" s="126">
        <f>IF('11. Year 3 Amounts'!I1="","",'11. Year 3 Amounts'!I1)</f>
        <v>0</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3"/>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3"/>
      <c r="H29" s="133" t="s">
        <v>79</v>
      </c>
      <c r="I29" s="134" t="str">
        <f>IF(I26="","",IF(I28&lt;=0,ABS(I28/I27),""))</f>
        <v/>
      </c>
      <c r="J29" s="135"/>
      <c r="K29" s="136"/>
      <c r="L29" s="135"/>
      <c r="M29" s="10"/>
      <c r="N29" s="137"/>
      <c r="O29" s="137"/>
      <c r="P29" s="138"/>
      <c r="Q29" s="138"/>
    </row>
    <row r="30" spans="1:19">
      <c r="A30" s="115" t="s">
        <v>71</v>
      </c>
      <c r="B30" s="116" t="s">
        <v>0</v>
      </c>
      <c r="C30" s="116" t="s">
        <v>2</v>
      </c>
      <c r="D30" s="10"/>
      <c r="E30" s="72"/>
      <c r="F30" s="72"/>
      <c r="G30" s="473"/>
      <c r="H30" s="115" t="s">
        <v>71</v>
      </c>
      <c r="I30" s="116" t="s">
        <v>75</v>
      </c>
      <c r="J30" s="116" t="s">
        <v>76</v>
      </c>
      <c r="K30" s="10"/>
      <c r="L30" s="72"/>
      <c r="M30" s="72"/>
      <c r="N30" s="138"/>
      <c r="O30" s="138"/>
    </row>
    <row r="31" spans="1:19">
      <c r="A31" s="139" t="str">
        <f>CONCATENATE("SFY ",'2. Getting Started'!B6+2," Budget")</f>
        <v>SFY 2023 Budget</v>
      </c>
      <c r="B31" s="140" t="str">
        <f>IF('11. Year 3 Amounts'!D30="","",'11. Year 3 Amounts'!D30)</f>
        <v/>
      </c>
      <c r="C31" s="140" t="str">
        <f>IF('11. Year 3 Amounts'!F30="","",'11. Year 3 Amounts'!F30)</f>
        <v/>
      </c>
      <c r="D31" s="141"/>
      <c r="E31" s="74"/>
      <c r="F31" s="74"/>
      <c r="G31" s="473"/>
      <c r="H31" s="139" t="str">
        <f>CONCATENATE("SFY ",'2. Getting Started'!B6+2," Final Expenditures")</f>
        <v>SFY 2023 Final Expenditures</v>
      </c>
      <c r="I31" s="140" t="str">
        <f>IF('11. Year 3 Amounts'!K30="","",'11. Year 3 Amounts'!K30)</f>
        <v/>
      </c>
      <c r="J31" s="140" t="str">
        <f>IF('11. Year 3 Amounts'!M30="","",'11. Year 3 Amounts'!M30)</f>
        <v/>
      </c>
      <c r="K31" s="142"/>
      <c r="L31" s="74"/>
      <c r="M31" s="74"/>
    </row>
    <row r="32" spans="1:19">
      <c r="A32" s="117" t="s">
        <v>80</v>
      </c>
      <c r="B32" s="143" t="str">
        <f>IF(OR($B26="",B29="",B31=""),"",($B29*B31))</f>
        <v/>
      </c>
      <c r="C32" s="143" t="str">
        <f>IF(OR($B26="",B29="",C31=""),"",($B29*C31))</f>
        <v/>
      </c>
      <c r="D32" s="142"/>
      <c r="E32" s="118"/>
      <c r="F32" s="118"/>
      <c r="G32" s="473"/>
      <c r="H32" s="117" t="s">
        <v>81</v>
      </c>
      <c r="I32" s="143" t="str">
        <f>IF(OR($I26="",I29="",I31=""),"",($I29*I31))</f>
        <v/>
      </c>
      <c r="J32" s="143" t="str">
        <f>IF(OR($I26="",I29="",J31=""),"",($I29*J31))</f>
        <v/>
      </c>
      <c r="K32" s="142"/>
      <c r="L32" s="118"/>
      <c r="M32" s="118"/>
    </row>
    <row r="33" spans="1:28" ht="16" thickBot="1">
      <c r="A33" s="470" t="s">
        <v>22</v>
      </c>
      <c r="B33" s="470"/>
      <c r="C33" s="470"/>
      <c r="D33" s="123"/>
      <c r="E33" s="123"/>
      <c r="F33" s="123"/>
      <c r="G33" s="473"/>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3"/>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3"/>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3"/>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3"/>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3"/>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3"/>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3"/>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3"/>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3"/>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3"/>
      <c r="H43" s="157" t="s">
        <v>90</v>
      </c>
      <c r="I43" s="158"/>
      <c r="J43" s="159">
        <f>SUM(J38:J42)</f>
        <v>0</v>
      </c>
      <c r="K43" s="144"/>
      <c r="L43" s="74"/>
      <c r="M43" s="72"/>
      <c r="P43" s="74"/>
      <c r="Q43" s="74"/>
      <c r="R43" s="74"/>
      <c r="S43" s="74"/>
      <c r="T43" s="74"/>
      <c r="U43" s="74"/>
      <c r="V43" s="74"/>
      <c r="W43" s="74"/>
      <c r="X43" s="74"/>
      <c r="Y43" s="74"/>
      <c r="Z43" s="74"/>
      <c r="AA43" s="74"/>
    </row>
    <row r="44" spans="1:28" ht="16" thickBot="1">
      <c r="A44" s="472" t="s">
        <v>22</v>
      </c>
      <c r="B44" s="472"/>
      <c r="C44" s="472"/>
      <c r="D44" s="72"/>
      <c r="E44" s="72"/>
      <c r="F44" s="72"/>
      <c r="G44" s="473"/>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3"/>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3"/>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3"/>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3"/>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3"/>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3"/>
      <c r="H50" s="194"/>
      <c r="I50" s="195"/>
      <c r="J50" s="144"/>
      <c r="K50" s="144"/>
      <c r="L50" s="72"/>
      <c r="M50" s="72"/>
    </row>
    <row r="51" spans="1:26" ht="60" customHeight="1">
      <c r="A51" s="194"/>
      <c r="B51" s="195"/>
      <c r="C51" s="144"/>
      <c r="D51" s="144"/>
      <c r="E51" s="162"/>
      <c r="F51" s="162"/>
      <c r="G51" s="473"/>
      <c r="H51" s="194"/>
      <c r="I51" s="195"/>
      <c r="J51" s="144"/>
      <c r="K51" s="144"/>
      <c r="L51" s="162"/>
      <c r="M51" s="162"/>
    </row>
    <row r="52" spans="1:26" ht="60" customHeight="1">
      <c r="A52" s="194"/>
      <c r="B52" s="195"/>
      <c r="C52" s="144"/>
      <c r="D52" s="144"/>
      <c r="E52" s="163"/>
      <c r="F52" s="163"/>
      <c r="G52" s="473"/>
      <c r="H52" s="194"/>
      <c r="I52" s="195"/>
      <c r="J52" s="144"/>
      <c r="K52" s="144"/>
      <c r="L52" s="163"/>
      <c r="M52" s="163"/>
    </row>
    <row r="53" spans="1:26">
      <c r="A53" s="164" t="s">
        <v>89</v>
      </c>
      <c r="B53" s="165">
        <f>SUM(B48:B52)</f>
        <v>0</v>
      </c>
      <c r="C53" s="144"/>
      <c r="D53" s="144"/>
      <c r="E53" s="74"/>
      <c r="G53" s="473"/>
      <c r="H53" s="166" t="s">
        <v>90</v>
      </c>
      <c r="I53" s="165">
        <f>SUM(I48:I52)</f>
        <v>0</v>
      </c>
      <c r="J53" s="144"/>
      <c r="K53" s="144"/>
      <c r="L53" s="74"/>
    </row>
    <row r="54" spans="1:26" ht="16" thickBot="1">
      <c r="A54" s="470" t="s">
        <v>22</v>
      </c>
      <c r="B54" s="470"/>
      <c r="C54" s="10"/>
      <c r="D54" s="72"/>
      <c r="E54" s="72"/>
      <c r="F54" s="72"/>
      <c r="G54" s="473"/>
      <c r="H54" s="470" t="s">
        <v>22</v>
      </c>
      <c r="I54" s="470"/>
      <c r="J54" s="10"/>
      <c r="K54" s="72"/>
      <c r="L54" s="72"/>
      <c r="M54" s="72"/>
    </row>
    <row r="55" spans="1:26">
      <c r="A55" s="167" t="str">
        <f>IF('3b. High Cost Fund'!B6="No","This exception is not valid in your state.","Exception (e) The assumption of cost by the high cost fund operated by the")</f>
        <v>Exception (e) The assumption of cost by the high cost fund operated by the</v>
      </c>
      <c r="B55" s="146"/>
      <c r="C55" s="147"/>
      <c r="D55" s="131"/>
      <c r="E55" s="131"/>
      <c r="F55" s="144"/>
      <c r="G55" s="473"/>
      <c r="H55" s="167" t="str">
        <f>IF('3b. High Cost Fund'!B6="No","This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Fund'!B6="No","","SEA under §300.704. MUST be explicitly permitted by the SEA.")</f>
        <v>SEA under §300.704. MUST be explicitly permitted by the SEA.</v>
      </c>
      <c r="B56" s="168"/>
      <c r="C56" s="169"/>
      <c r="D56" s="170"/>
      <c r="E56" s="163"/>
      <c r="F56" s="144"/>
      <c r="G56" s="473"/>
      <c r="H56" s="71" t="str">
        <f>IF('3b. High Cost Fund'!B6="No","","SEA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3"/>
      <c r="H57" s="352" t="s">
        <v>85</v>
      </c>
      <c r="I57" s="172" t="s">
        <v>97</v>
      </c>
      <c r="J57" s="118"/>
      <c r="K57" s="144"/>
      <c r="L57" s="144"/>
      <c r="M57" s="10"/>
    </row>
    <row r="58" spans="1:26" ht="15.4" customHeight="1">
      <c r="A58" s="196"/>
      <c r="B58" s="197"/>
      <c r="C58" s="337" t="str">
        <f>IF(AND(B58&lt;&gt;"",'3b. High Cost Fund'!$B6="No"),"Invalid entry. This exception is valid only in states with high-cost funds. If your state has a high-cost fund, please indicate that on tab 3b.","")</f>
        <v/>
      </c>
      <c r="D58" s="144"/>
      <c r="E58" s="144"/>
      <c r="F58" s="10"/>
      <c r="G58" s="473"/>
      <c r="H58" s="353"/>
      <c r="I58" s="197"/>
      <c r="J58" s="337" t="str">
        <f>IF(AND(I58&lt;&gt;"",'3b. High Cost Fund'!$B6="No"),"Invalid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3"/>
      <c r="H59" s="353"/>
      <c r="I59" s="197"/>
      <c r="J59" s="144"/>
      <c r="K59" s="10"/>
      <c r="L59" s="10"/>
      <c r="M59" s="10"/>
    </row>
    <row r="60" spans="1:26">
      <c r="A60" s="196"/>
      <c r="B60" s="197"/>
      <c r="C60" s="144"/>
      <c r="D60" s="10"/>
      <c r="E60" s="10"/>
      <c r="F60" s="10"/>
      <c r="G60" s="473"/>
      <c r="H60" s="353"/>
      <c r="I60" s="197"/>
      <c r="J60" s="144"/>
      <c r="K60" s="10"/>
      <c r="L60" s="10"/>
      <c r="M60" s="10"/>
    </row>
    <row r="61" spans="1:26">
      <c r="A61" s="196"/>
      <c r="B61" s="197"/>
      <c r="C61" s="144"/>
      <c r="D61" s="10"/>
      <c r="E61" s="10"/>
      <c r="F61" s="10"/>
      <c r="G61" s="473"/>
      <c r="H61" s="353"/>
      <c r="I61" s="197"/>
      <c r="J61" s="144"/>
      <c r="K61" s="10"/>
      <c r="L61" s="10"/>
      <c r="M61" s="10"/>
    </row>
    <row r="62" spans="1:26">
      <c r="A62" s="196"/>
      <c r="B62" s="197"/>
      <c r="C62" s="144"/>
      <c r="D62" s="10"/>
      <c r="E62" s="10"/>
      <c r="F62" s="10"/>
      <c r="G62" s="473"/>
      <c r="H62" s="353"/>
      <c r="I62" s="197"/>
      <c r="J62" s="144"/>
      <c r="K62" s="10"/>
      <c r="L62" s="10"/>
      <c r="M62" s="10"/>
    </row>
    <row r="63" spans="1:26">
      <c r="A63" s="173" t="s">
        <v>89</v>
      </c>
      <c r="B63" s="174">
        <f>IF('3b. High Cost Fund'!$B6="No",0,SUM(B58:B62))</f>
        <v>0</v>
      </c>
      <c r="C63" s="144"/>
      <c r="D63" s="10"/>
      <c r="E63" s="10"/>
      <c r="F63" s="10"/>
      <c r="G63" s="473"/>
      <c r="H63" s="354" t="s">
        <v>90</v>
      </c>
      <c r="I63" s="174">
        <f>IF('3b. High Cost Fund'!$B6="No",0,SUM(I58:I62))</f>
        <v>0</v>
      </c>
      <c r="J63" s="144"/>
      <c r="K63" s="10"/>
      <c r="L63" s="10"/>
      <c r="M63" s="10"/>
    </row>
    <row r="64" spans="1:26" ht="16" thickBot="1">
      <c r="A64" s="470" t="s">
        <v>22</v>
      </c>
      <c r="B64" s="470"/>
      <c r="C64" s="144"/>
      <c r="D64" s="10"/>
      <c r="E64" s="10"/>
      <c r="F64" s="10"/>
      <c r="G64" s="473"/>
      <c r="H64" s="470" t="s">
        <v>22</v>
      </c>
      <c r="I64" s="470"/>
      <c r="J64" s="144"/>
      <c r="K64" s="10"/>
      <c r="L64" s="10"/>
      <c r="M64" s="10"/>
    </row>
    <row r="65" spans="1:13">
      <c r="A65" s="347" t="s">
        <v>107</v>
      </c>
      <c r="B65" s="348"/>
      <c r="C65" s="144"/>
      <c r="D65" s="10"/>
      <c r="E65" s="10"/>
      <c r="F65" s="10"/>
      <c r="G65" s="473"/>
      <c r="H65" s="347" t="s">
        <v>106</v>
      </c>
      <c r="I65" s="348"/>
      <c r="J65" s="144"/>
      <c r="K65" s="10"/>
      <c r="L65" s="10"/>
      <c r="M65" s="10"/>
    </row>
    <row r="66" spans="1:13">
      <c r="A66" s="242" t="s">
        <v>123</v>
      </c>
      <c r="B66" s="265" t="s">
        <v>124</v>
      </c>
      <c r="C66" s="144"/>
      <c r="D66" s="10"/>
      <c r="E66" s="10"/>
      <c r="F66" s="10"/>
      <c r="G66" s="473"/>
      <c r="H66" s="269" t="s">
        <v>123</v>
      </c>
      <c r="I66" s="270" t="s">
        <v>124</v>
      </c>
      <c r="J66" s="144"/>
      <c r="K66" s="10"/>
      <c r="L66" s="10"/>
      <c r="M66" s="10"/>
    </row>
    <row r="67" spans="1:13">
      <c r="A67" s="103" t="s">
        <v>0</v>
      </c>
      <c r="B67" s="240">
        <f>IF(B$28&gt;=0,(F$22+C$43+B$53+B$63),(F$22+C$43+B$53+B$63+B$32))</f>
        <v>0</v>
      </c>
      <c r="C67" s="144"/>
      <c r="D67" s="10"/>
      <c r="E67" s="10"/>
      <c r="F67" s="10"/>
      <c r="G67" s="473"/>
      <c r="H67" s="103" t="s">
        <v>0</v>
      </c>
      <c r="I67" s="240">
        <f>IF(I$28&gt;=0,(M$22+J$43+I$53+I$63),(M$22+J$43+I$53+I$63+I$32))</f>
        <v>0</v>
      </c>
      <c r="J67" s="144"/>
      <c r="K67" s="10"/>
      <c r="L67" s="10"/>
      <c r="M67" s="10"/>
    </row>
    <row r="68" spans="1:13">
      <c r="A68" s="241" t="s">
        <v>2</v>
      </c>
      <c r="B68" s="174">
        <f>IF(B$28&gt;=0,(F$22+C$43+B$53+B$63),(F$22+C$43+B$53+B$63+C$32))</f>
        <v>0</v>
      </c>
      <c r="C68" s="144"/>
      <c r="D68" s="10"/>
      <c r="E68" s="10"/>
      <c r="F68" s="10"/>
      <c r="G68" s="473"/>
      <c r="H68" s="241" t="s">
        <v>2</v>
      </c>
      <c r="I68" s="174">
        <f>IF(I$28&gt;=0,(M$22+J$43+I$53+I$63),(M$22+J$43+I$53+I$63+J$32))</f>
        <v>0</v>
      </c>
      <c r="J68" s="144"/>
      <c r="K68" s="10"/>
      <c r="L68" s="10"/>
      <c r="M68" s="10"/>
    </row>
    <row r="69" spans="1:13" ht="16" thickBot="1">
      <c r="A69" s="474" t="s">
        <v>22</v>
      </c>
      <c r="B69" s="474"/>
      <c r="C69" s="10"/>
      <c r="D69" s="10"/>
      <c r="E69" s="10"/>
      <c r="F69" s="10"/>
      <c r="G69" s="473"/>
      <c r="H69" s="474" t="s">
        <v>22</v>
      </c>
      <c r="I69" s="474"/>
      <c r="J69" s="10"/>
      <c r="K69" s="10"/>
      <c r="L69" s="10"/>
      <c r="M69" s="10"/>
    </row>
    <row r="70" spans="1:13" ht="31.15" customHeight="1">
      <c r="A70" s="336" t="s">
        <v>98</v>
      </c>
      <c r="B70" s="177"/>
      <c r="C70" s="11"/>
      <c r="D70" s="178"/>
      <c r="E70" s="10"/>
      <c r="F70" s="10"/>
      <c r="G70" s="473"/>
      <c r="H70" s="336" t="s">
        <v>98</v>
      </c>
      <c r="I70" s="177"/>
      <c r="J70" s="11"/>
      <c r="K70" s="178"/>
      <c r="L70" s="10"/>
      <c r="M70" s="10"/>
    </row>
    <row r="71" spans="1:13">
      <c r="A71" s="179" t="s">
        <v>71</v>
      </c>
      <c r="B71" s="180" t="s">
        <v>99</v>
      </c>
      <c r="C71" s="11" t="s">
        <v>100</v>
      </c>
      <c r="E71" s="10"/>
      <c r="F71" s="10"/>
      <c r="G71" s="473"/>
      <c r="H71" s="179" t="s">
        <v>71</v>
      </c>
      <c r="I71" s="180" t="s">
        <v>101</v>
      </c>
      <c r="J71" s="11" t="s">
        <v>100</v>
      </c>
      <c r="K71" s="10"/>
      <c r="L71" s="10"/>
      <c r="M71" s="10"/>
    </row>
    <row r="72" spans="1:13">
      <c r="A72" s="181" t="s">
        <v>102</v>
      </c>
      <c r="B72" s="198">
        <v>0</v>
      </c>
      <c r="C72" s="182" t="s">
        <v>103</v>
      </c>
      <c r="D72" s="10"/>
      <c r="E72" s="10"/>
      <c r="F72" s="10"/>
      <c r="G72" s="473"/>
      <c r="H72" s="181" t="s">
        <v>104</v>
      </c>
      <c r="I72" s="198">
        <v>0</v>
      </c>
      <c r="J72" s="182" t="s">
        <v>103</v>
      </c>
      <c r="K72" s="10"/>
      <c r="L72" s="10"/>
      <c r="M72" s="10"/>
    </row>
    <row r="73" spans="1:13" ht="30" customHeight="1">
      <c r="A73" s="345" t="s">
        <v>183</v>
      </c>
      <c r="B73" s="183"/>
      <c r="C73" s="183"/>
      <c r="D73" s="183"/>
      <c r="E73" s="183"/>
      <c r="F73" s="183"/>
      <c r="G73" s="473"/>
      <c r="H73" s="183"/>
      <c r="I73" s="183"/>
      <c r="J73" s="183"/>
      <c r="K73" s="183"/>
      <c r="L73" s="183"/>
      <c r="M73" s="183"/>
    </row>
    <row r="74" spans="1:13" s="185" customFormat="1">
      <c r="A74" s="358" t="s">
        <v>182</v>
      </c>
      <c r="B74" s="184"/>
      <c r="C74" s="184"/>
      <c r="D74" s="184"/>
      <c r="E74" s="184"/>
      <c r="F74" s="184"/>
      <c r="G74" s="473"/>
      <c r="H74" s="184"/>
      <c r="I74" s="184"/>
      <c r="J74" s="184"/>
      <c r="K74" s="184"/>
      <c r="L74" s="184"/>
      <c r="M74" s="184"/>
    </row>
    <row r="75" spans="1:13">
      <c r="A75" s="469" t="s">
        <v>24</v>
      </c>
      <c r="B75" s="469"/>
      <c r="C75" s="469"/>
      <c r="D75" s="469"/>
      <c r="E75" s="469"/>
      <c r="F75" s="469"/>
      <c r="G75" s="469"/>
      <c r="H75" s="469"/>
      <c r="I75" s="469"/>
      <c r="J75" s="469"/>
      <c r="K75" s="469"/>
      <c r="L75" s="469"/>
      <c r="M75" s="469"/>
    </row>
  </sheetData>
  <sheetProtection algorithmName="SHA-512" hashValue="5i/oNPGHkYmpmVsAq6O48+YX1KOGO5sCIWFwKbmEjM+Edmp0gb08rdCcTk7v+RIFSaGFmYAhADMBfxPNy062aQ==" saltValue="BOUqIdP/oCTQjchZMI0WeQ=="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220" priority="2" operator="containsText" text="not valid">
      <formula>NOT(ISERROR(SEARCH("not valid",A55)))</formula>
    </cfRule>
  </conditionalFormatting>
  <conditionalFormatting sqref="H55">
    <cfRule type="containsText" dxfId="219" priority="1" operator="containsText" text="not valid">
      <formula>NOT(ISERROR(SEARCH("not valid",H55)))</formula>
    </cfRule>
  </conditionalFormatting>
  <dataValidations count="1">
    <dataValidation type="list" allowBlank="1" showInputMessage="1" showErrorMessage="1" sqref="B38:B42 I38:I42" xr:uid="{00000000-0002-0000-1000-000000000000}">
      <formula1>Exception_c</formula1>
    </dataValidation>
  </dataValidations>
  <hyperlinks>
    <hyperlink ref="C72" r:id="rId1" xr:uid="{00000000-0004-0000-1000-000000000000}"/>
    <hyperlink ref="J72" r:id="rId2" xr:uid="{00000000-0004-0000-1000-000001000000}"/>
    <hyperlink ref="A74" r:id="rId3" xr:uid="{00000000-0004-0000-10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40</vt:i4>
      </vt:variant>
    </vt:vector>
  </HeadingPairs>
  <TitlesOfParts>
    <vt:vector size="89" baseType="lpstr">
      <vt:lpstr>1. Title Page</vt:lpstr>
      <vt:lpstr>CCDDD#</vt:lpstr>
      <vt:lpstr>43. SEA Guidance</vt:lpstr>
      <vt:lpstr>2. Getting Started</vt:lpstr>
      <vt:lpstr>3a. Intervening Years</vt:lpstr>
      <vt:lpstr>3b. High Cost Fund</vt:lpstr>
      <vt:lpstr>4. Multi-Year MOE Summary</vt:lpstr>
      <vt:lpstr>14. Year 4 Amounts</vt:lpstr>
      <vt:lpstr>15. Year 4 Exc &amp; Adj</vt:lpstr>
      <vt:lpstr>16. Year 4 Summary</vt:lpstr>
      <vt:lpstr>11. Year 3 Amounts</vt:lpstr>
      <vt:lpstr>12. Year 3 Exc &amp; Adj</vt:lpstr>
      <vt:lpstr>8. Year 2 Amounts</vt:lpstr>
      <vt:lpstr>9. Year 2 Exc &amp; Adj</vt:lpstr>
      <vt:lpstr>5. Year 1 Amounts</vt:lpstr>
      <vt:lpstr>6. Year 1 Exc &amp; Adj</vt:lpstr>
      <vt:lpstr>7. Year 1 Summary</vt:lpstr>
      <vt:lpstr>10. Year 2 Summary</vt:lpstr>
      <vt:lpstr>13. Year 3 Summary</vt:lpstr>
      <vt:lpstr>17. Year 5 Amounts</vt:lpstr>
      <vt:lpstr>18. Year 5 Exc &amp; Adj</vt:lpstr>
      <vt:lpstr>19. Year 5 Summary</vt:lpstr>
      <vt:lpstr>20. Year 6 Amounts</vt:lpstr>
      <vt:lpstr>21. Year 6 Exc &amp; Adj</vt:lpstr>
      <vt:lpstr>22. Year 6 Summary</vt:lpstr>
      <vt:lpstr>23. Year 7 Amounts</vt:lpstr>
      <vt:lpstr>24. Year 7 Exc &amp; Adj</vt:lpstr>
      <vt:lpstr>25. Year 7 Summary</vt:lpstr>
      <vt:lpstr>26. Year 8 Amounts</vt:lpstr>
      <vt:lpstr>27. Year 8 Exc &amp; Adj</vt:lpstr>
      <vt:lpstr>28. Year 8 Summary</vt:lpstr>
      <vt:lpstr>29. Year 9 Amounts</vt:lpstr>
      <vt:lpstr>30. Year 9 Exc &amp; Adj</vt:lpstr>
      <vt:lpstr>31. Year 9 Summary</vt:lpstr>
      <vt:lpstr>32. Year 10 Amounts</vt:lpstr>
      <vt:lpstr>33. Year 10 Exc &amp; Adj</vt:lpstr>
      <vt:lpstr>34. Year 10 Summary</vt:lpstr>
      <vt:lpstr>35. Year 11 Amounts</vt:lpstr>
      <vt:lpstr>36. Year 11 Exc &amp; Adj</vt:lpstr>
      <vt:lpstr>37. Year 11 Summary</vt:lpstr>
      <vt:lpstr>38. Total Local Funds</vt:lpstr>
      <vt:lpstr>39. Total State &amp; Local Funds</vt:lpstr>
      <vt:lpstr>40. Local Funds Per Capita</vt:lpstr>
      <vt:lpstr>41. State &amp; Local Funds Per Cap</vt:lpstr>
      <vt:lpstr>42. SEA or LEA Worksheet</vt:lpstr>
      <vt:lpstr>compliance</vt:lpstr>
      <vt:lpstr>21-22 state &amp; local</vt:lpstr>
      <vt:lpstr>21-22 child count</vt:lpstr>
      <vt:lpstr>22-23 child count</vt:lpstr>
      <vt:lpstr>Exception_c</vt:lpstr>
      <vt:lpstr>'4. Multi-Year MOE Summary'!Print_Area</vt:lpstr>
      <vt:lpstr>'10. Year 2 Summary'!Print_Titles</vt:lpstr>
      <vt:lpstr>'11. Year 3 Amounts'!Print_Titles</vt:lpstr>
      <vt:lpstr>'12. Year 3 Exc &amp; Adj'!Print_Titles</vt:lpstr>
      <vt:lpstr>'13. Year 3 Summary'!Print_Titles</vt:lpstr>
      <vt:lpstr>'14. Year 4 Amounts'!Print_Titles</vt:lpstr>
      <vt:lpstr>'15. Year 4 Exc &amp; Adj'!Print_Titles</vt:lpstr>
      <vt:lpstr>'16. Year 4 Summary'!Print_Titles</vt:lpstr>
      <vt:lpstr>'17. Year 5 Amounts'!Print_Titles</vt:lpstr>
      <vt:lpstr>'18. Year 5 Exc &amp; Adj'!Print_Titles</vt:lpstr>
      <vt:lpstr>'19. Year 5 Summary'!Print_Titles</vt:lpstr>
      <vt:lpstr>'20. Year 6 Amounts'!Print_Titles</vt:lpstr>
      <vt:lpstr>'21. Year 6 Exc &amp; Adj'!Print_Titles</vt:lpstr>
      <vt:lpstr>'22. Year 6 Summary'!Print_Titles</vt:lpstr>
      <vt:lpstr>'23. Year 7 Amounts'!Print_Titles</vt:lpstr>
      <vt:lpstr>'24. Year 7 Exc &amp; Adj'!Print_Titles</vt:lpstr>
      <vt:lpstr>'25. Year 7 Summary'!Print_Titles</vt:lpstr>
      <vt:lpstr>'26. Year 8 Amounts'!Print_Titles</vt:lpstr>
      <vt:lpstr>'27. Year 8 Exc &amp; Adj'!Print_Titles</vt:lpstr>
      <vt:lpstr>'28. Year 8 Summary'!Print_Titles</vt:lpstr>
      <vt:lpstr>'29. Year 9 Amounts'!Print_Titles</vt:lpstr>
      <vt:lpstr>'30. Year 9 Exc &amp; Adj'!Print_Titles</vt:lpstr>
      <vt:lpstr>'31. Year 9 Summary'!Print_Titles</vt:lpstr>
      <vt:lpstr>'32. Year 10 Amounts'!Print_Titles</vt:lpstr>
      <vt:lpstr>'33. Year 10 Exc &amp; Adj'!Print_Titles</vt:lpstr>
      <vt:lpstr>'34. Year 10 Summary'!Print_Titles</vt:lpstr>
      <vt:lpstr>'35. Year 11 Amounts'!Print_Titles</vt:lpstr>
      <vt:lpstr>'36. Year 11 Exc &amp; Adj'!Print_Titles</vt:lpstr>
      <vt:lpstr>'37. Year 11 Summary'!Print_Titles</vt:lpstr>
      <vt:lpstr>'38. Total Local Funds'!Print_Titles</vt:lpstr>
      <vt:lpstr>'39. Total State &amp; Local Funds'!Print_Titles</vt:lpstr>
      <vt:lpstr>'4. Multi-Year MOE Summary'!Print_Titles</vt:lpstr>
      <vt:lpstr>'40. Local Funds Per Capita'!Print_Titles</vt:lpstr>
      <vt:lpstr>'41. State &amp; Local Funds Per Cap'!Print_Titles</vt:lpstr>
      <vt:lpstr>'5. Year 1 Amounts'!Print_Titles</vt:lpstr>
      <vt:lpstr>'6. Year 1 Exc &amp; Adj'!Print_Titles</vt:lpstr>
      <vt:lpstr>'7. Year 1 Summary'!Print_Titles</vt:lpstr>
      <vt:lpstr>'8. Year 2 Amounts'!Print_Titles</vt:lpstr>
      <vt:lpstr>'9. Year 2 Exc &amp; Adj'!Print_Titles</vt:lpstr>
    </vt:vector>
  </TitlesOfParts>
  <Company>Westat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LEA MOE Calculator 2.0</dc:title>
  <dc:subject>Special Education Maintenance of Effort</dc:subject>
  <dc:creator>CIFR</dc:creator>
  <cp:keywords>LEA MOE, Calculator, Fiscal Monitoring, CIFR, IDEA</cp:keywords>
  <cp:lastModifiedBy>Sandy Grummick</cp:lastModifiedBy>
  <cp:lastPrinted>2021-05-03T15:30:13Z</cp:lastPrinted>
  <dcterms:created xsi:type="dcterms:W3CDTF">2020-09-22T15:25:03Z</dcterms:created>
  <dcterms:modified xsi:type="dcterms:W3CDTF">2023-09-07T14:05:28Z</dcterms:modified>
  <cp:category>Special Education, MOE,</cp:category>
</cp:coreProperties>
</file>