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ortionment\Apport\BULLETIN\PERS\2019-2020\FinalPSR\"/>
    </mc:Choice>
  </mc:AlternateContent>
  <bookViews>
    <workbookView xWindow="0" yWindow="0" windowWidth="25200" windowHeight="13140" tabRatio="485" firstSheet="2" activeTab="7"/>
  </bookViews>
  <sheets>
    <sheet name="Table1" sheetId="1" r:id="rId1"/>
    <sheet name="Table2" sheetId="2" r:id="rId2"/>
    <sheet name="Table3" sheetId="4" r:id="rId3"/>
    <sheet name="Table3WS1" sheetId="5" r:id="rId4"/>
    <sheet name="Table3WS2" sheetId="6" r:id="rId5"/>
    <sheet name="Table4" sheetId="8" r:id="rId6"/>
    <sheet name="Table4ws" sheetId="9" r:id="rId7"/>
    <sheet name="Table5_6" sheetId="10" r:id="rId8"/>
    <sheet name="Table5_6ws1" sheetId="11" r:id="rId9"/>
    <sheet name="table7" sheetId="17" r:id="rId10"/>
  </sheets>
  <definedNames>
    <definedName name="_xlnm._FilterDatabase" localSheetId="8" hidden="1">Table5_6ws1!$A$5:$Q$699</definedName>
    <definedName name="_xlnm._FilterDatabase" localSheetId="9" hidden="1">table7!$A$6:$K$6</definedName>
    <definedName name="_xlnm.Print_Area" localSheetId="0">Table1!$A$1:$L$97</definedName>
    <definedName name="_xlnm.Print_Area" localSheetId="7">Table5_6!$A$1:$I$63</definedName>
    <definedName name="_xlnm.Print_Titles" localSheetId="6">Table4ws!$A:$A</definedName>
    <definedName name="_xlnm.Print_Titles" localSheetId="8">Table5_6ws1!$1:$5</definedName>
  </definedNames>
  <calcPr calcId="162913"/>
</workbook>
</file>

<file path=xl/calcChain.xml><?xml version="1.0" encoding="utf-8"?>
<calcChain xmlns="http://schemas.openxmlformats.org/spreadsheetml/2006/main">
  <c r="D58" i="10" l="1"/>
  <c r="D43" i="10"/>
  <c r="D28" i="10"/>
  <c r="D94" i="10"/>
  <c r="K694" i="11" l="1"/>
  <c r="J694" i="11"/>
  <c r="I184" i="11"/>
  <c r="H184" i="11"/>
  <c r="Q370" i="11"/>
  <c r="P370" i="11"/>
  <c r="K370" i="11"/>
  <c r="J370" i="11"/>
  <c r="G370" i="11"/>
  <c r="F370" i="11"/>
  <c r="Q139" i="11"/>
  <c r="P139" i="11"/>
  <c r="K139" i="11"/>
  <c r="J139" i="11"/>
  <c r="G139" i="11"/>
  <c r="F139" i="11"/>
  <c r="O67" i="1"/>
  <c r="D34" i="5" l="1"/>
  <c r="FB28" i="9" l="1"/>
  <c r="FB22" i="9"/>
  <c r="EZ19" i="9"/>
  <c r="EZ20" i="9"/>
  <c r="EZ22" i="9"/>
  <c r="FB31" i="9" l="1"/>
  <c r="FB29" i="9"/>
  <c r="Q698" i="11" l="1"/>
  <c r="P698" i="11"/>
  <c r="Q571" i="11"/>
  <c r="P571" i="11"/>
  <c r="Q184" i="11"/>
  <c r="P184" i="11"/>
  <c r="M208" i="11"/>
  <c r="L208" i="11"/>
  <c r="K208" i="11"/>
  <c r="J208" i="11"/>
  <c r="G466" i="11" l="1"/>
  <c r="I694" i="11"/>
  <c r="H694" i="11"/>
  <c r="K652" i="11"/>
  <c r="J652" i="11"/>
  <c r="I652" i="11"/>
  <c r="H652" i="11"/>
  <c r="I605" i="11"/>
  <c r="H605" i="11"/>
  <c r="K508" i="11"/>
  <c r="J508" i="11"/>
  <c r="I508" i="11"/>
  <c r="H508" i="11"/>
  <c r="I441" i="11"/>
  <c r="H441" i="11"/>
  <c r="K379" i="11"/>
  <c r="J379" i="11"/>
  <c r="I379" i="11"/>
  <c r="H379" i="11"/>
  <c r="M286" i="11"/>
  <c r="L286" i="11"/>
  <c r="K286" i="11"/>
  <c r="J286" i="11"/>
  <c r="I286" i="11"/>
  <c r="H286" i="11"/>
  <c r="I139" i="11"/>
  <c r="H139" i="11"/>
  <c r="F331" i="11"/>
  <c r="Q481" i="11"/>
  <c r="P481" i="11"/>
  <c r="K481" i="11"/>
  <c r="J481" i="11"/>
  <c r="G481" i="11"/>
  <c r="F481" i="11"/>
  <c r="Q466" i="11"/>
  <c r="P466" i="11"/>
  <c r="K466" i="11"/>
  <c r="J466" i="11"/>
  <c r="F466" i="11"/>
  <c r="Q461" i="11"/>
  <c r="P461" i="11"/>
  <c r="K461" i="11"/>
  <c r="J461" i="11"/>
  <c r="I461" i="11"/>
  <c r="H461" i="11"/>
  <c r="G461" i="11"/>
  <c r="F461" i="11"/>
  <c r="Q421" i="11"/>
  <c r="P421" i="11"/>
  <c r="K421" i="11"/>
  <c r="J421" i="11"/>
  <c r="G421" i="11"/>
  <c r="F421" i="11"/>
  <c r="Q331" i="11"/>
  <c r="P331" i="11"/>
  <c r="K331" i="11"/>
  <c r="J331" i="11"/>
  <c r="G331" i="11"/>
  <c r="Q311" i="11"/>
  <c r="P311" i="11"/>
  <c r="M311" i="11"/>
  <c r="L311" i="11"/>
  <c r="H311" i="11"/>
  <c r="J311" i="11"/>
  <c r="K311" i="11"/>
  <c r="I311" i="11"/>
  <c r="G311" i="11"/>
  <c r="F311" i="11"/>
  <c r="Q121" i="11"/>
  <c r="P121" i="11"/>
  <c r="M121" i="11"/>
  <c r="L121" i="11"/>
  <c r="K121" i="11"/>
  <c r="J121" i="11"/>
  <c r="G121" i="11"/>
  <c r="F121" i="11"/>
  <c r="Q69" i="11"/>
  <c r="P69" i="11"/>
  <c r="K69" i="11"/>
  <c r="J69" i="11"/>
  <c r="I69" i="11"/>
  <c r="H69" i="11"/>
  <c r="G69" i="11"/>
  <c r="F69" i="11"/>
  <c r="F234" i="11"/>
  <c r="G234" i="11"/>
  <c r="J234" i="11"/>
  <c r="K234" i="11"/>
  <c r="O234" i="11" s="1"/>
  <c r="P234" i="11"/>
  <c r="Q234" i="11"/>
  <c r="N239" i="11"/>
  <c r="O239" i="11"/>
  <c r="P239" i="11"/>
  <c r="Q239" i="11"/>
  <c r="N234" i="11" l="1"/>
  <c r="FB21" i="9"/>
  <c r="B54" i="8" s="1"/>
  <c r="EZ21" i="9"/>
  <c r="EZ23" i="9" s="1"/>
  <c r="EZ33" i="9" s="1"/>
  <c r="FC17" i="9"/>
  <c r="FC15" i="9"/>
  <c r="FC13" i="9"/>
  <c r="FC11" i="9"/>
  <c r="FC9" i="9"/>
  <c r="FC8" i="9"/>
  <c r="O66" i="1"/>
  <c r="O65" i="1"/>
  <c r="D66" i="1"/>
  <c r="B66" i="1"/>
  <c r="FC21" i="9" l="1"/>
  <c r="FB23" i="9"/>
  <c r="FB25" i="9" s="1"/>
  <c r="B53" i="8"/>
  <c r="I67" i="1"/>
  <c r="I66" i="1"/>
  <c r="F66" i="1"/>
  <c r="M53" i="8" l="1"/>
  <c r="J53" i="8"/>
  <c r="FC23" i="9"/>
  <c r="K53" i="8"/>
  <c r="F53" i="8"/>
  <c r="G53" i="8"/>
  <c r="E53" i="8"/>
  <c r="H53" i="8"/>
  <c r="C53" i="8"/>
  <c r="D53" i="8"/>
  <c r="L66" i="1"/>
  <c r="K536" i="11"/>
  <c r="J536" i="11"/>
  <c r="G536" i="11"/>
  <c r="F536" i="11"/>
  <c r="L53" i="8" l="1"/>
  <c r="EU33" i="9"/>
  <c r="EW28" i="9"/>
  <c r="EU22" i="9"/>
  <c r="EU20" i="9"/>
  <c r="EU19" i="9"/>
  <c r="EW31" i="9"/>
  <c r="EW29" i="9"/>
  <c r="EW22" i="9"/>
  <c r="K589" i="11" l="1"/>
  <c r="J589" i="11"/>
  <c r="Q694" i="11"/>
  <c r="P694" i="11"/>
  <c r="G694" i="11"/>
  <c r="F694" i="11"/>
  <c r="K541" i="11"/>
  <c r="J541" i="11"/>
  <c r="G541" i="11"/>
  <c r="F541" i="11"/>
  <c r="Q508" i="11"/>
  <c r="P508" i="11"/>
  <c r="G508" i="11"/>
  <c r="F508" i="11"/>
  <c r="Q226" i="11"/>
  <c r="P226" i="11"/>
  <c r="K226" i="11"/>
  <c r="J226" i="11"/>
  <c r="I226" i="11"/>
  <c r="H226" i="11"/>
  <c r="G226" i="11"/>
  <c r="F226" i="11"/>
  <c r="I589" i="11"/>
  <c r="H589" i="11"/>
  <c r="O226" i="11" l="1"/>
  <c r="N226" i="11"/>
  <c r="M357" i="11"/>
  <c r="L357" i="11"/>
  <c r="K357" i="11"/>
  <c r="J357" i="11"/>
  <c r="G357" i="11"/>
  <c r="F357" i="11"/>
  <c r="Q88" i="11"/>
  <c r="P88" i="11"/>
  <c r="K88" i="11"/>
  <c r="J88" i="11"/>
  <c r="G88" i="11"/>
  <c r="F88" i="11"/>
  <c r="Q42" i="11"/>
  <c r="P42" i="11"/>
  <c r="M42" i="11"/>
  <c r="L42" i="11"/>
  <c r="K42" i="11"/>
  <c r="J42" i="11"/>
  <c r="I42" i="11"/>
  <c r="H42" i="11"/>
  <c r="G42" i="11"/>
  <c r="F42" i="11"/>
  <c r="O42" i="11" l="1"/>
  <c r="N42" i="11"/>
  <c r="B47" i="6" l="1"/>
  <c r="AQ48" i="4"/>
  <c r="EW21" i="9" l="1"/>
  <c r="EW23" i="9" s="1"/>
  <c r="EU21" i="9"/>
  <c r="EX17" i="9"/>
  <c r="EX15" i="9"/>
  <c r="EX13" i="9"/>
  <c r="EX11" i="9"/>
  <c r="EX9" i="9"/>
  <c r="EX8" i="9"/>
  <c r="AQ67" i="4"/>
  <c r="AQ66" i="4"/>
  <c r="AQ63" i="4"/>
  <c r="AQ58" i="4"/>
  <c r="AQ57" i="4"/>
  <c r="AQ54" i="4"/>
  <c r="AQ49" i="4"/>
  <c r="M67" i="2"/>
  <c r="L67" i="2"/>
  <c r="P705" i="11" s="1"/>
  <c r="K67" i="2"/>
  <c r="J67" i="2"/>
  <c r="F705" i="11" s="1"/>
  <c r="I65" i="1"/>
  <c r="F65" i="1"/>
  <c r="F67" i="1"/>
  <c r="H66" i="1" l="1"/>
  <c r="K66" i="1"/>
  <c r="G66" i="1"/>
  <c r="J66" i="1"/>
  <c r="EW25" i="9"/>
  <c r="J54" i="8"/>
  <c r="L67" i="1"/>
  <c r="L64" i="1"/>
  <c r="L63" i="1"/>
  <c r="L65" i="1"/>
  <c r="AQ64" i="4"/>
  <c r="Q705" i="11"/>
  <c r="D67" i="1"/>
  <c r="K67" i="1" s="1"/>
  <c r="G705" i="11"/>
  <c r="B67" i="1"/>
  <c r="J67" i="1" s="1"/>
  <c r="EX21" i="9"/>
  <c r="EU23" i="9"/>
  <c r="AQ55" i="4"/>
  <c r="EP33" i="9"/>
  <c r="ER29" i="9"/>
  <c r="ER31" i="9"/>
  <c r="ER19" i="9"/>
  <c r="ER22" i="9"/>
  <c r="EP23" i="9"/>
  <c r="EP22" i="9"/>
  <c r="EP20" i="9"/>
  <c r="EP19" i="9"/>
  <c r="G67" i="1" l="1"/>
  <c r="EX23" i="9"/>
  <c r="H54" i="8"/>
  <c r="G54" i="8"/>
  <c r="M54" i="8"/>
  <c r="K54" i="8"/>
  <c r="H67" i="1"/>
  <c r="M626" i="11"/>
  <c r="L626" i="11"/>
  <c r="K626" i="11"/>
  <c r="J626" i="11"/>
  <c r="I626" i="11"/>
  <c r="H626" i="11"/>
  <c r="K403" i="11"/>
  <c r="J403" i="11"/>
  <c r="I403" i="11"/>
  <c r="H403" i="11"/>
  <c r="Q441" i="11"/>
  <c r="P441" i="11"/>
  <c r="G441" i="11"/>
  <c r="F441" i="11"/>
  <c r="Q379" i="11"/>
  <c r="P379" i="11"/>
  <c r="G379" i="11"/>
  <c r="F379" i="11"/>
  <c r="Q286" i="11"/>
  <c r="P286" i="11"/>
  <c r="G286" i="11"/>
  <c r="F286" i="11"/>
  <c r="Q160" i="11"/>
  <c r="P160" i="11"/>
  <c r="D85" i="10" s="1"/>
  <c r="K160" i="11"/>
  <c r="J160" i="11"/>
  <c r="G160" i="11"/>
  <c r="F160" i="11"/>
  <c r="E85" i="10" l="1"/>
  <c r="K524" i="11"/>
  <c r="J524" i="11"/>
  <c r="O64" i="1" l="1"/>
  <c r="O63" i="1"/>
  <c r="I64" i="1"/>
  <c r="D64" i="1"/>
  <c r="K64" i="1" s="1"/>
  <c r="B64" i="1"/>
  <c r="J64" i="1" s="1"/>
  <c r="G51" i="8"/>
  <c r="F64" i="1"/>
  <c r="B52" i="8"/>
  <c r="B51" i="8"/>
  <c r="J51" i="8" s="1"/>
  <c r="ER21" i="9"/>
  <c r="EP21" i="9"/>
  <c r="ES17" i="9"/>
  <c r="ES15" i="9"/>
  <c r="ES13" i="9"/>
  <c r="ES11" i="9"/>
  <c r="ES9" i="9"/>
  <c r="ES8" i="9"/>
  <c r="B58" i="10"/>
  <c r="D38" i="10"/>
  <c r="F38" i="10" s="1"/>
  <c r="H38" i="10" s="1"/>
  <c r="D699" i="11"/>
  <c r="O709" i="11" s="1"/>
  <c r="K729" i="11"/>
  <c r="J729" i="11"/>
  <c r="G729" i="11"/>
  <c r="F729" i="11"/>
  <c r="K716" i="11"/>
  <c r="J716" i="11"/>
  <c r="G716" i="11"/>
  <c r="F716" i="11"/>
  <c r="EK22" i="9"/>
  <c r="EK20" i="9"/>
  <c r="EK19" i="9"/>
  <c r="D4" i="5"/>
  <c r="E4" i="5"/>
  <c r="F4" i="5"/>
  <c r="D5" i="5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D11" i="10" s="1"/>
  <c r="E746" i="11" s="1"/>
  <c r="E30" i="5"/>
  <c r="F30" i="5"/>
  <c r="E11" i="10" s="1"/>
  <c r="G11" i="10" s="1"/>
  <c r="I11" i="10" s="1"/>
  <c r="F63" i="1"/>
  <c r="Q425" i="11"/>
  <c r="Q721" i="11" s="1"/>
  <c r="P425" i="11"/>
  <c r="P721" i="11" s="1"/>
  <c r="K721" i="11"/>
  <c r="J721" i="11"/>
  <c r="D52" i="10"/>
  <c r="F52" i="10" s="1"/>
  <c r="H52" i="10" s="1"/>
  <c r="G713" i="11"/>
  <c r="F713" i="11"/>
  <c r="G652" i="11"/>
  <c r="K262" i="11"/>
  <c r="K715" i="11" s="1"/>
  <c r="J262" i="11"/>
  <c r="N262" i="11" s="1"/>
  <c r="N715" i="11" s="1"/>
  <c r="G262" i="11"/>
  <c r="G715" i="11" s="1"/>
  <c r="F262" i="11"/>
  <c r="F715" i="11" s="1"/>
  <c r="Q259" i="11"/>
  <c r="P259" i="11"/>
  <c r="K259" i="11"/>
  <c r="J259" i="11"/>
  <c r="I259" i="11"/>
  <c r="H259" i="11"/>
  <c r="G259" i="11"/>
  <c r="F259" i="11"/>
  <c r="Q528" i="11"/>
  <c r="Q728" i="11" s="1"/>
  <c r="P528" i="11"/>
  <c r="P728" i="11" s="1"/>
  <c r="Q727" i="11"/>
  <c r="P727" i="11"/>
  <c r="Q723" i="11"/>
  <c r="P723" i="11"/>
  <c r="D23" i="10"/>
  <c r="F23" i="10" s="1"/>
  <c r="H23" i="10" s="1"/>
  <c r="K441" i="11"/>
  <c r="K722" i="11" s="1"/>
  <c r="J441" i="11"/>
  <c r="J722" i="11" s="1"/>
  <c r="M722" i="11"/>
  <c r="I713" i="11"/>
  <c r="H713" i="11"/>
  <c r="EH31" i="9"/>
  <c r="EH22" i="9"/>
  <c r="EF22" i="9"/>
  <c r="EF20" i="9"/>
  <c r="EM31" i="9"/>
  <c r="EM22" i="9"/>
  <c r="D63" i="1"/>
  <c r="B63" i="1"/>
  <c r="Q54" i="6"/>
  <c r="EM21" i="9"/>
  <c r="EM23" i="9" s="1"/>
  <c r="EK33" i="9" s="1"/>
  <c r="EK21" i="9"/>
  <c r="EN17" i="9"/>
  <c r="EN15" i="9"/>
  <c r="EN13" i="9"/>
  <c r="EN11" i="9"/>
  <c r="EN9" i="9"/>
  <c r="EN8" i="9"/>
  <c r="I63" i="1"/>
  <c r="K184" i="11"/>
  <c r="E49" i="10" s="1"/>
  <c r="J184" i="11"/>
  <c r="D49" i="10" s="1"/>
  <c r="I716" i="11"/>
  <c r="H716" i="11"/>
  <c r="Q736" i="11"/>
  <c r="P736" i="11"/>
  <c r="K736" i="11"/>
  <c r="J736" i="11"/>
  <c r="G736" i="11"/>
  <c r="F736" i="11"/>
  <c r="Q717" i="11"/>
  <c r="P717" i="11"/>
  <c r="K717" i="11"/>
  <c r="J717" i="11"/>
  <c r="G717" i="11"/>
  <c r="F717" i="11"/>
  <c r="Q605" i="11"/>
  <c r="Q734" i="11" s="1"/>
  <c r="P605" i="11"/>
  <c r="P734" i="11" s="1"/>
  <c r="K605" i="11"/>
  <c r="K734" i="11" s="1"/>
  <c r="J605" i="11"/>
  <c r="J734" i="11" s="1"/>
  <c r="G605" i="11"/>
  <c r="G734" i="11" s="1"/>
  <c r="F605" i="11"/>
  <c r="F734" i="11" s="1"/>
  <c r="I536" i="11"/>
  <c r="I729" i="11" s="1"/>
  <c r="H536" i="11"/>
  <c r="H729" i="11" s="1"/>
  <c r="Q715" i="11"/>
  <c r="P715" i="11"/>
  <c r="I88" i="11"/>
  <c r="O88" i="11" s="1"/>
  <c r="H88" i="11"/>
  <c r="C79" i="10"/>
  <c r="C43" i="10"/>
  <c r="C28" i="10"/>
  <c r="C13" i="10"/>
  <c r="H89" i="6"/>
  <c r="P54" i="6"/>
  <c r="O54" i="6"/>
  <c r="N54" i="6"/>
  <c r="M54" i="6"/>
  <c r="L54" i="6"/>
  <c r="I62" i="6"/>
  <c r="I14" i="6"/>
  <c r="D62" i="1"/>
  <c r="B62" i="1"/>
  <c r="G62" i="1" s="1"/>
  <c r="F45" i="5"/>
  <c r="E69" i="10" s="1"/>
  <c r="G69" i="10" s="1"/>
  <c r="I69" i="10" s="1"/>
  <c r="F44" i="5"/>
  <c r="E77" i="10" s="1"/>
  <c r="G77" i="10" s="1"/>
  <c r="I77" i="10" s="1"/>
  <c r="F43" i="5"/>
  <c r="E76" i="10" s="1"/>
  <c r="G76" i="10" s="1"/>
  <c r="I76" i="10" s="1"/>
  <c r="F42" i="5"/>
  <c r="E75" i="10" s="1"/>
  <c r="G75" i="10" s="1"/>
  <c r="I75" i="10" s="1"/>
  <c r="F41" i="5"/>
  <c r="E74" i="10" s="1"/>
  <c r="G74" i="10" s="1"/>
  <c r="I74" i="10" s="1"/>
  <c r="F40" i="5"/>
  <c r="E73" i="10" s="1"/>
  <c r="G73" i="10" s="1"/>
  <c r="I73" i="10" s="1"/>
  <c r="F39" i="5"/>
  <c r="E72" i="10" s="1"/>
  <c r="G72" i="10" s="1"/>
  <c r="I72" i="10" s="1"/>
  <c r="F38" i="5"/>
  <c r="E71" i="10" s="1"/>
  <c r="G71" i="10" s="1"/>
  <c r="I71" i="10" s="1"/>
  <c r="F37" i="5"/>
  <c r="E70" i="10" s="1"/>
  <c r="G70" i="10" s="1"/>
  <c r="I70" i="10" s="1"/>
  <c r="F36" i="5"/>
  <c r="E78" i="10" s="1"/>
  <c r="G78" i="10" s="1"/>
  <c r="I78" i="10" s="1"/>
  <c r="D45" i="5"/>
  <c r="D69" i="10" s="1"/>
  <c r="F69" i="10" s="1"/>
  <c r="H69" i="10" s="1"/>
  <c r="D44" i="5"/>
  <c r="D77" i="10" s="1"/>
  <c r="F77" i="10" s="1"/>
  <c r="H77" i="10" s="1"/>
  <c r="D43" i="5"/>
  <c r="D76" i="10" s="1"/>
  <c r="F76" i="10" s="1"/>
  <c r="H76" i="10" s="1"/>
  <c r="D42" i="5"/>
  <c r="D75" i="10" s="1"/>
  <c r="F75" i="10" s="1"/>
  <c r="H75" i="10" s="1"/>
  <c r="D41" i="5"/>
  <c r="D74" i="10" s="1"/>
  <c r="F74" i="10" s="1"/>
  <c r="H74" i="10" s="1"/>
  <c r="D40" i="5"/>
  <c r="D73" i="10" s="1"/>
  <c r="F73" i="10" s="1"/>
  <c r="H73" i="10" s="1"/>
  <c r="D39" i="5"/>
  <c r="D72" i="10" s="1"/>
  <c r="F72" i="10" s="1"/>
  <c r="H72" i="10" s="1"/>
  <c r="D38" i="5"/>
  <c r="D37" i="5"/>
  <c r="D70" i="10" s="1"/>
  <c r="F70" i="10" s="1"/>
  <c r="H70" i="10" s="1"/>
  <c r="D36" i="5"/>
  <c r="D78" i="10" s="1"/>
  <c r="F78" i="10" s="1"/>
  <c r="H78" i="10" s="1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O62" i="1"/>
  <c r="F62" i="1" s="1"/>
  <c r="O61" i="1"/>
  <c r="F61" i="1" s="1"/>
  <c r="I62" i="1"/>
  <c r="L62" i="1" s="1"/>
  <c r="EF21" i="9"/>
  <c r="EH21" i="9"/>
  <c r="EH33" i="9" s="1"/>
  <c r="B50" i="8" s="1"/>
  <c r="J50" i="8" s="1"/>
  <c r="EI17" i="9"/>
  <c r="EI15" i="9"/>
  <c r="EI13" i="9"/>
  <c r="EI11" i="9"/>
  <c r="EI9" i="9"/>
  <c r="EI8" i="9"/>
  <c r="ED8" i="9"/>
  <c r="DY17" i="9"/>
  <c r="DY15" i="9"/>
  <c r="DY13" i="9"/>
  <c r="DY11" i="9"/>
  <c r="DY9" i="9"/>
  <c r="DY8" i="9"/>
  <c r="EC31" i="9"/>
  <c r="EC22" i="9"/>
  <c r="EA22" i="9"/>
  <c r="EA20" i="9"/>
  <c r="EA19" i="9"/>
  <c r="EA17" i="9"/>
  <c r="ED17" i="9" s="1"/>
  <c r="EA15" i="9"/>
  <c r="ED15" i="9"/>
  <c r="EA13" i="9"/>
  <c r="ED13" i="9" s="1"/>
  <c r="EA11" i="9"/>
  <c r="EA9" i="9"/>
  <c r="ED9" i="9"/>
  <c r="DV19" i="9"/>
  <c r="DV20" i="9"/>
  <c r="D37" i="10"/>
  <c r="F37" i="10" s="1"/>
  <c r="H37" i="10" s="1"/>
  <c r="B11" i="9"/>
  <c r="A53" i="10"/>
  <c r="M652" i="11"/>
  <c r="L652" i="11"/>
  <c r="E57" i="10"/>
  <c r="G57" i="10" s="1"/>
  <c r="I678" i="11"/>
  <c r="O678" i="11" s="1"/>
  <c r="H678" i="11"/>
  <c r="D42" i="10" s="1"/>
  <c r="F42" i="10" s="1"/>
  <c r="H42" i="10" s="1"/>
  <c r="G678" i="11"/>
  <c r="F678" i="11"/>
  <c r="D27" i="10" s="1"/>
  <c r="F27" i="10" s="1"/>
  <c r="H27" i="10" s="1"/>
  <c r="Q589" i="11"/>
  <c r="Q733" i="11" s="1"/>
  <c r="P589" i="11"/>
  <c r="P733" i="11" s="1"/>
  <c r="O589" i="11"/>
  <c r="O733" i="11" s="1"/>
  <c r="N589" i="11"/>
  <c r="N733" i="11" s="1"/>
  <c r="G589" i="11"/>
  <c r="G733" i="11" s="1"/>
  <c r="F589" i="11"/>
  <c r="F733" i="11" s="1"/>
  <c r="I496" i="11"/>
  <c r="I725" i="11" s="1"/>
  <c r="H496" i="11"/>
  <c r="H725" i="11" s="1"/>
  <c r="G496" i="11"/>
  <c r="G725" i="11" s="1"/>
  <c r="F496" i="11"/>
  <c r="F725" i="11" s="1"/>
  <c r="I481" i="11"/>
  <c r="I724" i="11" s="1"/>
  <c r="H481" i="11"/>
  <c r="H724" i="11" s="1"/>
  <c r="G724" i="11"/>
  <c r="F724" i="11"/>
  <c r="K407" i="11"/>
  <c r="O407" i="11" s="1"/>
  <c r="J407" i="11"/>
  <c r="N407" i="11" s="1"/>
  <c r="G407" i="11"/>
  <c r="F407" i="11"/>
  <c r="I718" i="11"/>
  <c r="G718" i="11"/>
  <c r="F718" i="11"/>
  <c r="S42" i="6"/>
  <c r="L119" i="6"/>
  <c r="L112" i="6"/>
  <c r="L105" i="6"/>
  <c r="L97" i="6"/>
  <c r="L83" i="6"/>
  <c r="L76" i="6"/>
  <c r="L69" i="6"/>
  <c r="L62" i="6"/>
  <c r="L34" i="6"/>
  <c r="L82" i="6" s="1"/>
  <c r="L25" i="6"/>
  <c r="L75" i="6" s="1"/>
  <c r="L20" i="6"/>
  <c r="L68" i="6" s="1"/>
  <c r="L12" i="6"/>
  <c r="L61" i="6" s="1"/>
  <c r="L5" i="6"/>
  <c r="L96" i="6" s="1"/>
  <c r="L98" i="6" s="1"/>
  <c r="C122" i="6"/>
  <c r="C89" i="6"/>
  <c r="C47" i="6"/>
  <c r="C42" i="6"/>
  <c r="B79" i="10"/>
  <c r="B43" i="10"/>
  <c r="B28" i="10"/>
  <c r="B13" i="10"/>
  <c r="I61" i="1"/>
  <c r="L61" i="1" s="1"/>
  <c r="EC21" i="9"/>
  <c r="DX22" i="9"/>
  <c r="DX31" i="9"/>
  <c r="DV21" i="9"/>
  <c r="DV22" i="9"/>
  <c r="DX21" i="9"/>
  <c r="D61" i="1"/>
  <c r="B61" i="1"/>
  <c r="K571" i="11"/>
  <c r="K731" i="11" s="1"/>
  <c r="J571" i="11"/>
  <c r="J731" i="11" s="1"/>
  <c r="M571" i="11"/>
  <c r="M731" i="11" s="1"/>
  <c r="L571" i="11"/>
  <c r="M735" i="11"/>
  <c r="L735" i="11"/>
  <c r="K735" i="11"/>
  <c r="J735" i="11"/>
  <c r="I735" i="11"/>
  <c r="H735" i="11"/>
  <c r="I160" i="11"/>
  <c r="H160" i="11"/>
  <c r="D34" i="10" s="1"/>
  <c r="K730" i="11"/>
  <c r="N541" i="11"/>
  <c r="N730" i="11" s="1"/>
  <c r="G730" i="11"/>
  <c r="F730" i="11"/>
  <c r="Q524" i="11"/>
  <c r="P524" i="11"/>
  <c r="D90" i="10" s="1"/>
  <c r="F90" i="10" s="1"/>
  <c r="H90" i="10" s="1"/>
  <c r="D54" i="10"/>
  <c r="F54" i="10" s="1"/>
  <c r="H54" i="10" s="1"/>
  <c r="I524" i="11"/>
  <c r="H524" i="11"/>
  <c r="D39" i="10" s="1"/>
  <c r="F39" i="10" s="1"/>
  <c r="H39" i="10" s="1"/>
  <c r="G524" i="11"/>
  <c r="F524" i="11"/>
  <c r="D24" i="10" s="1"/>
  <c r="I727" i="11"/>
  <c r="H727" i="11"/>
  <c r="G727" i="11"/>
  <c r="F727" i="11"/>
  <c r="G425" i="11"/>
  <c r="G721" i="11" s="1"/>
  <c r="F425" i="11"/>
  <c r="F721" i="11" s="1"/>
  <c r="M719" i="11"/>
  <c r="G403" i="11"/>
  <c r="G719" i="11" s="1"/>
  <c r="F403" i="11"/>
  <c r="F719" i="11" s="1"/>
  <c r="K718" i="11"/>
  <c r="J718" i="11"/>
  <c r="D88" i="10"/>
  <c r="F88" i="10" s="1"/>
  <c r="H88" i="10" s="1"/>
  <c r="D22" i="10"/>
  <c r="O60" i="1"/>
  <c r="F60" i="1" s="1"/>
  <c r="L60" i="1" s="1"/>
  <c r="O59" i="1"/>
  <c r="F59" i="1" s="1"/>
  <c r="I60" i="1"/>
  <c r="D60" i="1"/>
  <c r="K60" i="1" s="1"/>
  <c r="B60" i="1"/>
  <c r="J60" i="1" s="1"/>
  <c r="AJ64" i="4"/>
  <c r="AJ55" i="4"/>
  <c r="AJ46" i="4"/>
  <c r="AJ30" i="4"/>
  <c r="AJ21" i="4"/>
  <c r="AJ12" i="4"/>
  <c r="K713" i="11"/>
  <c r="J713" i="11"/>
  <c r="I425" i="11"/>
  <c r="I721" i="11" s="1"/>
  <c r="H425" i="11"/>
  <c r="H721" i="11" s="1"/>
  <c r="DS31" i="9"/>
  <c r="DS22" i="9"/>
  <c r="DQ22" i="9"/>
  <c r="Q731" i="11"/>
  <c r="P731" i="11"/>
  <c r="Q716" i="11"/>
  <c r="P716" i="11"/>
  <c r="K496" i="11"/>
  <c r="K725" i="11" s="1"/>
  <c r="J496" i="11"/>
  <c r="J725" i="11" s="1"/>
  <c r="D53" i="10"/>
  <c r="K719" i="11"/>
  <c r="J719" i="11"/>
  <c r="I736" i="11"/>
  <c r="H736" i="11"/>
  <c r="I719" i="11"/>
  <c r="H719" i="11"/>
  <c r="Q737" i="11"/>
  <c r="P737" i="11"/>
  <c r="G664" i="11"/>
  <c r="F664" i="11"/>
  <c r="D26" i="10" s="1"/>
  <c r="F26" i="10" s="1"/>
  <c r="H26" i="10" s="1"/>
  <c r="G571" i="11"/>
  <c r="G731" i="11" s="1"/>
  <c r="F571" i="11"/>
  <c r="F731" i="11" s="1"/>
  <c r="K727" i="11"/>
  <c r="J727" i="11"/>
  <c r="O58" i="1"/>
  <c r="O57" i="1"/>
  <c r="F57" i="1" s="1"/>
  <c r="O56" i="1"/>
  <c r="O55" i="1"/>
  <c r="F55" i="1" s="1"/>
  <c r="L55" i="1" s="1"/>
  <c r="O54" i="1"/>
  <c r="F54" i="1" s="1"/>
  <c r="O53" i="1"/>
  <c r="F53" i="1" s="1"/>
  <c r="DF32" i="9"/>
  <c r="CZ32" i="9"/>
  <c r="CT32" i="9"/>
  <c r="CN32" i="9"/>
  <c r="CH32" i="9"/>
  <c r="CB32" i="9"/>
  <c r="BV32" i="9"/>
  <c r="BP32" i="9"/>
  <c r="BJ32" i="9"/>
  <c r="BD32" i="9"/>
  <c r="AX32" i="9"/>
  <c r="AR32" i="9"/>
  <c r="AL32" i="9"/>
  <c r="AF32" i="9"/>
  <c r="Y32" i="9"/>
  <c r="R32" i="9"/>
  <c r="R34" i="9"/>
  <c r="K32" i="9"/>
  <c r="K34" i="9" s="1"/>
  <c r="D32" i="9"/>
  <c r="D34" i="9" s="1"/>
  <c r="DN31" i="9"/>
  <c r="DH31" i="9"/>
  <c r="DB31" i="9"/>
  <c r="CV31" i="9"/>
  <c r="CP31" i="9"/>
  <c r="CJ31" i="9"/>
  <c r="CD31" i="9"/>
  <c r="BX31" i="9"/>
  <c r="BR31" i="9"/>
  <c r="BF31" i="9"/>
  <c r="AZ31" i="9"/>
  <c r="AT31" i="9"/>
  <c r="AN31" i="9"/>
  <c r="AH31" i="9"/>
  <c r="T29" i="9"/>
  <c r="DH28" i="9"/>
  <c r="DH27" i="9"/>
  <c r="DB27" i="9"/>
  <c r="CV27" i="9"/>
  <c r="CP27" i="9"/>
  <c r="CJ27" i="9"/>
  <c r="CH27" i="9"/>
  <c r="CD27" i="9"/>
  <c r="CB27" i="9"/>
  <c r="BX27" i="9"/>
  <c r="BV27" i="9"/>
  <c r="BR27" i="9"/>
  <c r="BP27" i="9"/>
  <c r="BL27" i="9"/>
  <c r="BJ27" i="9"/>
  <c r="BF27" i="9"/>
  <c r="BD27" i="9"/>
  <c r="AZ27" i="9"/>
  <c r="AX27" i="9"/>
  <c r="AT27" i="9"/>
  <c r="AR27" i="9"/>
  <c r="AN27" i="9"/>
  <c r="AL27" i="9"/>
  <c r="AH27" i="9"/>
  <c r="AF27" i="9"/>
  <c r="V23" i="9"/>
  <c r="F23" i="9"/>
  <c r="H23" i="9" s="1"/>
  <c r="DN22" i="9"/>
  <c r="DL22" i="9"/>
  <c r="DL23" i="9" s="1"/>
  <c r="DH22" i="9"/>
  <c r="DF22" i="9"/>
  <c r="DB22" i="9"/>
  <c r="CZ22" i="9"/>
  <c r="CV22" i="9"/>
  <c r="CT22" i="9"/>
  <c r="CP22" i="9"/>
  <c r="CN22" i="9"/>
  <c r="CJ22" i="9"/>
  <c r="CH22" i="9"/>
  <c r="CD22" i="9"/>
  <c r="CB22" i="9"/>
  <c r="BX22" i="9"/>
  <c r="BV22" i="9"/>
  <c r="BR22" i="9"/>
  <c r="BP22" i="9"/>
  <c r="BL22" i="9"/>
  <c r="BJ22" i="9"/>
  <c r="BF22" i="9"/>
  <c r="BD22" i="9"/>
  <c r="AZ22" i="9"/>
  <c r="AX22" i="9"/>
  <c r="AT22" i="9"/>
  <c r="AR22" i="9"/>
  <c r="AN22" i="9"/>
  <c r="AL22" i="9"/>
  <c r="AH22" i="9"/>
  <c r="AF22" i="9"/>
  <c r="DN21" i="9"/>
  <c r="DL21" i="9"/>
  <c r="DH21" i="9"/>
  <c r="DH30" i="9" s="1"/>
  <c r="DF21" i="9"/>
  <c r="DB21" i="9"/>
  <c r="CZ21" i="9"/>
  <c r="CZ23" i="9"/>
  <c r="CZ34" i="9" s="1"/>
  <c r="CV21" i="9"/>
  <c r="CV30" i="9"/>
  <c r="CV32" i="9" s="1"/>
  <c r="B43" i="8" s="1"/>
  <c r="CT21" i="9"/>
  <c r="CT23" i="9" s="1"/>
  <c r="CP21" i="9"/>
  <c r="CP30" i="9" s="1"/>
  <c r="CN21" i="9"/>
  <c r="CJ21" i="9"/>
  <c r="CJ23" i="9" s="1"/>
  <c r="CH21" i="9"/>
  <c r="CH23" i="9" s="1"/>
  <c r="CD21" i="9"/>
  <c r="CB21" i="9"/>
  <c r="I40" i="8"/>
  <c r="BX21" i="9"/>
  <c r="BX30" i="9"/>
  <c r="BX32" i="9" s="1"/>
  <c r="BV21" i="9"/>
  <c r="B39" i="8"/>
  <c r="H39" i="8" s="1"/>
  <c r="BR21" i="9"/>
  <c r="BP21" i="9"/>
  <c r="BP23" i="9" s="1"/>
  <c r="BP34" i="9" s="1"/>
  <c r="BL21" i="9"/>
  <c r="BL30" i="9" s="1"/>
  <c r="BL32" i="9" s="1"/>
  <c r="BJ21" i="9"/>
  <c r="BF21" i="9"/>
  <c r="BD21" i="9"/>
  <c r="BH21" i="9" s="1"/>
  <c r="AZ21" i="9"/>
  <c r="AZ23" i="9" s="1"/>
  <c r="AX21" i="9"/>
  <c r="I35" i="8"/>
  <c r="AT21" i="9"/>
  <c r="AT30" i="9" s="1"/>
  <c r="AT32" i="9" s="1"/>
  <c r="B34" i="8" s="1"/>
  <c r="D34" i="8" s="1"/>
  <c r="AR21" i="9"/>
  <c r="AN21" i="9"/>
  <c r="AN30" i="9"/>
  <c r="AN32" i="9" s="1"/>
  <c r="AL21" i="9"/>
  <c r="B33" i="8"/>
  <c r="C33" i="8" s="1"/>
  <c r="AH21" i="9"/>
  <c r="AH30" i="9"/>
  <c r="AF21" i="9"/>
  <c r="B32" i="8" s="1"/>
  <c r="F32" i="8" s="1"/>
  <c r="AA21" i="9"/>
  <c r="AA23" i="9" s="1"/>
  <c r="Y21" i="9"/>
  <c r="T21" i="9"/>
  <c r="R21" i="9"/>
  <c r="V21" i="9" s="1"/>
  <c r="M21" i="9"/>
  <c r="K21" i="9"/>
  <c r="F21" i="9"/>
  <c r="D20" i="9"/>
  <c r="D19" i="9"/>
  <c r="D21" i="9" s="1"/>
  <c r="D26" i="9"/>
  <c r="DO17" i="9"/>
  <c r="DJ17" i="9"/>
  <c r="DD17" i="9"/>
  <c r="CX17" i="9"/>
  <c r="CR17" i="9"/>
  <c r="CL17" i="9"/>
  <c r="CF17" i="9"/>
  <c r="BZ17" i="9"/>
  <c r="BT17" i="9"/>
  <c r="BN17" i="9"/>
  <c r="BH17" i="9"/>
  <c r="BB17" i="9"/>
  <c r="AV17" i="9"/>
  <c r="AP17" i="9"/>
  <c r="AJ17" i="9"/>
  <c r="AC17" i="9"/>
  <c r="V17" i="9"/>
  <c r="O17" i="9"/>
  <c r="H16" i="9"/>
  <c r="DO15" i="9"/>
  <c r="DJ15" i="9"/>
  <c r="DD15" i="9"/>
  <c r="CX15" i="9"/>
  <c r="CR15" i="9"/>
  <c r="CL15" i="9"/>
  <c r="CF15" i="9"/>
  <c r="BZ15" i="9"/>
  <c r="BT15" i="9"/>
  <c r="BN15" i="9"/>
  <c r="BH15" i="9"/>
  <c r="BB15" i="9"/>
  <c r="AV15" i="9"/>
  <c r="AP15" i="9"/>
  <c r="AJ15" i="9"/>
  <c r="AC15" i="9"/>
  <c r="V15" i="9"/>
  <c r="O15" i="9"/>
  <c r="H15" i="9"/>
  <c r="H14" i="9"/>
  <c r="DO13" i="9"/>
  <c r="DJ13" i="9"/>
  <c r="DD13" i="9"/>
  <c r="CX13" i="9"/>
  <c r="CR13" i="9"/>
  <c r="CL13" i="9"/>
  <c r="CF13" i="9"/>
  <c r="BZ13" i="9"/>
  <c r="BT13" i="9"/>
  <c r="BN13" i="9"/>
  <c r="BH13" i="9"/>
  <c r="BB13" i="9"/>
  <c r="AV13" i="9"/>
  <c r="AP13" i="9"/>
  <c r="AJ13" i="9"/>
  <c r="AC13" i="9"/>
  <c r="V13" i="9"/>
  <c r="O13" i="9"/>
  <c r="H13" i="9"/>
  <c r="DO11" i="9"/>
  <c r="DJ11" i="9"/>
  <c r="DD11" i="9"/>
  <c r="CX11" i="9"/>
  <c r="CR11" i="9"/>
  <c r="CL11" i="9"/>
  <c r="CF11" i="9"/>
  <c r="BZ11" i="9"/>
  <c r="BT11" i="9"/>
  <c r="BN11" i="9"/>
  <c r="BH11" i="9"/>
  <c r="BB11" i="9"/>
  <c r="AV11" i="9"/>
  <c r="H10" i="9"/>
  <c r="DO9" i="9"/>
  <c r="DJ9" i="9"/>
  <c r="DD9" i="9"/>
  <c r="CX9" i="9"/>
  <c r="CT27" i="9"/>
  <c r="CR9" i="9"/>
  <c r="CL9" i="9"/>
  <c r="CF9" i="9"/>
  <c r="BZ9" i="9"/>
  <c r="BT9" i="9"/>
  <c r="BN9" i="9"/>
  <c r="BH9" i="9"/>
  <c r="BB9" i="9"/>
  <c r="AV9" i="9"/>
  <c r="AP9" i="9"/>
  <c r="AJ9" i="9"/>
  <c r="AC9" i="9"/>
  <c r="V9" i="9"/>
  <c r="O9" i="9"/>
  <c r="H9" i="9"/>
  <c r="DO8" i="9"/>
  <c r="DJ8" i="9"/>
  <c r="DD8" i="9"/>
  <c r="CX8" i="9"/>
  <c r="CR8" i="9"/>
  <c r="CN27" i="9"/>
  <c r="CL8" i="9"/>
  <c r="CF8" i="9"/>
  <c r="BZ8" i="9"/>
  <c r="BT8" i="9"/>
  <c r="BN8" i="9"/>
  <c r="BH8" i="9"/>
  <c r="BB8" i="9"/>
  <c r="AV8" i="9"/>
  <c r="AP8" i="9"/>
  <c r="AJ8" i="9"/>
  <c r="AC8" i="9"/>
  <c r="V8" i="9"/>
  <c r="O8" i="9"/>
  <c r="H8" i="9"/>
  <c r="AI21" i="4"/>
  <c r="AI64" i="4"/>
  <c r="AI55" i="4"/>
  <c r="AI46" i="4"/>
  <c r="AI30" i="4"/>
  <c r="AI12" i="4"/>
  <c r="I59" i="1"/>
  <c r="D59" i="1"/>
  <c r="B59" i="1"/>
  <c r="M718" i="11"/>
  <c r="L718" i="11"/>
  <c r="Q678" i="11"/>
  <c r="P678" i="11"/>
  <c r="D93" i="10" s="1"/>
  <c r="F93" i="10" s="1"/>
  <c r="H93" i="10" s="1"/>
  <c r="I121" i="11"/>
  <c r="H121" i="11"/>
  <c r="Q578" i="11"/>
  <c r="Q732" i="11" s="1"/>
  <c r="P578" i="11"/>
  <c r="P732" i="11" s="1"/>
  <c r="Q496" i="11"/>
  <c r="Q725" i="11" s="1"/>
  <c r="P496" i="11"/>
  <c r="P725" i="11" s="1"/>
  <c r="Q722" i="11"/>
  <c r="P722" i="11"/>
  <c r="Q720" i="11"/>
  <c r="P720" i="11"/>
  <c r="Q403" i="11"/>
  <c r="Q719" i="11" s="1"/>
  <c r="P403" i="11"/>
  <c r="P719" i="11" s="1"/>
  <c r="Q718" i="11"/>
  <c r="P718" i="11"/>
  <c r="Q714" i="11"/>
  <c r="P714" i="11"/>
  <c r="Q208" i="11"/>
  <c r="P208" i="11"/>
  <c r="L716" i="11"/>
  <c r="K737" i="11"/>
  <c r="D57" i="10"/>
  <c r="F57" i="10" s="1"/>
  <c r="E56" i="10"/>
  <c r="G56" i="10" s="1"/>
  <c r="I56" i="10" s="1"/>
  <c r="J720" i="11"/>
  <c r="D51" i="10"/>
  <c r="K174" i="11"/>
  <c r="J174" i="11"/>
  <c r="I571" i="11"/>
  <c r="I731" i="11" s="1"/>
  <c r="H571" i="11"/>
  <c r="H731" i="11" s="1"/>
  <c r="I421" i="11"/>
  <c r="I720" i="11" s="1"/>
  <c r="H421" i="11"/>
  <c r="H720" i="11" s="1"/>
  <c r="I357" i="11"/>
  <c r="H357" i="11"/>
  <c r="D36" i="10" s="1"/>
  <c r="F36" i="10" s="1"/>
  <c r="H36" i="10" s="1"/>
  <c r="N714" i="11"/>
  <c r="I208" i="11"/>
  <c r="H208" i="11"/>
  <c r="I174" i="11"/>
  <c r="H174" i="11"/>
  <c r="F737" i="11"/>
  <c r="G722" i="11"/>
  <c r="F722" i="11"/>
  <c r="G720" i="11"/>
  <c r="F720" i="11"/>
  <c r="G714" i="11"/>
  <c r="G208" i="11"/>
  <c r="F208" i="11"/>
  <c r="W64" i="4"/>
  <c r="W55" i="4"/>
  <c r="W46" i="4"/>
  <c r="W30" i="4"/>
  <c r="W21" i="4"/>
  <c r="X21" i="4"/>
  <c r="W12" i="4"/>
  <c r="AH64" i="4"/>
  <c r="AG64" i="4"/>
  <c r="AF64" i="4"/>
  <c r="AE64" i="4"/>
  <c r="AD64" i="4"/>
  <c r="AH55" i="4"/>
  <c r="AG55" i="4"/>
  <c r="AF55" i="4"/>
  <c r="AE55" i="4"/>
  <c r="AD55" i="4"/>
  <c r="AH46" i="4"/>
  <c r="AG46" i="4"/>
  <c r="AF46" i="4"/>
  <c r="AE46" i="4"/>
  <c r="AD46" i="4"/>
  <c r="AH30" i="4"/>
  <c r="AG30" i="4"/>
  <c r="AF30" i="4"/>
  <c r="AE30" i="4"/>
  <c r="AD30" i="4"/>
  <c r="AH21" i="4"/>
  <c r="AG21" i="4"/>
  <c r="AF21" i="4"/>
  <c r="AE21" i="4"/>
  <c r="AD21" i="4"/>
  <c r="AH12" i="4"/>
  <c r="AG12" i="4"/>
  <c r="AF12" i="4"/>
  <c r="AE12" i="4"/>
  <c r="AD12" i="4"/>
  <c r="DS21" i="9"/>
  <c r="DS23" i="9"/>
  <c r="DQ21" i="9"/>
  <c r="DT17" i="9"/>
  <c r="DT15" i="9"/>
  <c r="DT13" i="9"/>
  <c r="DT11" i="9"/>
  <c r="DT9" i="9"/>
  <c r="DT8" i="9"/>
  <c r="I664" i="11"/>
  <c r="O664" i="11" s="1"/>
  <c r="H664" i="11"/>
  <c r="N664" i="11" s="1"/>
  <c r="Q626" i="11"/>
  <c r="Q735" i="11" s="1"/>
  <c r="P626" i="11"/>
  <c r="P735" i="11" s="1"/>
  <c r="Q500" i="11"/>
  <c r="Q726" i="11" s="1"/>
  <c r="P500" i="11"/>
  <c r="P726" i="11" s="1"/>
  <c r="M716" i="11"/>
  <c r="K500" i="11"/>
  <c r="K726" i="11" s="1"/>
  <c r="J500" i="11"/>
  <c r="N500" i="11" s="1"/>
  <c r="N726" i="11" s="1"/>
  <c r="K724" i="11"/>
  <c r="J724" i="11"/>
  <c r="I370" i="11"/>
  <c r="H370" i="11"/>
  <c r="G626" i="11"/>
  <c r="G735" i="11" s="1"/>
  <c r="F626" i="11"/>
  <c r="F735" i="11" s="1"/>
  <c r="G500" i="11"/>
  <c r="G726" i="11" s="1"/>
  <c r="F500" i="11"/>
  <c r="F726" i="11" s="1"/>
  <c r="O119" i="6"/>
  <c r="O112" i="6"/>
  <c r="O105" i="6"/>
  <c r="O97" i="6"/>
  <c r="O83" i="6"/>
  <c r="O76" i="6"/>
  <c r="O69" i="6"/>
  <c r="O62" i="6"/>
  <c r="O34" i="6"/>
  <c r="O25" i="6"/>
  <c r="O118" i="6" s="1"/>
  <c r="O20" i="6"/>
  <c r="O111" i="6" s="1"/>
  <c r="O12" i="6"/>
  <c r="O104" i="6" s="1"/>
  <c r="O5" i="6"/>
  <c r="O53" i="6" s="1"/>
  <c r="M119" i="6"/>
  <c r="M112" i="6"/>
  <c r="M105" i="6"/>
  <c r="M97" i="6"/>
  <c r="M83" i="6"/>
  <c r="M76" i="6"/>
  <c r="M69" i="6"/>
  <c r="M62" i="6"/>
  <c r="M34" i="6"/>
  <c r="M82" i="6" s="1"/>
  <c r="M25" i="6"/>
  <c r="M118" i="6" s="1"/>
  <c r="M20" i="6"/>
  <c r="M111" i="6" s="1"/>
  <c r="M12" i="6"/>
  <c r="M104" i="6" s="1"/>
  <c r="M5" i="6"/>
  <c r="F122" i="6"/>
  <c r="F89" i="6"/>
  <c r="F47" i="6"/>
  <c r="F42" i="6"/>
  <c r="D122" i="6"/>
  <c r="D89" i="6"/>
  <c r="D47" i="6"/>
  <c r="D42" i="6"/>
  <c r="B45" i="8"/>
  <c r="F45" i="8" s="1"/>
  <c r="I58" i="1"/>
  <c r="L7" i="1" s="1"/>
  <c r="I57" i="1"/>
  <c r="D57" i="1"/>
  <c r="K57" i="1" s="1"/>
  <c r="B57" i="1"/>
  <c r="Q44" i="8"/>
  <c r="D56" i="10"/>
  <c r="F56" i="10" s="1"/>
  <c r="H56" i="10" s="1"/>
  <c r="D21" i="10"/>
  <c r="O737" i="11"/>
  <c r="N737" i="11"/>
  <c r="M737" i="11"/>
  <c r="L737" i="11"/>
  <c r="J737" i="11"/>
  <c r="I737" i="11"/>
  <c r="H737" i="11"/>
  <c r="M736" i="11"/>
  <c r="L736" i="11"/>
  <c r="M734" i="11"/>
  <c r="L734" i="11"/>
  <c r="M733" i="11"/>
  <c r="L733" i="11"/>
  <c r="M732" i="11"/>
  <c r="L732" i="11"/>
  <c r="M730" i="11"/>
  <c r="L730" i="11"/>
  <c r="I730" i="11"/>
  <c r="H730" i="11"/>
  <c r="M729" i="11"/>
  <c r="L729" i="11"/>
  <c r="M728" i="11"/>
  <c r="L728" i="11"/>
  <c r="M727" i="11"/>
  <c r="L727" i="11"/>
  <c r="M726" i="11"/>
  <c r="L726" i="11"/>
  <c r="M725" i="11"/>
  <c r="L725" i="11"/>
  <c r="M724" i="11"/>
  <c r="L724" i="11"/>
  <c r="M723" i="11"/>
  <c r="L723" i="11"/>
  <c r="I723" i="11"/>
  <c r="H723" i="11"/>
  <c r="L722" i="11"/>
  <c r="M721" i="11"/>
  <c r="L721" i="11"/>
  <c r="M720" i="11"/>
  <c r="L720" i="11"/>
  <c r="M717" i="11"/>
  <c r="L717" i="11"/>
  <c r="M715" i="11"/>
  <c r="L715" i="11"/>
  <c r="M714" i="11"/>
  <c r="L714" i="11"/>
  <c r="K714" i="11"/>
  <c r="J714" i="11"/>
  <c r="M713" i="11"/>
  <c r="L713" i="11"/>
  <c r="Q664" i="11"/>
  <c r="P664" i="11"/>
  <c r="D92" i="10" s="1"/>
  <c r="F92" i="10" s="1"/>
  <c r="H92" i="10" s="1"/>
  <c r="Q652" i="11"/>
  <c r="P652" i="11"/>
  <c r="F652" i="11"/>
  <c r="H734" i="11"/>
  <c r="I733" i="11"/>
  <c r="H733" i="11"/>
  <c r="K732" i="11"/>
  <c r="J732" i="11"/>
  <c r="I732" i="11"/>
  <c r="H732" i="11"/>
  <c r="G732" i="11"/>
  <c r="F732" i="11"/>
  <c r="Q541" i="11"/>
  <c r="Q730" i="11" s="1"/>
  <c r="P541" i="11"/>
  <c r="P730" i="11" s="1"/>
  <c r="Q536" i="11"/>
  <c r="Q729" i="11" s="1"/>
  <c r="P536" i="11"/>
  <c r="P729" i="11" s="1"/>
  <c r="K728" i="11"/>
  <c r="J728" i="11"/>
  <c r="I728" i="11"/>
  <c r="H728" i="11"/>
  <c r="G728" i="11"/>
  <c r="F728" i="11"/>
  <c r="I726" i="11"/>
  <c r="Q724" i="11"/>
  <c r="P724" i="11"/>
  <c r="K723" i="11"/>
  <c r="N466" i="11"/>
  <c r="N723" i="11" s="1"/>
  <c r="G723" i="11"/>
  <c r="F723" i="11"/>
  <c r="D89" i="10"/>
  <c r="F89" i="10" s="1"/>
  <c r="H89" i="10" s="1"/>
  <c r="I722" i="11"/>
  <c r="L719" i="11"/>
  <c r="Q357" i="11"/>
  <c r="P357" i="11"/>
  <c r="D87" i="10" s="1"/>
  <c r="F87" i="10" s="1"/>
  <c r="H87" i="10" s="1"/>
  <c r="I331" i="11"/>
  <c r="I717" i="11" s="1"/>
  <c r="H331" i="11"/>
  <c r="H717" i="11" s="1"/>
  <c r="H715" i="11"/>
  <c r="O714" i="11"/>
  <c r="F714" i="11"/>
  <c r="Q713" i="11"/>
  <c r="P713" i="11"/>
  <c r="G184" i="11"/>
  <c r="F184" i="11"/>
  <c r="D19" i="10" s="1"/>
  <c r="Q174" i="11"/>
  <c r="P174" i="11"/>
  <c r="D86" i="10" s="1"/>
  <c r="G174" i="11"/>
  <c r="F174" i="11"/>
  <c r="H122" i="6"/>
  <c r="G122" i="6"/>
  <c r="E122" i="6"/>
  <c r="B122" i="6"/>
  <c r="F58" i="1"/>
  <c r="Q43" i="8"/>
  <c r="Q42" i="8"/>
  <c r="M31" i="8"/>
  <c r="M30" i="8"/>
  <c r="K31" i="8"/>
  <c r="K30" i="8"/>
  <c r="J31" i="8"/>
  <c r="J30" i="8"/>
  <c r="E89" i="6"/>
  <c r="G89" i="6"/>
  <c r="B89" i="6"/>
  <c r="F56" i="1"/>
  <c r="L56" i="1" s="1"/>
  <c r="I56" i="1"/>
  <c r="B54" i="1"/>
  <c r="D54" i="1"/>
  <c r="D53" i="1"/>
  <c r="D52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G15" i="1"/>
  <c r="G14" i="1"/>
  <c r="G13" i="1"/>
  <c r="G12" i="1"/>
  <c r="G11" i="1"/>
  <c r="G10" i="1"/>
  <c r="G9" i="1"/>
  <c r="G8" i="1"/>
  <c r="G7" i="1"/>
  <c r="I55" i="1"/>
  <c r="I54" i="1"/>
  <c r="N20" i="6"/>
  <c r="N111" i="6" s="1"/>
  <c r="P20" i="6"/>
  <c r="P111" i="6" s="1"/>
  <c r="P112" i="6"/>
  <c r="N112" i="6"/>
  <c r="K112" i="6"/>
  <c r="Q105" i="6"/>
  <c r="P105" i="6"/>
  <c r="K105" i="6"/>
  <c r="K97" i="6"/>
  <c r="K69" i="6"/>
  <c r="K62" i="6"/>
  <c r="K54" i="6"/>
  <c r="K20" i="6"/>
  <c r="K111" i="6" s="1"/>
  <c r="K12" i="6"/>
  <c r="K104" i="6" s="1"/>
  <c r="K5" i="6"/>
  <c r="K96" i="6" s="1"/>
  <c r="Q41" i="8"/>
  <c r="Q40" i="8"/>
  <c r="I53" i="1"/>
  <c r="B53" i="1"/>
  <c r="AC64" i="4"/>
  <c r="AC55" i="4"/>
  <c r="AC46" i="4"/>
  <c r="AC30" i="4"/>
  <c r="AC21" i="4"/>
  <c r="AC12" i="4"/>
  <c r="Q39" i="8"/>
  <c r="AB64" i="4"/>
  <c r="AB55" i="4"/>
  <c r="AB46" i="4"/>
  <c r="AB30" i="4"/>
  <c r="AB21" i="4"/>
  <c r="AB12" i="4"/>
  <c r="I52" i="1"/>
  <c r="F52" i="1"/>
  <c r="L52" i="1" s="1"/>
  <c r="B52" i="1"/>
  <c r="J52" i="1" s="1"/>
  <c r="AA12" i="4"/>
  <c r="AA21" i="4"/>
  <c r="AA30" i="4"/>
  <c r="AA64" i="4"/>
  <c r="AA55" i="4"/>
  <c r="AA46" i="4"/>
  <c r="Q38" i="8"/>
  <c r="I50" i="1"/>
  <c r="F50" i="1"/>
  <c r="D51" i="1"/>
  <c r="K51" i="1" s="1"/>
  <c r="B51" i="1"/>
  <c r="F51" i="1"/>
  <c r="I51" i="1"/>
  <c r="N62" i="6"/>
  <c r="P62" i="6"/>
  <c r="Q62" i="6"/>
  <c r="N12" i="6"/>
  <c r="P12" i="6"/>
  <c r="P104" i="6" s="1"/>
  <c r="Q12" i="6"/>
  <c r="Q104" i="6" s="1"/>
  <c r="N105" i="6"/>
  <c r="N5" i="6"/>
  <c r="N53" i="6" s="1"/>
  <c r="P5" i="6"/>
  <c r="Q5" i="6"/>
  <c r="Q53" i="6" s="1"/>
  <c r="N97" i="6"/>
  <c r="P97" i="6"/>
  <c r="Q97" i="6"/>
  <c r="K76" i="6"/>
  <c r="N76" i="6"/>
  <c r="P76" i="6"/>
  <c r="Q76" i="6"/>
  <c r="K25" i="6"/>
  <c r="K75" i="6" s="1"/>
  <c r="N25" i="6"/>
  <c r="N75" i="6" s="1"/>
  <c r="P25" i="6"/>
  <c r="P118" i="6" s="1"/>
  <c r="Q25" i="6"/>
  <c r="Q75" i="6" s="1"/>
  <c r="K119" i="6"/>
  <c r="N119" i="6"/>
  <c r="P119" i="6"/>
  <c r="Q119" i="6"/>
  <c r="Q37" i="8"/>
  <c r="K34" i="6"/>
  <c r="K82" i="6" s="1"/>
  <c r="N34" i="6"/>
  <c r="N82" i="6" s="1"/>
  <c r="P34" i="6"/>
  <c r="P82" i="6" s="1"/>
  <c r="Q34" i="6"/>
  <c r="Q82" i="6" s="1"/>
  <c r="D50" i="1"/>
  <c r="K50" i="1" s="1"/>
  <c r="B50" i="1"/>
  <c r="Z64" i="4"/>
  <c r="Z55" i="4"/>
  <c r="Z46" i="4"/>
  <c r="Z30" i="4"/>
  <c r="Z21" i="4"/>
  <c r="Z12" i="4"/>
  <c r="A52" i="10"/>
  <c r="A37" i="10"/>
  <c r="B49" i="1"/>
  <c r="I49" i="1"/>
  <c r="B48" i="1"/>
  <c r="J48" i="1" s="1"/>
  <c r="I48" i="1"/>
  <c r="L48" i="1" s="1"/>
  <c r="B47" i="1"/>
  <c r="I47" i="1"/>
  <c r="L47" i="1" s="1"/>
  <c r="B46" i="1"/>
  <c r="I46" i="1"/>
  <c r="B45" i="1"/>
  <c r="I45" i="1"/>
  <c r="B44" i="1"/>
  <c r="I44" i="1"/>
  <c r="B43" i="1"/>
  <c r="I43" i="1"/>
  <c r="B42" i="1"/>
  <c r="J42" i="1" s="1"/>
  <c r="I42" i="1"/>
  <c r="B41" i="1"/>
  <c r="I41" i="1"/>
  <c r="B40" i="1"/>
  <c r="I40" i="1"/>
  <c r="B39" i="1"/>
  <c r="I39" i="1"/>
  <c r="B38" i="1"/>
  <c r="I38" i="1"/>
  <c r="B37" i="1"/>
  <c r="I37" i="1"/>
  <c r="B36" i="1"/>
  <c r="I36" i="1"/>
  <c r="B35" i="1"/>
  <c r="I35" i="1"/>
  <c r="B34" i="1"/>
  <c r="G34" i="1" s="1"/>
  <c r="I34" i="1"/>
  <c r="B33" i="1"/>
  <c r="I33" i="1"/>
  <c r="B32" i="1"/>
  <c r="G32" i="1" s="1"/>
  <c r="I32" i="1"/>
  <c r="B31" i="1"/>
  <c r="G31" i="1" s="1"/>
  <c r="I31" i="1"/>
  <c r="B30" i="1"/>
  <c r="G30" i="1" s="1"/>
  <c r="I30" i="1"/>
  <c r="B29" i="1"/>
  <c r="G29" i="1" s="1"/>
  <c r="I29" i="1"/>
  <c r="B28" i="1"/>
  <c r="G28" i="1" s="1"/>
  <c r="I28" i="1"/>
  <c r="B27" i="1"/>
  <c r="G27" i="1" s="1"/>
  <c r="I27" i="1"/>
  <c r="B26" i="1"/>
  <c r="G26" i="1" s="1"/>
  <c r="I26" i="1"/>
  <c r="B25" i="1"/>
  <c r="G25" i="1" s="1"/>
  <c r="I25" i="1"/>
  <c r="B24" i="1"/>
  <c r="G24" i="1" s="1"/>
  <c r="I24" i="1"/>
  <c r="B23" i="1"/>
  <c r="I23" i="1"/>
  <c r="B22" i="1"/>
  <c r="G22" i="1" s="1"/>
  <c r="I22" i="1"/>
  <c r="B21" i="1"/>
  <c r="G21" i="1" s="1"/>
  <c r="I21" i="1"/>
  <c r="B20" i="1"/>
  <c r="G20" i="1" s="1"/>
  <c r="I20" i="1"/>
  <c r="B19" i="1"/>
  <c r="I19" i="1"/>
  <c r="B18" i="1"/>
  <c r="G18" i="1" s="1"/>
  <c r="I18" i="1"/>
  <c r="B17" i="1"/>
  <c r="G17" i="1" s="1"/>
  <c r="I17" i="1"/>
  <c r="B16" i="1"/>
  <c r="G16" i="1" s="1"/>
  <c r="I16" i="1"/>
  <c r="I15" i="1"/>
  <c r="I14" i="1"/>
  <c r="I13" i="1"/>
  <c r="I12" i="1"/>
  <c r="I11" i="1"/>
  <c r="I10" i="1"/>
  <c r="J10" i="1" s="1"/>
  <c r="I9" i="1"/>
  <c r="I8" i="1"/>
  <c r="D49" i="1"/>
  <c r="D48" i="1"/>
  <c r="K48" i="1" s="1"/>
  <c r="D47" i="1"/>
  <c r="D46" i="1"/>
  <c r="D45" i="1"/>
  <c r="D44" i="1"/>
  <c r="D43" i="1"/>
  <c r="K43" i="1" s="1"/>
  <c r="D42" i="1"/>
  <c r="D41" i="1"/>
  <c r="D40" i="1"/>
  <c r="D39" i="1"/>
  <c r="D38" i="1"/>
  <c r="D37" i="1"/>
  <c r="D36" i="1"/>
  <c r="D35" i="1"/>
  <c r="D34" i="1"/>
  <c r="H34" i="1" s="1"/>
  <c r="D33" i="1"/>
  <c r="H33" i="1" s="1"/>
  <c r="D32" i="1"/>
  <c r="D31" i="1"/>
  <c r="H31" i="1" s="1"/>
  <c r="D30" i="1"/>
  <c r="H30" i="1" s="1"/>
  <c r="D29" i="1"/>
  <c r="H29" i="1" s="1"/>
  <c r="D28" i="1"/>
  <c r="H28" i="1" s="1"/>
  <c r="D27" i="1"/>
  <c r="D26" i="1"/>
  <c r="H26" i="1" s="1"/>
  <c r="D25" i="1"/>
  <c r="H25" i="1" s="1"/>
  <c r="D24" i="1"/>
  <c r="H24" i="1" s="1"/>
  <c r="D23" i="1"/>
  <c r="H23" i="1" s="1"/>
  <c r="D22" i="1"/>
  <c r="H22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F49" i="1"/>
  <c r="F48" i="1"/>
  <c r="K83" i="6"/>
  <c r="N83" i="6"/>
  <c r="P83" i="6"/>
  <c r="Q83" i="6"/>
  <c r="Q84" i="6" s="1"/>
  <c r="X64" i="4"/>
  <c r="X55" i="4"/>
  <c r="X46" i="4"/>
  <c r="X30" i="4"/>
  <c r="X12" i="4"/>
  <c r="Y21" i="4"/>
  <c r="Y30" i="4"/>
  <c r="Y12" i="4"/>
  <c r="Y55" i="4"/>
  <c r="Y64" i="4"/>
  <c r="Y46" i="4"/>
  <c r="I46" i="6"/>
  <c r="I45" i="6"/>
  <c r="H47" i="6"/>
  <c r="G47" i="6"/>
  <c r="E47" i="6"/>
  <c r="S23" i="6"/>
  <c r="Q20" i="6"/>
  <c r="Q111" i="6" s="1"/>
  <c r="I12" i="6"/>
  <c r="I20" i="6"/>
  <c r="I25" i="6"/>
  <c r="I26" i="6"/>
  <c r="I27" i="6"/>
  <c r="I28" i="6"/>
  <c r="I29" i="6"/>
  <c r="I23" i="6"/>
  <c r="I24" i="6"/>
  <c r="I5" i="6"/>
  <c r="I6" i="6"/>
  <c r="I11" i="6"/>
  <c r="I13" i="6"/>
  <c r="I15" i="6"/>
  <c r="I16" i="6"/>
  <c r="I17" i="6"/>
  <c r="I30" i="6"/>
  <c r="I18" i="6"/>
  <c r="I19" i="6"/>
  <c r="I21" i="6"/>
  <c r="I7" i="6"/>
  <c r="I8" i="6"/>
  <c r="I9" i="6"/>
  <c r="I10" i="6"/>
  <c r="I22" i="6"/>
  <c r="I4" i="6"/>
  <c r="B42" i="6"/>
  <c r="E42" i="6"/>
  <c r="G42" i="6"/>
  <c r="H42" i="6"/>
  <c r="I31" i="6"/>
  <c r="I32" i="6"/>
  <c r="I33" i="6"/>
  <c r="I34" i="6"/>
  <c r="I35" i="6"/>
  <c r="I36" i="6"/>
  <c r="I37" i="6"/>
  <c r="I38" i="6"/>
  <c r="I39" i="6"/>
  <c r="I40" i="6"/>
  <c r="I88" i="6"/>
  <c r="I87" i="6"/>
  <c r="I86" i="6"/>
  <c r="I85" i="6"/>
  <c r="I84" i="6"/>
  <c r="I83" i="6"/>
  <c r="I82" i="6"/>
  <c r="I81" i="6"/>
  <c r="I80" i="6"/>
  <c r="I79" i="6"/>
  <c r="Q112" i="6"/>
  <c r="N69" i="6"/>
  <c r="P69" i="6"/>
  <c r="Q69" i="6"/>
  <c r="I53" i="6"/>
  <c r="I54" i="6"/>
  <c r="I56" i="6"/>
  <c r="I60" i="6"/>
  <c r="I68" i="6"/>
  <c r="I52" i="6"/>
  <c r="I55" i="6"/>
  <c r="I57" i="6"/>
  <c r="I58" i="6"/>
  <c r="I59" i="6"/>
  <c r="I61" i="6"/>
  <c r="I63" i="6"/>
  <c r="I64" i="6"/>
  <c r="I65" i="6"/>
  <c r="I66" i="6"/>
  <c r="I67" i="6"/>
  <c r="I69" i="6"/>
  <c r="I70" i="6"/>
  <c r="I71" i="6"/>
  <c r="I72" i="6"/>
  <c r="I73" i="6"/>
  <c r="I74" i="6"/>
  <c r="I75" i="6"/>
  <c r="I76" i="6"/>
  <c r="I77" i="6"/>
  <c r="I78" i="6"/>
  <c r="M13" i="8"/>
  <c r="M14" i="8"/>
  <c r="M16" i="8"/>
  <c r="M17" i="8"/>
  <c r="M18" i="8"/>
  <c r="M19" i="8"/>
  <c r="M20" i="8"/>
  <c r="M29" i="8"/>
  <c r="M28" i="8"/>
  <c r="M27" i="8"/>
  <c r="M26" i="8"/>
  <c r="M25" i="8"/>
  <c r="M24" i="8"/>
  <c r="M23" i="8"/>
  <c r="M22" i="8"/>
  <c r="M21" i="8"/>
  <c r="K25" i="8"/>
  <c r="K28" i="8"/>
  <c r="K29" i="8"/>
  <c r="K27" i="8"/>
  <c r="K26" i="8"/>
  <c r="K24" i="8"/>
  <c r="K23" i="8"/>
  <c r="K22" i="8"/>
  <c r="K21" i="8"/>
  <c r="J29" i="8"/>
  <c r="J28" i="8"/>
  <c r="J27" i="8"/>
  <c r="J26" i="8"/>
  <c r="J25" i="8"/>
  <c r="J24" i="8"/>
  <c r="J23" i="8"/>
  <c r="J22" i="8"/>
  <c r="J21" i="8"/>
  <c r="Q36" i="8"/>
  <c r="Q35" i="8"/>
  <c r="Q34" i="8"/>
  <c r="N32" i="8"/>
  <c r="N33" i="8"/>
  <c r="H30" i="8"/>
  <c r="G30" i="8"/>
  <c r="F30" i="8"/>
  <c r="E30" i="8"/>
  <c r="D30" i="8"/>
  <c r="C30" i="8"/>
  <c r="A42" i="10"/>
  <c r="A41" i="10"/>
  <c r="A40" i="10"/>
  <c r="A39" i="10"/>
  <c r="A38" i="10"/>
  <c r="A36" i="10"/>
  <c r="A35" i="10"/>
  <c r="A34" i="10"/>
  <c r="A33" i="10"/>
  <c r="A32" i="10"/>
  <c r="A47" i="10"/>
  <c r="A48" i="10"/>
  <c r="A49" i="10"/>
  <c r="A50" i="10"/>
  <c r="A51" i="10"/>
  <c r="A54" i="10"/>
  <c r="A55" i="10"/>
  <c r="A56" i="10"/>
  <c r="A83" i="10"/>
  <c r="A84" i="10"/>
  <c r="A85" i="10"/>
  <c r="A86" i="10"/>
  <c r="A87" i="10"/>
  <c r="A88" i="10"/>
  <c r="A89" i="10"/>
  <c r="A90" i="10"/>
  <c r="A91" i="10"/>
  <c r="A92" i="10"/>
  <c r="A93" i="10"/>
  <c r="A57" i="10"/>
  <c r="D55" i="1"/>
  <c r="B55" i="1"/>
  <c r="J55" i="1" s="1"/>
  <c r="D56" i="1"/>
  <c r="B56" i="1"/>
  <c r="H726" i="11"/>
  <c r="O68" i="6"/>
  <c r="M68" i="6"/>
  <c r="D58" i="1"/>
  <c r="B58" i="1"/>
  <c r="N528" i="11"/>
  <c r="N728" i="11" s="1"/>
  <c r="O528" i="11"/>
  <c r="O728" i="11" s="1"/>
  <c r="I714" i="11"/>
  <c r="O578" i="11"/>
  <c r="O732" i="11" s="1"/>
  <c r="G737" i="11"/>
  <c r="L10" i="1"/>
  <c r="BF30" i="9"/>
  <c r="BF32" i="9" s="1"/>
  <c r="B36" i="8"/>
  <c r="G36" i="8" s="1"/>
  <c r="CB23" i="9"/>
  <c r="CB34" i="9" s="1"/>
  <c r="M23" i="9"/>
  <c r="BX23" i="9"/>
  <c r="K26" i="9"/>
  <c r="N578" i="11"/>
  <c r="N732" i="11" s="1"/>
  <c r="AF23" i="9"/>
  <c r="AF34" i="9"/>
  <c r="Y23" i="9"/>
  <c r="Y34" i="9" s="1"/>
  <c r="AP21" i="9"/>
  <c r="DF23" i="9"/>
  <c r="AR23" i="9"/>
  <c r="H48" i="1"/>
  <c r="H714" i="11"/>
  <c r="I715" i="11"/>
  <c r="J730" i="11"/>
  <c r="O466" i="11"/>
  <c r="O723" i="11" s="1"/>
  <c r="J723" i="11"/>
  <c r="L111" i="6"/>
  <c r="EH23" i="9"/>
  <c r="P68" i="6"/>
  <c r="O541" i="11"/>
  <c r="O730" i="11" s="1"/>
  <c r="DN33" i="9"/>
  <c r="B46" i="8" s="1"/>
  <c r="M46" i="8" s="1"/>
  <c r="T25" i="9"/>
  <c r="P61" i="6"/>
  <c r="B94" i="10"/>
  <c r="G19" i="1"/>
  <c r="C94" i="10"/>
  <c r="DX23" i="9"/>
  <c r="I38" i="8"/>
  <c r="DX33" i="9"/>
  <c r="B48" i="8" s="1"/>
  <c r="C48" i="8" s="1"/>
  <c r="I41" i="8"/>
  <c r="CP23" i="9"/>
  <c r="CP25" i="9" s="1"/>
  <c r="D71" i="10"/>
  <c r="F71" i="10" s="1"/>
  <c r="H71" i="10" s="1"/>
  <c r="H32" i="1"/>
  <c r="Q68" i="6"/>
  <c r="M61" i="6"/>
  <c r="M39" i="8"/>
  <c r="H18" i="9"/>
  <c r="BB21" i="9"/>
  <c r="BD23" i="9"/>
  <c r="BH23" i="9" s="1"/>
  <c r="BZ21" i="9"/>
  <c r="BF23" i="9"/>
  <c r="BF25" i="9"/>
  <c r="BR23" i="9"/>
  <c r="BT23" i="9" s="1"/>
  <c r="DV23" i="9"/>
  <c r="DY23" i="9" s="1"/>
  <c r="EM25" i="9"/>
  <c r="DO21" i="9"/>
  <c r="DF34" i="9"/>
  <c r="CF21" i="9"/>
  <c r="DJ21" i="9"/>
  <c r="J32" i="8"/>
  <c r="E32" i="8"/>
  <c r="BD34" i="9"/>
  <c r="M33" i="8"/>
  <c r="K33" i="8"/>
  <c r="AL23" i="9"/>
  <c r="AX23" i="9"/>
  <c r="BN21" i="9"/>
  <c r="CN23" i="9"/>
  <c r="CR23" i="9" s="1"/>
  <c r="DH32" i="9"/>
  <c r="CL23" i="9"/>
  <c r="I32" i="8"/>
  <c r="CR21" i="9"/>
  <c r="AH32" i="9"/>
  <c r="BJ23" i="9"/>
  <c r="CL21" i="9"/>
  <c r="CP32" i="9"/>
  <c r="B42" i="8"/>
  <c r="J42" i="8" s="1"/>
  <c r="BL23" i="9"/>
  <c r="BN23" i="9" s="1"/>
  <c r="I36" i="8"/>
  <c r="CX21" i="9"/>
  <c r="CJ30" i="9"/>
  <c r="CJ32" i="9" s="1"/>
  <c r="B41" i="8" s="1"/>
  <c r="I33" i="8"/>
  <c r="AN23" i="9"/>
  <c r="AN25" i="9" s="1"/>
  <c r="DS30" i="9"/>
  <c r="DS32" i="9" s="1"/>
  <c r="DF27" i="9"/>
  <c r="O21" i="9"/>
  <c r="AC21" i="9"/>
  <c r="BV23" i="9"/>
  <c r="CH34" i="9"/>
  <c r="CV23" i="9"/>
  <c r="CV25" i="9" s="1"/>
  <c r="DH23" i="9"/>
  <c r="AR34" i="9"/>
  <c r="H34" i="8"/>
  <c r="BZ23" i="9"/>
  <c r="BV34" i="9"/>
  <c r="EC23" i="9"/>
  <c r="EC30" i="9"/>
  <c r="EC32" i="9"/>
  <c r="ED11" i="9"/>
  <c r="EA21" i="9"/>
  <c r="K48" i="8"/>
  <c r="DX25" i="9"/>
  <c r="AT23" i="9"/>
  <c r="AZ25" i="9" s="1"/>
  <c r="O23" i="9"/>
  <c r="M26" i="9"/>
  <c r="O26" i="9" s="1"/>
  <c r="M25" i="9"/>
  <c r="F26" i="9"/>
  <c r="H26" i="9"/>
  <c r="H21" i="9"/>
  <c r="CT34" i="9"/>
  <c r="DT21" i="9"/>
  <c r="DQ23" i="9"/>
  <c r="DT23" i="9" s="1"/>
  <c r="DS33" i="9"/>
  <c r="B47" i="8" s="1"/>
  <c r="AJ21" i="9"/>
  <c r="AH23" i="9"/>
  <c r="AH25" i="9" s="1"/>
  <c r="DB30" i="9"/>
  <c r="DB32" i="9"/>
  <c r="B44" i="8" s="1"/>
  <c r="DD21" i="9"/>
  <c r="DB23" i="9"/>
  <c r="DD23" i="9" s="1"/>
  <c r="DJ23" i="9"/>
  <c r="G48" i="8"/>
  <c r="H48" i="8"/>
  <c r="D48" i="8"/>
  <c r="J48" i="8"/>
  <c r="E48" i="8"/>
  <c r="M48" i="8"/>
  <c r="F48" i="8"/>
  <c r="AA25" i="9"/>
  <c r="I34" i="8"/>
  <c r="AV21" i="9"/>
  <c r="BJ34" i="9"/>
  <c r="BR30" i="9"/>
  <c r="BR32" i="9"/>
  <c r="B38" i="8" s="1"/>
  <c r="BT21" i="9"/>
  <c r="CN34" i="9"/>
  <c r="I39" i="8"/>
  <c r="CX23" i="9"/>
  <c r="BB23" i="9"/>
  <c r="AX34" i="9"/>
  <c r="AL34" i="9"/>
  <c r="AP23" i="9"/>
  <c r="DB25" i="9"/>
  <c r="AT25" i="9"/>
  <c r="AV23" i="9"/>
  <c r="EH25" i="9"/>
  <c r="EC25" i="9"/>
  <c r="AJ23" i="9"/>
  <c r="ED21" i="9"/>
  <c r="EC33" i="9"/>
  <c r="B49" i="8"/>
  <c r="J49" i="8" s="1"/>
  <c r="EA23" i="9"/>
  <c r="ED23" i="9" s="1"/>
  <c r="EK23" i="9"/>
  <c r="EM32" i="9" s="1"/>
  <c r="EN23" i="9"/>
  <c r="EN21" i="9"/>
  <c r="K98" i="6"/>
  <c r="C58" i="10"/>
  <c r="G46" i="8"/>
  <c r="M34" i="8"/>
  <c r="D46" i="8"/>
  <c r="K34" i="8"/>
  <c r="F46" i="8"/>
  <c r="E19" i="10" l="1"/>
  <c r="E34" i="10"/>
  <c r="Q77" i="6"/>
  <c r="L53" i="6"/>
  <c r="J34" i="8"/>
  <c r="F34" i="8"/>
  <c r="H32" i="8"/>
  <c r="M32" i="8"/>
  <c r="C32" i="8"/>
  <c r="G32" i="8"/>
  <c r="G34" i="8"/>
  <c r="C34" i="8"/>
  <c r="E34" i="8"/>
  <c r="H64" i="1"/>
  <c r="J715" i="11"/>
  <c r="N68" i="6"/>
  <c r="K84" i="6"/>
  <c r="E33" i="8"/>
  <c r="H33" i="8"/>
  <c r="J33" i="8"/>
  <c r="L33" i="8" s="1"/>
  <c r="F33" i="8"/>
  <c r="D33" i="8"/>
  <c r="J36" i="8"/>
  <c r="G33" i="8"/>
  <c r="G20" i="5"/>
  <c r="D12" i="10" s="1"/>
  <c r="F12" i="10" s="1"/>
  <c r="H12" i="10" s="1"/>
  <c r="H46" i="8"/>
  <c r="C46" i="8"/>
  <c r="E46" i="8"/>
  <c r="J46" i="8"/>
  <c r="K46" i="8"/>
  <c r="G42" i="1"/>
  <c r="H44" i="1"/>
  <c r="K44" i="1"/>
  <c r="J7" i="1"/>
  <c r="H45" i="1"/>
  <c r="K45" i="1"/>
  <c r="L11" i="1"/>
  <c r="G41" i="1"/>
  <c r="J41" i="1"/>
  <c r="J45" i="1"/>
  <c r="J49" i="1"/>
  <c r="L44" i="1"/>
  <c r="G59" i="1"/>
  <c r="J59" i="1"/>
  <c r="H46" i="1"/>
  <c r="K46" i="1"/>
  <c r="J12" i="1"/>
  <c r="G50" i="1"/>
  <c r="J50" i="1"/>
  <c r="L43" i="1"/>
  <c r="H59" i="1"/>
  <c r="K59" i="1"/>
  <c r="L57" i="1"/>
  <c r="G63" i="1"/>
  <c r="J63" i="1"/>
  <c r="L49" i="1"/>
  <c r="H47" i="1"/>
  <c r="K47" i="1"/>
  <c r="L13" i="1"/>
  <c r="G46" i="1"/>
  <c r="J46" i="1"/>
  <c r="L51" i="1"/>
  <c r="L42" i="1"/>
  <c r="K52" i="1"/>
  <c r="J62" i="1"/>
  <c r="H63" i="1"/>
  <c r="K63" i="1"/>
  <c r="H58" i="1"/>
  <c r="K58" i="1"/>
  <c r="G60" i="1"/>
  <c r="G56" i="1"/>
  <c r="J56" i="1"/>
  <c r="J14" i="1"/>
  <c r="G51" i="1"/>
  <c r="J51" i="1"/>
  <c r="L41" i="1"/>
  <c r="K53" i="1"/>
  <c r="L58" i="1"/>
  <c r="K62" i="1"/>
  <c r="L45" i="1"/>
  <c r="H56" i="1"/>
  <c r="K56" i="1"/>
  <c r="H41" i="1"/>
  <c r="K41" i="1"/>
  <c r="K49" i="1"/>
  <c r="L15" i="1"/>
  <c r="J43" i="1"/>
  <c r="J47" i="1"/>
  <c r="K54" i="1"/>
  <c r="G57" i="1"/>
  <c r="J57" i="1"/>
  <c r="G61" i="1"/>
  <c r="J61" i="1"/>
  <c r="J11" i="1"/>
  <c r="H42" i="1"/>
  <c r="K42" i="1"/>
  <c r="L8" i="1"/>
  <c r="L50" i="1"/>
  <c r="J54" i="1"/>
  <c r="L53" i="1"/>
  <c r="H61" i="1"/>
  <c r="K61" i="1"/>
  <c r="J15" i="1"/>
  <c r="G58" i="1"/>
  <c r="J58" i="1"/>
  <c r="H55" i="1"/>
  <c r="K55" i="1"/>
  <c r="J9" i="1"/>
  <c r="G44" i="1"/>
  <c r="J44" i="1"/>
  <c r="G53" i="1"/>
  <c r="J53" i="1"/>
  <c r="L46" i="1"/>
  <c r="L54" i="1"/>
  <c r="L59" i="1"/>
  <c r="H39" i="1"/>
  <c r="H38" i="1"/>
  <c r="J39" i="1"/>
  <c r="K39" i="1"/>
  <c r="K40" i="1"/>
  <c r="J40" i="1"/>
  <c r="L40" i="1"/>
  <c r="L39" i="1"/>
  <c r="H37" i="1"/>
  <c r="G37" i="1"/>
  <c r="J38" i="1"/>
  <c r="K38" i="1"/>
  <c r="L38" i="1"/>
  <c r="J8" i="1"/>
  <c r="J25" i="1"/>
  <c r="L25" i="1"/>
  <c r="K25" i="1"/>
  <c r="L26" i="1"/>
  <c r="K26" i="1"/>
  <c r="J19" i="1"/>
  <c r="K19" i="1"/>
  <c r="L19" i="1"/>
  <c r="L23" i="1"/>
  <c r="K23" i="1"/>
  <c r="J17" i="1"/>
  <c r="L17" i="1"/>
  <c r="K17" i="1"/>
  <c r="L18" i="1"/>
  <c r="K18" i="1"/>
  <c r="J21" i="1"/>
  <c r="L21" i="1"/>
  <c r="K21" i="1"/>
  <c r="J16" i="1"/>
  <c r="L16" i="1"/>
  <c r="K16" i="1"/>
  <c r="K20" i="1"/>
  <c r="L20" i="1"/>
  <c r="J24" i="1"/>
  <c r="L24" i="1"/>
  <c r="K24" i="1"/>
  <c r="K22" i="1"/>
  <c r="L22" i="1"/>
  <c r="H36" i="1"/>
  <c r="G36" i="1"/>
  <c r="K37" i="1"/>
  <c r="L37" i="1"/>
  <c r="J37" i="1"/>
  <c r="K29" i="1"/>
  <c r="L29" i="1"/>
  <c r="J29" i="1"/>
  <c r="L30" i="1"/>
  <c r="K30" i="1"/>
  <c r="J30" i="1"/>
  <c r="L34" i="1"/>
  <c r="K34" i="1"/>
  <c r="J34" i="1"/>
  <c r="L35" i="1"/>
  <c r="J27" i="1"/>
  <c r="L27" i="1"/>
  <c r="K27" i="1"/>
  <c r="J31" i="1"/>
  <c r="L31" i="1"/>
  <c r="K31" i="1"/>
  <c r="J35" i="1"/>
  <c r="K35" i="1"/>
  <c r="G35" i="1"/>
  <c r="J28" i="1"/>
  <c r="L28" i="1"/>
  <c r="K28" i="1"/>
  <c r="K32" i="1"/>
  <c r="L32" i="1"/>
  <c r="J32" i="1"/>
  <c r="L36" i="1"/>
  <c r="J36" i="1"/>
  <c r="K36" i="1"/>
  <c r="K33" i="1"/>
  <c r="L33" i="1"/>
  <c r="J33" i="1"/>
  <c r="E86" i="10"/>
  <c r="G738" i="11"/>
  <c r="M738" i="11"/>
  <c r="P738" i="11"/>
  <c r="D91" i="10" s="1"/>
  <c r="F91" i="10" s="1"/>
  <c r="H91" i="10" s="1"/>
  <c r="Q738" i="11"/>
  <c r="F738" i="11"/>
  <c r="D25" i="10" s="1"/>
  <c r="F25" i="10" s="1"/>
  <c r="H25" i="10" s="1"/>
  <c r="D17" i="10"/>
  <c r="E17" i="10" s="1"/>
  <c r="D47" i="10"/>
  <c r="E47" i="10" s="1"/>
  <c r="D83" i="10"/>
  <c r="E83" i="10" s="1"/>
  <c r="D32" i="10"/>
  <c r="F32" i="10" s="1"/>
  <c r="H32" i="10" s="1"/>
  <c r="Q96" i="6"/>
  <c r="Q98" i="6" s="1"/>
  <c r="O106" i="6"/>
  <c r="O61" i="6"/>
  <c r="O63" i="6" s="1"/>
  <c r="K53" i="6"/>
  <c r="K55" i="6" s="1"/>
  <c r="G29" i="5"/>
  <c r="H29" i="5" s="1"/>
  <c r="E10" i="10" s="1"/>
  <c r="G10" i="10" s="1"/>
  <c r="I10" i="10" s="1"/>
  <c r="G6" i="5"/>
  <c r="B67" i="2" s="1"/>
  <c r="C54" i="8" s="1"/>
  <c r="E45" i="8"/>
  <c r="K49" i="8"/>
  <c r="L49" i="8" s="1"/>
  <c r="H49" i="8"/>
  <c r="M49" i="8"/>
  <c r="K42" i="8"/>
  <c r="L42" i="8" s="1"/>
  <c r="C36" i="8"/>
  <c r="C49" i="8"/>
  <c r="M42" i="8"/>
  <c r="D45" i="8"/>
  <c r="E49" i="8"/>
  <c r="M36" i="8"/>
  <c r="H45" i="8"/>
  <c r="E36" i="8"/>
  <c r="H36" i="8"/>
  <c r="F49" i="8"/>
  <c r="K36" i="8"/>
  <c r="G45" i="8"/>
  <c r="K45" i="8"/>
  <c r="D42" i="8"/>
  <c r="J45" i="8"/>
  <c r="D49" i="8"/>
  <c r="F36" i="8"/>
  <c r="M45" i="8"/>
  <c r="D36" i="8"/>
  <c r="C45" i="8"/>
  <c r="N441" i="11"/>
  <c r="N722" i="11" s="1"/>
  <c r="J18" i="1"/>
  <c r="J22" i="1"/>
  <c r="J26" i="1"/>
  <c r="L12" i="1"/>
  <c r="J23" i="1"/>
  <c r="J20" i="1"/>
  <c r="Q55" i="6"/>
  <c r="O75" i="6"/>
  <c r="O77" i="6" s="1"/>
  <c r="M106" i="6"/>
  <c r="M75" i="6"/>
  <c r="M77" i="6" s="1"/>
  <c r="H31" i="5"/>
  <c r="F11" i="10"/>
  <c r="H11" i="10" s="1"/>
  <c r="L30" i="8"/>
  <c r="K39" i="8"/>
  <c r="G39" i="8"/>
  <c r="D39" i="8"/>
  <c r="F39" i="8"/>
  <c r="J39" i="8"/>
  <c r="H35" i="1"/>
  <c r="G33" i="1"/>
  <c r="H43" i="1"/>
  <c r="G54" i="1"/>
  <c r="H40" i="1"/>
  <c r="H54" i="1"/>
  <c r="G55" i="1"/>
  <c r="G49" i="1"/>
  <c r="L14" i="1"/>
  <c r="J13" i="1"/>
  <c r="G39" i="1"/>
  <c r="G47" i="1"/>
  <c r="G40" i="1"/>
  <c r="H52" i="1"/>
  <c r="H42" i="8"/>
  <c r="K51" i="8"/>
  <c r="L51" i="8" s="1"/>
  <c r="E51" i="8"/>
  <c r="M51" i="8"/>
  <c r="E50" i="8"/>
  <c r="H50" i="8"/>
  <c r="G42" i="8"/>
  <c r="M50" i="8"/>
  <c r="G50" i="8"/>
  <c r="C42" i="8"/>
  <c r="C51" i="8"/>
  <c r="K50" i="8"/>
  <c r="L50" i="8" s="1"/>
  <c r="D50" i="8"/>
  <c r="F50" i="8"/>
  <c r="D51" i="8"/>
  <c r="E42" i="8"/>
  <c r="C50" i="8"/>
  <c r="L31" i="8"/>
  <c r="F51" i="8"/>
  <c r="H60" i="1"/>
  <c r="G23" i="1"/>
  <c r="G64" i="1"/>
  <c r="H51" i="1"/>
  <c r="G43" i="1"/>
  <c r="H27" i="1"/>
  <c r="H49" i="1"/>
  <c r="G38" i="1"/>
  <c r="G48" i="1"/>
  <c r="H53" i="1"/>
  <c r="G45" i="1"/>
  <c r="G52" i="1"/>
  <c r="H57" i="1"/>
  <c r="L55" i="6"/>
  <c r="Q113" i="6"/>
  <c r="Q70" i="6"/>
  <c r="Q118" i="6"/>
  <c r="Q120" i="6" s="1"/>
  <c r="O96" i="6"/>
  <c r="O98" i="6" s="1"/>
  <c r="O42" i="6"/>
  <c r="N77" i="6"/>
  <c r="N96" i="6"/>
  <c r="N98" i="6" s="1"/>
  <c r="L84" i="6"/>
  <c r="H20" i="5"/>
  <c r="E12" i="10" s="1"/>
  <c r="G12" i="10" s="1"/>
  <c r="I12" i="10" s="1"/>
  <c r="H32" i="5"/>
  <c r="G26" i="5"/>
  <c r="H26" i="5" s="1"/>
  <c r="E9" i="10" s="1"/>
  <c r="G9" i="10" s="1"/>
  <c r="I9" i="10" s="1"/>
  <c r="D51" i="5"/>
  <c r="D53" i="5" s="1"/>
  <c r="G30" i="5"/>
  <c r="L28" i="8"/>
  <c r="L34" i="8"/>
  <c r="L21" i="8"/>
  <c r="L29" i="8"/>
  <c r="L23" i="8"/>
  <c r="O605" i="11"/>
  <c r="O734" i="11" s="1"/>
  <c r="N139" i="11"/>
  <c r="N425" i="11"/>
  <c r="N721" i="11" s="1"/>
  <c r="O652" i="11"/>
  <c r="N184" i="11"/>
  <c r="O160" i="11"/>
  <c r="F34" i="10"/>
  <c r="H34" i="10" s="1"/>
  <c r="E52" i="10"/>
  <c r="G52" i="10" s="1"/>
  <c r="I52" i="10" s="1"/>
  <c r="E90" i="10"/>
  <c r="G90" i="10" s="1"/>
  <c r="I90" i="10" s="1"/>
  <c r="F86" i="10"/>
  <c r="H86" i="10" s="1"/>
  <c r="N524" i="11"/>
  <c r="D33" i="10"/>
  <c r="F33" i="10" s="1"/>
  <c r="H33" i="10" s="1"/>
  <c r="N652" i="11"/>
  <c r="O286" i="11"/>
  <c r="N88" i="11"/>
  <c r="N174" i="11"/>
  <c r="O508" i="11"/>
  <c r="O727" i="11" s="1"/>
  <c r="O536" i="11"/>
  <c r="O729" i="11" s="1"/>
  <c r="K733" i="11"/>
  <c r="N496" i="11"/>
  <c r="N725" i="11" s="1"/>
  <c r="O421" i="11"/>
  <c r="O720" i="11" s="1"/>
  <c r="E22" i="10"/>
  <c r="G22" i="10" s="1"/>
  <c r="I22" i="10" s="1"/>
  <c r="N259" i="11"/>
  <c r="N286" i="11"/>
  <c r="O184" i="11"/>
  <c r="N208" i="11"/>
  <c r="N713" i="11"/>
  <c r="E88" i="10"/>
  <c r="G88" i="10" s="1"/>
  <c r="I88" i="10" s="1"/>
  <c r="D84" i="10"/>
  <c r="F84" i="10" s="1"/>
  <c r="H84" i="10" s="1"/>
  <c r="O259" i="11"/>
  <c r="E87" i="10"/>
  <c r="G87" i="10" s="1"/>
  <c r="I87" i="10" s="1"/>
  <c r="E37" i="10"/>
  <c r="G37" i="10" s="1"/>
  <c r="I37" i="10" s="1"/>
  <c r="O208" i="11"/>
  <c r="N357" i="11"/>
  <c r="N311" i="11"/>
  <c r="N716" i="11" s="1"/>
  <c r="O262" i="11"/>
  <c r="O715" i="11" s="1"/>
  <c r="E54" i="10"/>
  <c r="G54" i="10" s="1"/>
  <c r="I54" i="10" s="1"/>
  <c r="E92" i="10"/>
  <c r="G92" i="10" s="1"/>
  <c r="I92" i="10" s="1"/>
  <c r="N160" i="11"/>
  <c r="H722" i="11"/>
  <c r="I734" i="11"/>
  <c r="I738" i="11" s="1"/>
  <c r="D35" i="10"/>
  <c r="E35" i="10" s="1"/>
  <c r="G35" i="10" s="1"/>
  <c r="I35" i="10" s="1"/>
  <c r="N678" i="11"/>
  <c r="N481" i="11"/>
  <c r="N724" i="11" s="1"/>
  <c r="O357" i="11"/>
  <c r="N331" i="11"/>
  <c r="N717" i="11" s="1"/>
  <c r="O425" i="11"/>
  <c r="O721" i="11" s="1"/>
  <c r="E51" i="10"/>
  <c r="G51" i="10" s="1"/>
  <c r="I51" i="10" s="1"/>
  <c r="O311" i="11"/>
  <c r="O716" i="11" s="1"/>
  <c r="O331" i="11"/>
  <c r="O717" i="11" s="1"/>
  <c r="N508" i="11"/>
  <c r="N727" i="11" s="1"/>
  <c r="D41" i="10"/>
  <c r="F41" i="10" s="1"/>
  <c r="H41" i="10" s="1"/>
  <c r="O139" i="11"/>
  <c r="N461" i="11"/>
  <c r="M701" i="11"/>
  <c r="O713" i="11"/>
  <c r="N421" i="11"/>
  <c r="N720" i="11" s="1"/>
  <c r="O481" i="11"/>
  <c r="O724" i="11" s="1"/>
  <c r="G49" i="10"/>
  <c r="I49" i="10" s="1"/>
  <c r="N379" i="11"/>
  <c r="N718" i="11" s="1"/>
  <c r="O370" i="11"/>
  <c r="E53" i="10"/>
  <c r="G53" i="10" s="1"/>
  <c r="I53" i="10" s="1"/>
  <c r="L701" i="11"/>
  <c r="F85" i="10"/>
  <c r="H85" i="10" s="1"/>
  <c r="O461" i="11"/>
  <c r="N403" i="11"/>
  <c r="N719" i="11" s="1"/>
  <c r="O694" i="11"/>
  <c r="O736" i="11" s="1"/>
  <c r="D50" i="10"/>
  <c r="E50" i="10" s="1"/>
  <c r="G50" i="10" s="1"/>
  <c r="I50" i="10" s="1"/>
  <c r="O441" i="11"/>
  <c r="O722" i="11" s="1"/>
  <c r="O403" i="11"/>
  <c r="O719" i="11" s="1"/>
  <c r="D20" i="10"/>
  <c r="E20" i="10" s="1"/>
  <c r="G20" i="10" s="1"/>
  <c r="I20" i="10" s="1"/>
  <c r="F22" i="10"/>
  <c r="H22" i="10" s="1"/>
  <c r="O379" i="11"/>
  <c r="O718" i="11" s="1"/>
  <c r="O496" i="11"/>
  <c r="O725" i="11" s="1"/>
  <c r="D18" i="10"/>
  <c r="F18" i="10" s="1"/>
  <c r="H18" i="10" s="1"/>
  <c r="N121" i="11"/>
  <c r="O626" i="11"/>
  <c r="O735" i="11" s="1"/>
  <c r="E39" i="10"/>
  <c r="G39" i="10" s="1"/>
  <c r="I39" i="10" s="1"/>
  <c r="E38" i="10"/>
  <c r="G38" i="10" s="1"/>
  <c r="I38" i="10" s="1"/>
  <c r="E27" i="10"/>
  <c r="G27" i="10" s="1"/>
  <c r="I27" i="10" s="1"/>
  <c r="O121" i="11"/>
  <c r="F19" i="10"/>
  <c r="H19" i="10" s="1"/>
  <c r="G19" i="10"/>
  <c r="I19" i="10" s="1"/>
  <c r="E24" i="10"/>
  <c r="G24" i="10" s="1"/>
  <c r="I24" i="10" s="1"/>
  <c r="F24" i="10"/>
  <c r="H24" i="10" s="1"/>
  <c r="E21" i="10"/>
  <c r="G21" i="10" s="1"/>
  <c r="I21" i="10" s="1"/>
  <c r="F21" i="10"/>
  <c r="H21" i="10" s="1"/>
  <c r="H701" i="11"/>
  <c r="N571" i="11"/>
  <c r="N731" i="11" s="1"/>
  <c r="F53" i="10"/>
  <c r="H53" i="10" s="1"/>
  <c r="D48" i="10"/>
  <c r="F48" i="10" s="1"/>
  <c r="H48" i="10" s="1"/>
  <c r="N605" i="11"/>
  <c r="N734" i="11" s="1"/>
  <c r="K720" i="11"/>
  <c r="L731" i="11"/>
  <c r="L738" i="11" s="1"/>
  <c r="J733" i="11"/>
  <c r="N536" i="11"/>
  <c r="N729" i="11" s="1"/>
  <c r="N69" i="11"/>
  <c r="Q701" i="11"/>
  <c r="E89" i="10"/>
  <c r="G89" i="10" s="1"/>
  <c r="I89" i="10" s="1"/>
  <c r="N694" i="11"/>
  <c r="N736" i="11" s="1"/>
  <c r="H718" i="11"/>
  <c r="O500" i="11"/>
  <c r="O726" i="11" s="1"/>
  <c r="O524" i="11"/>
  <c r="O571" i="11"/>
  <c r="O731" i="11" s="1"/>
  <c r="N370" i="11"/>
  <c r="J726" i="11"/>
  <c r="O69" i="11"/>
  <c r="F701" i="11"/>
  <c r="O174" i="11"/>
  <c r="P701" i="11"/>
  <c r="E26" i="10"/>
  <c r="G26" i="10" s="1"/>
  <c r="I26" i="10" s="1"/>
  <c r="F51" i="10"/>
  <c r="H51" i="10" s="1"/>
  <c r="E93" i="10"/>
  <c r="G93" i="10" s="1"/>
  <c r="I93" i="10" s="1"/>
  <c r="E36" i="10"/>
  <c r="G36" i="10" s="1"/>
  <c r="I36" i="10" s="1"/>
  <c r="E42" i="10"/>
  <c r="G42" i="10" s="1"/>
  <c r="I42" i="10" s="1"/>
  <c r="E23" i="10"/>
  <c r="G23" i="10" s="1"/>
  <c r="I23" i="10" s="1"/>
  <c r="G701" i="11"/>
  <c r="I701" i="11"/>
  <c r="K701" i="11"/>
  <c r="J701" i="11"/>
  <c r="ES21" i="9"/>
  <c r="ER23" i="9"/>
  <c r="P63" i="6"/>
  <c r="R54" i="6"/>
  <c r="R112" i="6"/>
  <c r="Q106" i="6"/>
  <c r="Q61" i="6"/>
  <c r="Q63" i="6" s="1"/>
  <c r="Q42" i="6"/>
  <c r="P84" i="6"/>
  <c r="P106" i="6"/>
  <c r="P42" i="6"/>
  <c r="P120" i="6"/>
  <c r="P75" i="6"/>
  <c r="R97" i="6"/>
  <c r="O82" i="6"/>
  <c r="O84" i="6" s="1"/>
  <c r="O120" i="6"/>
  <c r="O55" i="6"/>
  <c r="N84" i="6"/>
  <c r="R111" i="6"/>
  <c r="R20" i="6"/>
  <c r="S24" i="6" s="1"/>
  <c r="S25" i="6" s="1"/>
  <c r="AQ39" i="4" s="1"/>
  <c r="R69" i="6"/>
  <c r="N42" i="6"/>
  <c r="N61" i="6"/>
  <c r="N63" i="6" s="1"/>
  <c r="N104" i="6"/>
  <c r="N106" i="6" s="1"/>
  <c r="N118" i="6"/>
  <c r="N120" i="6" s="1"/>
  <c r="N55" i="6"/>
  <c r="R5" i="6"/>
  <c r="J52" i="8" s="1"/>
  <c r="M84" i="6"/>
  <c r="R105" i="6"/>
  <c r="M42" i="6"/>
  <c r="M63" i="6"/>
  <c r="M120" i="6"/>
  <c r="R34" i="6"/>
  <c r="M52" i="8" s="1"/>
  <c r="R76" i="6"/>
  <c r="L118" i="6"/>
  <c r="L120" i="6" s="1"/>
  <c r="L77" i="6"/>
  <c r="L104" i="6"/>
  <c r="L106" i="6" s="1"/>
  <c r="L63" i="6"/>
  <c r="L42" i="6"/>
  <c r="K68" i="6"/>
  <c r="R68" i="6" s="1"/>
  <c r="R12" i="6"/>
  <c r="K52" i="8" s="1"/>
  <c r="K61" i="6"/>
  <c r="K42" i="6"/>
  <c r="R83" i="6"/>
  <c r="R25" i="6"/>
  <c r="K113" i="6"/>
  <c r="K118" i="6"/>
  <c r="K77" i="6"/>
  <c r="R23" i="6"/>
  <c r="K106" i="6"/>
  <c r="R119" i="6"/>
  <c r="R62" i="6"/>
  <c r="I42" i="6"/>
  <c r="I47" i="6"/>
  <c r="H6" i="5"/>
  <c r="C67" i="2" s="1"/>
  <c r="C52" i="8"/>
  <c r="G27" i="5"/>
  <c r="D47" i="5"/>
  <c r="G11" i="5"/>
  <c r="D67" i="2" s="1"/>
  <c r="D54" i="8" s="1"/>
  <c r="L46" i="8"/>
  <c r="L27" i="8"/>
  <c r="L22" i="8"/>
  <c r="L26" i="8"/>
  <c r="L48" i="8"/>
  <c r="L24" i="8"/>
  <c r="K47" i="8"/>
  <c r="D47" i="8"/>
  <c r="J47" i="8"/>
  <c r="H47" i="8"/>
  <c r="E47" i="8"/>
  <c r="M47" i="8"/>
  <c r="G47" i="8"/>
  <c r="F47" i="8"/>
  <c r="C47" i="8"/>
  <c r="M43" i="8"/>
  <c r="G43" i="8"/>
  <c r="H43" i="8"/>
  <c r="J43" i="8"/>
  <c r="E43" i="8"/>
  <c r="D43" i="8"/>
  <c r="C43" i="8"/>
  <c r="F43" i="8"/>
  <c r="K43" i="8"/>
  <c r="D41" i="8"/>
  <c r="M41" i="8"/>
  <c r="E41" i="8"/>
  <c r="G41" i="8"/>
  <c r="K41" i="8"/>
  <c r="C41" i="8"/>
  <c r="F41" i="8"/>
  <c r="H41" i="8"/>
  <c r="J41" i="8"/>
  <c r="I37" i="8"/>
  <c r="B37" i="8"/>
  <c r="F38" i="8"/>
  <c r="M38" i="8"/>
  <c r="G38" i="8"/>
  <c r="H38" i="8"/>
  <c r="J38" i="8"/>
  <c r="C38" i="8"/>
  <c r="K38" i="8"/>
  <c r="D38" i="8"/>
  <c r="E38" i="8"/>
  <c r="H44" i="8"/>
  <c r="K44" i="8"/>
  <c r="F44" i="8"/>
  <c r="C44" i="8"/>
  <c r="J44" i="8"/>
  <c r="M44" i="8"/>
  <c r="D44" i="8"/>
  <c r="E44" i="8"/>
  <c r="G44" i="8"/>
  <c r="G49" i="8"/>
  <c r="BL25" i="9"/>
  <c r="H50" i="1"/>
  <c r="BR25" i="9"/>
  <c r="DH25" i="9"/>
  <c r="BX25" i="9"/>
  <c r="P96" i="6"/>
  <c r="P98" i="6" s="1"/>
  <c r="P53" i="6"/>
  <c r="P55" i="6" s="1"/>
  <c r="L25" i="8"/>
  <c r="CD30" i="9"/>
  <c r="CD32" i="9" s="1"/>
  <c r="B40" i="8" s="1"/>
  <c r="CD23" i="9"/>
  <c r="DN30" i="9"/>
  <c r="DN32" i="9" s="1"/>
  <c r="DN23" i="9"/>
  <c r="EI21" i="9"/>
  <c r="EF23" i="9"/>
  <c r="DY21" i="9"/>
  <c r="DX30" i="9"/>
  <c r="DX32" i="9" s="1"/>
  <c r="E39" i="8"/>
  <c r="C39" i="8"/>
  <c r="F42" i="8"/>
  <c r="G15" i="5"/>
  <c r="G16" i="5"/>
  <c r="F67" i="2" s="1"/>
  <c r="CZ27" i="9"/>
  <c r="H62" i="1"/>
  <c r="M53" i="6"/>
  <c r="M96" i="6"/>
  <c r="K32" i="8"/>
  <c r="L32" i="8" s="1"/>
  <c r="D32" i="8"/>
  <c r="N626" i="11"/>
  <c r="N735" i="11" s="1"/>
  <c r="L9" i="1"/>
  <c r="AC23" i="9"/>
  <c r="AZ30" i="9"/>
  <c r="AZ32" i="9" s="1"/>
  <c r="B35" i="8" s="1"/>
  <c r="H51" i="8"/>
  <c r="L36" i="8" l="1"/>
  <c r="L45" i="8"/>
  <c r="D10" i="10"/>
  <c r="F10" i="10" s="1"/>
  <c r="H10" i="10" s="1"/>
  <c r="K738" i="11"/>
  <c r="H738" i="11"/>
  <c r="D40" i="10" s="1"/>
  <c r="F40" i="10" s="1"/>
  <c r="H40" i="10" s="1"/>
  <c r="O738" i="11"/>
  <c r="F47" i="10"/>
  <c r="H47" i="10" s="1"/>
  <c r="F83" i="10"/>
  <c r="H83" i="10" s="1"/>
  <c r="J738" i="11"/>
  <c r="D55" i="10" s="1"/>
  <c r="F55" i="10" s="1"/>
  <c r="H55" i="10" s="1"/>
  <c r="F17" i="10"/>
  <c r="H17" i="10" s="1"/>
  <c r="N738" i="11"/>
  <c r="E32" i="10"/>
  <c r="G32" i="10" s="1"/>
  <c r="I32" i="10" s="1"/>
  <c r="D32" i="5"/>
  <c r="E32" i="5" s="1"/>
  <c r="AQ11" i="4" s="1"/>
  <c r="D6" i="10"/>
  <c r="F6" i="10" s="1"/>
  <c r="H6" i="10" s="1"/>
  <c r="D9" i="10"/>
  <c r="F9" i="10" s="1"/>
  <c r="H9" i="10" s="1"/>
  <c r="J14" i="5"/>
  <c r="E54" i="8"/>
  <c r="P704" i="11"/>
  <c r="F94" i="10" s="1"/>
  <c r="H94" i="10" s="1"/>
  <c r="D79" i="10"/>
  <c r="F79" i="10" s="1"/>
  <c r="H79" i="10" s="1"/>
  <c r="AQ33" i="4"/>
  <c r="D13" i="10"/>
  <c r="F13" i="10" s="1"/>
  <c r="H13" i="10" s="1"/>
  <c r="H705" i="11"/>
  <c r="H27" i="5"/>
  <c r="I67" i="2" s="1"/>
  <c r="H67" i="2"/>
  <c r="F54" i="8" s="1"/>
  <c r="L39" i="8"/>
  <c r="R75" i="6"/>
  <c r="R77" i="6" s="1"/>
  <c r="AQ40" i="4" s="1"/>
  <c r="H33" i="5"/>
  <c r="L704" i="11"/>
  <c r="H30" i="5"/>
  <c r="M704" i="11" s="1"/>
  <c r="G34" i="10"/>
  <c r="I34" i="10" s="1"/>
  <c r="G86" i="10"/>
  <c r="I86" i="10" s="1"/>
  <c r="E33" i="10"/>
  <c r="G33" i="10" s="1"/>
  <c r="I33" i="10" s="1"/>
  <c r="M739" i="11"/>
  <c r="Q739" i="11"/>
  <c r="E91" i="10" s="1"/>
  <c r="G91" i="10" s="1"/>
  <c r="I91" i="10" s="1"/>
  <c r="F35" i="10"/>
  <c r="H35" i="10" s="1"/>
  <c r="E84" i="10"/>
  <c r="G84" i="10" s="1"/>
  <c r="I84" i="10" s="1"/>
  <c r="G17" i="10"/>
  <c r="I17" i="10" s="1"/>
  <c r="M702" i="11"/>
  <c r="F50" i="10"/>
  <c r="H50" i="10" s="1"/>
  <c r="E41" i="10"/>
  <c r="G41" i="10" s="1"/>
  <c r="I41" i="10" s="1"/>
  <c r="F49" i="10"/>
  <c r="H49" i="10" s="1"/>
  <c r="N701" i="11"/>
  <c r="O708" i="11" s="1"/>
  <c r="G85" i="10"/>
  <c r="I85" i="10" s="1"/>
  <c r="E18" i="10"/>
  <c r="G18" i="10" s="1"/>
  <c r="I18" i="10" s="1"/>
  <c r="F20" i="10"/>
  <c r="H20" i="10" s="1"/>
  <c r="G739" i="11"/>
  <c r="E25" i="10" s="1"/>
  <c r="G25" i="10" s="1"/>
  <c r="I25" i="10" s="1"/>
  <c r="O701" i="11"/>
  <c r="G83" i="10"/>
  <c r="I83" i="10" s="1"/>
  <c r="G702" i="11"/>
  <c r="E48" i="10"/>
  <c r="G48" i="10" s="1"/>
  <c r="I48" i="10" s="1"/>
  <c r="G47" i="10"/>
  <c r="I47" i="10" s="1"/>
  <c r="I702" i="11"/>
  <c r="Q702" i="11"/>
  <c r="K702" i="11"/>
  <c r="ER25" i="9"/>
  <c r="ES23" i="9"/>
  <c r="R70" i="6"/>
  <c r="R113" i="6"/>
  <c r="P77" i="6"/>
  <c r="R82" i="6"/>
  <c r="R84" i="6" s="1"/>
  <c r="T84" i="6" s="1"/>
  <c r="L52" i="8"/>
  <c r="R61" i="6"/>
  <c r="R63" i="6" s="1"/>
  <c r="R118" i="6"/>
  <c r="R120" i="6" s="1"/>
  <c r="AQ45" i="4" s="1"/>
  <c r="R104" i="6"/>
  <c r="R106" i="6" s="1"/>
  <c r="K70" i="6"/>
  <c r="R42" i="6"/>
  <c r="K120" i="6"/>
  <c r="K63" i="6"/>
  <c r="D7" i="10"/>
  <c r="F7" i="10" s="1"/>
  <c r="H7" i="10" s="1"/>
  <c r="H11" i="5"/>
  <c r="E67" i="2" s="1"/>
  <c r="E6" i="10"/>
  <c r="G6" i="10" s="1"/>
  <c r="I6" i="10" s="1"/>
  <c r="D49" i="5"/>
  <c r="F47" i="5"/>
  <c r="AQ34" i="4" s="1"/>
  <c r="F52" i="8"/>
  <c r="K9" i="5"/>
  <c r="AQ14" i="4" s="1"/>
  <c r="L47" i="8"/>
  <c r="F40" i="8"/>
  <c r="H40" i="8"/>
  <c r="G40" i="8"/>
  <c r="D40" i="8"/>
  <c r="E40" i="8"/>
  <c r="K40" i="8"/>
  <c r="M40" i="8"/>
  <c r="C40" i="8"/>
  <c r="J40" i="8"/>
  <c r="J37" i="8"/>
  <c r="M37" i="8"/>
  <c r="H37" i="8"/>
  <c r="C37" i="8"/>
  <c r="E37" i="8"/>
  <c r="D37" i="8"/>
  <c r="F37" i="8"/>
  <c r="G37" i="8"/>
  <c r="K37" i="8"/>
  <c r="M35" i="8"/>
  <c r="F35" i="8"/>
  <c r="G35" i="8"/>
  <c r="D35" i="8"/>
  <c r="C35" i="8"/>
  <c r="J35" i="8"/>
  <c r="K35" i="8"/>
  <c r="E35" i="8"/>
  <c r="H35" i="8"/>
  <c r="H16" i="5"/>
  <c r="G67" i="2" s="1"/>
  <c r="K24" i="5"/>
  <c r="AQ23" i="4" s="1"/>
  <c r="EH32" i="9"/>
  <c r="EI23" i="9"/>
  <c r="L38" i="8"/>
  <c r="L41" i="8"/>
  <c r="L44" i="8"/>
  <c r="L43" i="8"/>
  <c r="CJ25" i="9"/>
  <c r="CF23" i="9"/>
  <c r="CD25" i="9"/>
  <c r="H15" i="5"/>
  <c r="E8" i="10" s="1"/>
  <c r="G8" i="10" s="1"/>
  <c r="I8" i="10" s="1"/>
  <c r="D8" i="10"/>
  <c r="F8" i="10" s="1"/>
  <c r="H8" i="10" s="1"/>
  <c r="M98" i="6"/>
  <c r="R96" i="6"/>
  <c r="R98" i="6" s="1"/>
  <c r="DS25" i="9"/>
  <c r="DO23" i="9"/>
  <c r="DN25" i="9"/>
  <c r="M55" i="6"/>
  <c r="R53" i="6"/>
  <c r="R55" i="6" s="1"/>
  <c r="L54" i="8" s="1"/>
  <c r="F32" i="5"/>
  <c r="F704" i="11"/>
  <c r="E745" i="11" l="1"/>
  <c r="AQ5" i="4"/>
  <c r="J705" i="11"/>
  <c r="K705" i="11" s="1"/>
  <c r="F28" i="10"/>
  <c r="H28" i="10" s="1"/>
  <c r="AQ6" i="4"/>
  <c r="AQ12" i="4" s="1"/>
  <c r="I705" i="11"/>
  <c r="AQ46" i="4"/>
  <c r="I739" i="11"/>
  <c r="E40" i="10" s="1"/>
  <c r="G40" i="10" s="1"/>
  <c r="I40" i="10" s="1"/>
  <c r="K739" i="11"/>
  <c r="E55" i="10" s="1"/>
  <c r="G55" i="10" s="1"/>
  <c r="I55" i="10" s="1"/>
  <c r="O702" i="11"/>
  <c r="O739" i="11"/>
  <c r="D65" i="1"/>
  <c r="K65" i="1" s="1"/>
  <c r="Q704" i="11"/>
  <c r="E94" i="10" s="1"/>
  <c r="G94" i="10" s="1"/>
  <c r="I94" i="10" s="1"/>
  <c r="E79" i="10"/>
  <c r="G79" i="10" s="1"/>
  <c r="I79" i="10" s="1"/>
  <c r="F49" i="5"/>
  <c r="E7" i="10"/>
  <c r="G7" i="10" s="1"/>
  <c r="I7" i="10" s="1"/>
  <c r="K11" i="5"/>
  <c r="AQ20" i="4" s="1"/>
  <c r="K10" i="5"/>
  <c r="AQ15" i="4" s="1"/>
  <c r="H704" i="11"/>
  <c r="H52" i="8"/>
  <c r="P706" i="11"/>
  <c r="H706" i="11"/>
  <c r="D52" i="8"/>
  <c r="E34" i="5"/>
  <c r="E52" i="8"/>
  <c r="J16" i="5"/>
  <c r="K27" i="5"/>
  <c r="AQ31" i="4" s="1"/>
  <c r="K25" i="5"/>
  <c r="AQ24" i="4" s="1"/>
  <c r="K26" i="5"/>
  <c r="AQ29" i="4" s="1"/>
  <c r="J704" i="11"/>
  <c r="G704" i="11"/>
  <c r="E28" i="10" s="1"/>
  <c r="G28" i="10" s="1"/>
  <c r="I28" i="10" s="1"/>
  <c r="F34" i="5"/>
  <c r="E13" i="10"/>
  <c r="G13" i="10" s="1"/>
  <c r="I13" i="10" s="1"/>
  <c r="B65" i="1"/>
  <c r="J65" i="1" s="1"/>
  <c r="F706" i="11"/>
  <c r="G52" i="8"/>
  <c r="L37" i="8"/>
  <c r="L35" i="8"/>
  <c r="L40" i="8"/>
  <c r="E748" i="11" l="1"/>
  <c r="AQ21" i="4"/>
  <c r="J706" i="11"/>
  <c r="AQ30" i="4"/>
  <c r="G65" i="1"/>
  <c r="H65" i="1"/>
  <c r="E742" i="11"/>
  <c r="F43" i="10"/>
  <c r="H43" i="10" s="1"/>
  <c r="E743" i="11"/>
  <c r="F58" i="10"/>
  <c r="H58" i="10" s="1"/>
  <c r="I704" i="11"/>
  <c r="E43" i="10" s="1"/>
  <c r="G43" i="10" s="1"/>
  <c r="I43" i="10" s="1"/>
  <c r="K704" i="11"/>
  <c r="E58" i="10" s="1"/>
  <c r="G58" i="10" s="1"/>
  <c r="I58" i="10" s="1"/>
  <c r="E744" i="11" l="1"/>
  <c r="E747" i="11" s="1"/>
</calcChain>
</file>

<file path=xl/sharedStrings.xml><?xml version="1.0" encoding="utf-8"?>
<sst xmlns="http://schemas.openxmlformats.org/spreadsheetml/2006/main" count="3708" uniqueCount="590">
  <si>
    <t>Per Capita Income</t>
  </si>
  <si>
    <t xml:space="preserve"> </t>
  </si>
  <si>
    <t>CPI-U</t>
  </si>
  <si>
    <t>B</t>
  </si>
  <si>
    <t>Certificated and Classified Staff Data:</t>
  </si>
  <si>
    <t>Per Capita Income (Calendar Year Basis):</t>
  </si>
  <si>
    <t xml:space="preserve">   Calendar Year CPI-U Adjusted to School Year Basis.</t>
  </si>
  <si>
    <t>ESA's</t>
  </si>
  <si>
    <t>FTE</t>
  </si>
  <si>
    <t>FTE*</t>
  </si>
  <si>
    <t>FTE**</t>
  </si>
  <si>
    <t>Table 7</t>
  </si>
  <si>
    <t>BaseSal</t>
  </si>
  <si>
    <t>TOTAL FTE</t>
  </si>
  <si>
    <t>SUMPRODUCT</t>
  </si>
  <si>
    <t>table2</t>
  </si>
  <si>
    <t>diff = 630's</t>
  </si>
  <si>
    <t>subtotal CAS</t>
  </si>
  <si>
    <t>total Certs</t>
  </si>
  <si>
    <t>check</t>
  </si>
  <si>
    <t>total Class</t>
  </si>
  <si>
    <t>difference</t>
  </si>
  <si>
    <t>FTE staff</t>
  </si>
  <si>
    <t>Average LEAP 1 mix</t>
  </si>
  <si>
    <t xml:space="preserve">NA   </t>
  </si>
  <si>
    <t>Avg. LEAP 1A mix</t>
  </si>
  <si>
    <t>Derived base</t>
  </si>
  <si>
    <t>Average mix</t>
  </si>
  <si>
    <t>Duty Code</t>
  </si>
  <si>
    <t>Avg Supp K</t>
  </si>
  <si>
    <t>Admin Certs</t>
  </si>
  <si>
    <t>Total FTE</t>
  </si>
  <si>
    <t>BaseSal SUMPRODUCT</t>
  </si>
  <si>
    <t>Staff Mix SUMPRODUCT</t>
  </si>
  <si>
    <t>Instructional Certs</t>
  </si>
  <si>
    <t>Supp K SUMPRODUCT</t>
  </si>
  <si>
    <t>From Table 11</t>
  </si>
  <si>
    <t>-----------FTE-----------</t>
  </si>
  <si>
    <t>-------------------------------    BASIC EDUCATION    ---------------------------------</t>
  </si>
  <si>
    <t>Program--&gt;</t>
  </si>
  <si>
    <t>01</t>
  </si>
  <si>
    <t>Total</t>
  </si>
  <si>
    <t>BEd Total</t>
  </si>
  <si>
    <t>Check</t>
  </si>
  <si>
    <t>Admin CERTS</t>
  </si>
  <si>
    <t>Instruct CERTS</t>
  </si>
  <si>
    <t>Other (510,520,610)</t>
  </si>
  <si>
    <t>table 9, prog 01</t>
  </si>
  <si>
    <t>table 9, prog 31</t>
  </si>
  <si>
    <t>check--&gt;</t>
  </si>
  <si>
    <t>Table34 + 36</t>
  </si>
  <si>
    <t>Total CERTS</t>
  </si>
  <si>
    <t>Other</t>
  </si>
  <si>
    <t>table 9, prog 97</t>
  </si>
  <si>
    <t>Total Certs in BEd</t>
  </si>
  <si>
    <t>------------</t>
  </si>
  <si>
    <t>State Total - FTE</t>
  </si>
  <si>
    <t>check---&gt;</t>
  </si>
  <si>
    <t>----------------------------------    SALARY    ----------------------------------</t>
  </si>
  <si>
    <t>sumproduct</t>
  </si>
  <si>
    <t>Table 36</t>
  </si>
  <si>
    <t>Average Salary</t>
  </si>
  <si>
    <t>Table 34</t>
  </si>
  <si>
    <t>--------------------------------    STAFF MIX FACTOR    --------------------------------</t>
  </si>
  <si>
    <t>Average Staff Mix</t>
  </si>
  <si>
    <t>Kindergarten Through Third Grade</t>
  </si>
  <si>
    <t>Basic Education Programs</t>
  </si>
  <si>
    <t>Avg Annual</t>
  </si>
  <si>
    <t>Certificated Staff</t>
  </si>
  <si>
    <t>Classified</t>
  </si>
  <si>
    <t>School</t>
  </si>
  <si>
    <t>Enrollment</t>
  </si>
  <si>
    <t>Instructional</t>
  </si>
  <si>
    <t>Annual</t>
  </si>
  <si>
    <t>Certificated</t>
  </si>
  <si>
    <t>Selected</t>
  </si>
  <si>
    <t>Year</t>
  </si>
  <si>
    <t>Central</t>
  </si>
  <si>
    <t>Unit</t>
  </si>
  <si>
    <t>Teachers</t>
  </si>
  <si>
    <t>ESAs</t>
  </si>
  <si>
    <t>Staff</t>
  </si>
  <si>
    <t>Assistants</t>
  </si>
  <si>
    <t>1993-94 Enrollment</t>
  </si>
  <si>
    <t>1994-95 Enrollment</t>
  </si>
  <si>
    <t>1995-96 Enrollment</t>
  </si>
  <si>
    <t>Form 1191E</t>
  </si>
  <si>
    <t>K - full year</t>
  </si>
  <si>
    <t>Grades 1 -3</t>
  </si>
  <si>
    <t xml:space="preserve">  Add:  P240 &amp; P223S</t>
  </si>
  <si>
    <t>Grades 7 - 8</t>
  </si>
  <si>
    <t>Grades 9 - 12</t>
  </si>
  <si>
    <t>Total AAFTE Enrollment</t>
  </si>
  <si>
    <t>Table 4</t>
  </si>
  <si>
    <t>Difference</t>
  </si>
  <si>
    <t>T-165B BasicEd Enroll</t>
  </si>
  <si>
    <t xml:space="preserve">  ADD:</t>
  </si>
  <si>
    <t xml:space="preserve">    Handicapped FTE</t>
  </si>
  <si>
    <t>none</t>
  </si>
  <si>
    <t>FTE %</t>
  </si>
  <si>
    <t>Central Administrator</t>
  </si>
  <si>
    <t>Unit Administrator</t>
  </si>
  <si>
    <t>Classroom Teacher</t>
  </si>
  <si>
    <t>Educational Staff Associate</t>
  </si>
  <si>
    <t>On Paid Leave Duty 61</t>
  </si>
  <si>
    <t>Learning Assistance, State (55)</t>
  </si>
  <si>
    <t>Highly Capable (74)</t>
  </si>
  <si>
    <t>Other, State and Federal</t>
  </si>
  <si>
    <t>Pupil Transportation (99)</t>
  </si>
  <si>
    <t>Director/Supervisor</t>
  </si>
  <si>
    <t>Aide</t>
  </si>
  <si>
    <t>Crafts/Trades</t>
  </si>
  <si>
    <t>Laborer</t>
  </si>
  <si>
    <t>Office/Clerical</t>
  </si>
  <si>
    <t>Operator</t>
  </si>
  <si>
    <t>Professional</t>
  </si>
  <si>
    <t>Service Worker</t>
  </si>
  <si>
    <t>Technical</t>
  </si>
  <si>
    <t>On Paid Leave</t>
  </si>
  <si>
    <t>[Column A]</t>
  </si>
  <si>
    <t>[Column B]</t>
  </si>
  <si>
    <t>[Column C]</t>
  </si>
  <si>
    <t>[Column D]</t>
  </si>
  <si>
    <t>[Column E]</t>
  </si>
  <si>
    <t>[Column F]</t>
  </si>
  <si>
    <t>All Certificated Staff</t>
  </si>
  <si>
    <t>Cert Admin Staff</t>
  </si>
  <si>
    <t>Cert Instruct Staff</t>
  </si>
  <si>
    <t>51,52,61 Staff</t>
  </si>
  <si>
    <t>Grand Total - All Cert Staff</t>
  </si>
  <si>
    <t>Classified Staff</t>
  </si>
  <si>
    <t>Base Salary</t>
  </si>
  <si>
    <t>Basic Education</t>
  </si>
  <si>
    <t>Deputy/Assist. Supt.</t>
  </si>
  <si>
    <t>Other District Admin.</t>
  </si>
  <si>
    <t>Other School Admin.</t>
  </si>
  <si>
    <t>Secondary Teacher</t>
  </si>
  <si>
    <t>Other Teacher</t>
  </si>
  <si>
    <t>Other Support Personnel</t>
  </si>
  <si>
    <t>Extracurricular</t>
  </si>
  <si>
    <t>Substitute Teacher</t>
  </si>
  <si>
    <t>Elementary Principal</t>
  </si>
  <si>
    <t>Secondary Principal</t>
  </si>
  <si>
    <t>Counselor</t>
  </si>
  <si>
    <t>Occupational Therapist</t>
  </si>
  <si>
    <t>Social Worker</t>
  </si>
  <si>
    <t>Psychologist</t>
  </si>
  <si>
    <t>Nurse</t>
  </si>
  <si>
    <t>Physical Therapist</t>
  </si>
  <si>
    <t>Library Media Specialist</t>
  </si>
  <si>
    <t>Secondary Vice Principal</t>
  </si>
  <si>
    <t>Elem. Vice Principal</t>
  </si>
  <si>
    <t>Traffic Safety</t>
  </si>
  <si>
    <t>Summer School</t>
  </si>
  <si>
    <t>Highly Capable</t>
  </si>
  <si>
    <t>Public Radio/Television</t>
  </si>
  <si>
    <t>Community Schools</t>
  </si>
  <si>
    <t>Superintendent</t>
  </si>
  <si>
    <t>Pupil Transportation</t>
  </si>
  <si>
    <t>CP</t>
  </si>
  <si>
    <t>Capital Projects Funds</t>
  </si>
  <si>
    <t>SB</t>
  </si>
  <si>
    <t>xx</t>
  </si>
  <si>
    <t>State Summary</t>
  </si>
  <si>
    <t>Cert Admin Staff By Program</t>
  </si>
  <si>
    <t>Table5c</t>
  </si>
  <si>
    <t>Cert Instruct Staff By Program</t>
  </si>
  <si>
    <t>Table5d</t>
  </si>
  <si>
    <t>Subtotal</t>
  </si>
  <si>
    <t>Add:  Duties 510-520</t>
  </si>
  <si>
    <t>Table5a</t>
  </si>
  <si>
    <t>Add:  Duty 610</t>
  </si>
  <si>
    <t>All Cert Staff Total</t>
  </si>
  <si>
    <t>Table 5a &amp; 5b</t>
  </si>
  <si>
    <t>Districtwide Support</t>
  </si>
  <si>
    <t>1996-97 Enrollment</t>
  </si>
  <si>
    <t>RS</t>
  </si>
  <si>
    <t>Table 2 Totals</t>
  </si>
  <si>
    <t>Table 11</t>
  </si>
  <si>
    <t>WS Total</t>
  </si>
  <si>
    <t>1997-98 Enrollment</t>
  </si>
  <si>
    <t>Table 3ws1 totals</t>
  </si>
  <si>
    <t>State summary</t>
  </si>
  <si>
    <t>Check:</t>
  </si>
  <si>
    <t>Col E + Col F</t>
  </si>
  <si>
    <t>Worksheet for Table 5:  Other State and Federal Programs</t>
  </si>
  <si>
    <t xml:space="preserve">K-3 Enrollment </t>
  </si>
  <si>
    <t>Table 9 total</t>
  </si>
  <si>
    <t>Table 10 total</t>
  </si>
  <si>
    <t>Agrees w/ Tbl 11</t>
  </si>
  <si>
    <t>table19</t>
  </si>
  <si>
    <t>(from Report 1159F)</t>
  </si>
  <si>
    <t>(From WaE&amp;RF Table A4.1)</t>
  </si>
  <si>
    <t>(Form 1191E)</t>
  </si>
  <si>
    <t>P223 Subtotal</t>
  </si>
  <si>
    <t>less 27931 &amp; 27932</t>
  </si>
  <si>
    <t>Avg. supplemental</t>
  </si>
  <si>
    <t>year to year change</t>
  </si>
  <si>
    <t>Contractor Teacher</t>
  </si>
  <si>
    <t>Contractor ESA</t>
  </si>
  <si>
    <t>Table 7:  All School Personnel by Duty</t>
  </si>
  <si>
    <t>Duty Assignment</t>
  </si>
  <si>
    <t>Individuals</t>
  </si>
  <si>
    <t>Table 10</t>
  </si>
  <si>
    <t>Table 9</t>
  </si>
  <si>
    <t>Base Sal</t>
  </si>
  <si>
    <t xml:space="preserve">   1994 from "Economic and Revenue Forecast," November 1998 rev.</t>
  </si>
  <si>
    <t>Calendar Year</t>
  </si>
  <si>
    <t>Avg. LEAP 1S mix</t>
  </si>
  <si>
    <t>Grade 4</t>
  </si>
  <si>
    <t>(from Report 1159)</t>
  </si>
  <si>
    <t>Kindergarten Through Fourth Grade</t>
  </si>
  <si>
    <t>-</t>
  </si>
  <si>
    <t>--[Duty Roots 31-49,63,&amp;64]--</t>
  </si>
  <si>
    <t>--[Duty Roots 11-64]--</t>
  </si>
  <si>
    <t>--[Duty Roots 11-25]--</t>
  </si>
  <si>
    <t>--[Col B + Col C + Col D]--</t>
  </si>
  <si>
    <t>Avg Salary</t>
  </si>
  <si>
    <t>&lt;-- teachers only</t>
  </si>
  <si>
    <t>&lt;-- ESAs only</t>
  </si>
  <si>
    <t>&lt;-- 63 &amp; 64</t>
  </si>
  <si>
    <t>&lt;-- 51 &amp; 52</t>
  </si>
  <si>
    <t>&lt;-- Included in Table 2 State total column only</t>
  </si>
  <si>
    <t>MixFactor</t>
  </si>
  <si>
    <t>-----------------------------------Table 7-----------------------------------</t>
  </si>
  <si>
    <t>1959–60</t>
  </si>
  <si>
    <t>1960–61</t>
  </si>
  <si>
    <t>1961–62</t>
  </si>
  <si>
    <t>1962–63</t>
  </si>
  <si>
    <t>1963–64</t>
  </si>
  <si>
    <t>1964–65</t>
  </si>
  <si>
    <t>1965–66</t>
  </si>
  <si>
    <t>1966–67</t>
  </si>
  <si>
    <t>1967–68</t>
  </si>
  <si>
    <t>1968–69</t>
  </si>
  <si>
    <t>1969–70</t>
  </si>
  <si>
    <t>1970–71</t>
  </si>
  <si>
    <t>1971–72</t>
  </si>
  <si>
    <t>1972–73</t>
  </si>
  <si>
    <t>1973–74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</si>
  <si>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</si>
  <si>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</si>
  <si>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</si>
  <si>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</si>
  <si>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</si>
  <si>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</si>
  <si>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</si>
  <si>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</si>
  <si>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</si>
  <si>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</si>
  <si>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</si>
  <si>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</si>
  <si>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</si>
  <si>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</si>
  <si>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</si>
  <si>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</si>
  <si>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</si>
  <si>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</si>
  <si>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</si>
  <si>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</si>
  <si>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</si>
  <si>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</si>
  <si>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</si>
  <si>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</si>
  <si>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</si>
  <si>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1999–2000</t>
  </si>
  <si>
    <t xml:space="preserve">   1988–89 from "Economic and Revenue Forecast," November 1992 rev.</t>
  </si>
  <si>
    <t xml:space="preserve">   1990–91 from "Economic and Revenue Forecast," November 1995 rev.</t>
  </si>
  <si>
    <t xml:space="preserve">   1992–93 from "Economic and Revenue Forecast," November 1996 rev.</t>
  </si>
  <si>
    <t>U.S. CPI-U Calendar Year Basis (1982–84 = 100):</t>
  </si>
  <si>
    <t>* Beginning in 1995–96, total includes staff reported with duty code 630.</t>
  </si>
  <si>
    <t>** Beginning in 1995–96, total includes staff reported with duty code 640.</t>
  </si>
  <si>
    <t>Spch.-Lang. Path./Audio.</t>
  </si>
  <si>
    <t>Certificated on Leave</t>
  </si>
  <si>
    <t>Classified on Leave</t>
  </si>
  <si>
    <t xml:space="preserve">   1995 from "Economic and Revenue Forecast," November 1999 rev.</t>
  </si>
  <si>
    <t xml:space="preserve">K-4 Enrollment </t>
  </si>
  <si>
    <t>1251 REPORT (P223/S &amp; P240)</t>
  </si>
  <si>
    <t>--[Duty Roots 90-99]--</t>
  </si>
  <si>
    <t>2000–01</t>
  </si>
  <si>
    <t>Table 38</t>
  </si>
  <si>
    <t>1251 Report (P223)</t>
  </si>
  <si>
    <t>use on Table 4</t>
  </si>
  <si>
    <t>1251 Report (P223/S &amp; P240)</t>
  </si>
  <si>
    <t>2000–01 Enrollment</t>
  </si>
  <si>
    <t>less 17937, 27931, &amp; 27932</t>
  </si>
  <si>
    <t>1998–99 Enrollment</t>
  </si>
  <si>
    <t>1999–2000 Enrollment</t>
  </si>
  <si>
    <t>Miscellaneous Duties 51–52</t>
  </si>
  <si>
    <t>2001–02</t>
  </si>
  <si>
    <t>2001–02 Enrollment</t>
  </si>
  <si>
    <t>Grades 5 - 6</t>
  </si>
  <si>
    <t xml:space="preserve">   1996–97 from "Economic and Revenue Forecast," November 2001 rev.</t>
  </si>
  <si>
    <t>&lt;&lt;--See Economic &amp; Revenue Forecast Publications in the Washington State Office of the Forecast Council website @ www.wa.gov/ofc/</t>
  </si>
  <si>
    <t>2002–03 Enrollment</t>
  </si>
  <si>
    <t>2002–03</t>
  </si>
  <si>
    <t>Special Ed.—Supp.—State</t>
  </si>
  <si>
    <t>Special Ed.—Supp.—Fed.</t>
  </si>
  <si>
    <t>Special Ed.—Inst.—State</t>
  </si>
  <si>
    <t>Special Ed.—Other—Fed.</t>
  </si>
  <si>
    <t>Vocational—Basic—State</t>
  </si>
  <si>
    <t>Vocational—Federal</t>
  </si>
  <si>
    <t>Vocational—Other Categ.</t>
  </si>
  <si>
    <t>Skills Center—Basic—St.</t>
  </si>
  <si>
    <t>Skills Center—Federal</t>
  </si>
  <si>
    <t>Disadvantaged—Federal</t>
  </si>
  <si>
    <t>School Improvement—Fed.</t>
  </si>
  <si>
    <t>Migrant—Federal</t>
  </si>
  <si>
    <t>Learning Asst. Prog.—St.</t>
  </si>
  <si>
    <t>St. Inst., Centers/Homes</t>
  </si>
  <si>
    <t>Inst.—Neglected/Delinq.</t>
  </si>
  <si>
    <t>Special/Pilot Prog.—St.</t>
  </si>
  <si>
    <t>Head Start—Federal</t>
  </si>
  <si>
    <t>Limited Engish Pro.—Fed.</t>
  </si>
  <si>
    <t>Transit. Bilingual—St.</t>
  </si>
  <si>
    <t>Indian Ed.—Fed.—JOM</t>
  </si>
  <si>
    <t>Indian Ed.—Fed.—ED</t>
  </si>
  <si>
    <t>Compensatory—Other</t>
  </si>
  <si>
    <t>Targeted Assist.—Fed.</t>
  </si>
  <si>
    <t>Youth Train. Prog.—Fed.</t>
  </si>
  <si>
    <t>Instruc. Progs.—Other</t>
  </si>
  <si>
    <t>Other Community Services</t>
  </si>
  <si>
    <t>Associated Student Body</t>
  </si>
  <si>
    <t>Disadvantaged, Federal (51)</t>
  </si>
  <si>
    <t>Transitional Bilingual, State (65)</t>
  </si>
  <si>
    <t>Food Services (98)</t>
  </si>
  <si>
    <t>Admin</t>
  </si>
  <si>
    <t xml:space="preserve">   1998–99 from "Economic and Revenue Forecast," November 2002 rev.</t>
  </si>
  <si>
    <t>Form 1191E (Aug 2003)</t>
  </si>
  <si>
    <t>Per capita income is influenced by the</t>
  </si>
  <si>
    <t>Contracted Agency Staff Duties 63–64</t>
  </si>
  <si>
    <t>2003–04</t>
  </si>
  <si>
    <t>2003–04 Enrollment</t>
  </si>
  <si>
    <t>Avg. LEAP 1Sa mix</t>
  </si>
  <si>
    <t>subtotal CIS+</t>
  </si>
  <si>
    <t>increase in two-income families.</t>
  </si>
  <si>
    <t>2004–05</t>
  </si>
  <si>
    <t>2004–05 Enrollment</t>
  </si>
  <si>
    <t>less 17937, 17942, 27931, &amp; 27932</t>
  </si>
  <si>
    <t>2005–06</t>
  </si>
  <si>
    <t xml:space="preserve">   2000–01 from "Economic and Revenue Forecast," September 2005 rev.</t>
  </si>
  <si>
    <t>2005–06 Enrollment</t>
  </si>
  <si>
    <t>School Food Services</t>
  </si>
  <si>
    <t>2006–07</t>
  </si>
  <si>
    <t>2006–07 Enrollment</t>
  </si>
  <si>
    <t>Average</t>
  </si>
  <si>
    <t>Base</t>
  </si>
  <si>
    <t>Insur.</t>
  </si>
  <si>
    <t>Days in</t>
  </si>
  <si>
    <t>Salary</t>
  </si>
  <si>
    <t>Ben.</t>
  </si>
  <si>
    <t>1 FTE</t>
  </si>
  <si>
    <t xml:space="preserve">   2002 from "Economic and Revenue Forecast," November 2006 rev.</t>
  </si>
  <si>
    <t xml:space="preserve">   2003 from "Economic and Revenue Forecast," September 2007 rev.</t>
  </si>
  <si>
    <t>2007–08</t>
  </si>
  <si>
    <t>2007–08 Enrollment</t>
  </si>
  <si>
    <t>Middle School CTE—State</t>
  </si>
  <si>
    <t>Math and Science—Fed.</t>
  </si>
  <si>
    <t>Professional Dev.—State</t>
  </si>
  <si>
    <t>17937, 27931, &amp; 27932</t>
  </si>
  <si>
    <t>Report T-165A***</t>
  </si>
  <si>
    <t>Basic Education Programs****</t>
  </si>
  <si>
    <t>* Beginning in 2007–08, an accounting methodology was changed which resulted in fewer special education certificated instructional staff being partially reported in basic education.</t>
  </si>
  <si>
    <t>2008–09</t>
  </si>
  <si>
    <t>2008–09 Enrollment</t>
  </si>
  <si>
    <t xml:space="preserve">   2004–05 from "Economic and Revenue Forecast," November 2008 rev.</t>
  </si>
  <si>
    <t>2009–10</t>
  </si>
  <si>
    <t>(From WaE&amp;RF Table A1.4)</t>
  </si>
  <si>
    <t>2009–10 Enrollment</t>
  </si>
  <si>
    <t>Form 1191E (Aug 2009)</t>
  </si>
  <si>
    <t>Form 1191E (Aug 2004)</t>
  </si>
  <si>
    <t>Form 1191E (Aug 2005)</t>
  </si>
  <si>
    <t>Form 1191E (Aug 2006)</t>
  </si>
  <si>
    <t>Form 1191E (Aug 2007)</t>
  </si>
  <si>
    <t>Form 1191E (Jan 2008)</t>
  </si>
  <si>
    <t>less direct-funded tech college</t>
  </si>
  <si>
    <t>Form 1191E (Aug 2010)</t>
  </si>
  <si>
    <t xml:space="preserve">   2006–07 from "Economic and Revenue Forecast," November 2009 rev.</t>
  </si>
  <si>
    <t>2010–11</t>
  </si>
  <si>
    <t>2010–11 Enrollment</t>
  </si>
  <si>
    <t>02</t>
  </si>
  <si>
    <t>table 9, prog 02</t>
  </si>
  <si>
    <t>table 9, prog 34</t>
  </si>
  <si>
    <t>table 9, prog 45</t>
  </si>
  <si>
    <t>Basic Education—ALE</t>
  </si>
  <si>
    <t>Inst., Juvenile in Jails</t>
  </si>
  <si>
    <t>Institutions, State (26, 56, 59)</t>
  </si>
  <si>
    <t>Historical Comparison of Statewide School District Personnel</t>
  </si>
  <si>
    <t>Increase (Decrease)</t>
  </si>
  <si>
    <t xml:space="preserve">Salary % </t>
  </si>
  <si>
    <t>Certificated Instructional</t>
  </si>
  <si>
    <t>Certificated Administrative</t>
  </si>
  <si>
    <t>by Duty Assignment</t>
  </si>
  <si>
    <t>by Program Assignment</t>
  </si>
  <si>
    <t>Administration</t>
  </si>
  <si>
    <t>Average Base Salary</t>
  </si>
  <si>
    <t>per 1.0 FTE</t>
  </si>
  <si>
    <t>All</t>
  </si>
  <si>
    <t>Washington</t>
  </si>
  <si>
    <t>per Capita</t>
  </si>
  <si>
    <t>Income</t>
  </si>
  <si>
    <t>Average Base Salary as</t>
  </si>
  <si>
    <t>a % of Average Income</t>
  </si>
  <si>
    <t>Salary Notes:</t>
  </si>
  <si>
    <t>Sources:</t>
  </si>
  <si>
    <t>Abbreviations:</t>
  </si>
  <si>
    <t>Per Capita Income Note:</t>
  </si>
  <si>
    <t>Form 1191E (Aug 2011)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</si>
  <si>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</si>
  <si>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</si>
  <si>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</si>
  <si>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</si>
  <si>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</si>
  <si>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</si>
  <si>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</si>
  <si>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</si>
  <si>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</si>
  <si>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</si>
  <si>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</si>
  <si>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</si>
  <si>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</si>
  <si>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</si>
  <si>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</si>
  <si>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</si>
  <si>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</si>
  <si>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</si>
  <si>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</si>
  <si>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</si>
  <si>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</si>
  <si>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</si>
  <si>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</si>
  <si>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61</t>
  </si>
  <si>
    <t>63</t>
  </si>
  <si>
    <t>64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</si>
  <si>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</si>
  <si>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</si>
  <si>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</si>
  <si>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</si>
  <si>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</si>
  <si>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</si>
  <si>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</si>
  <si>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</si>
  <si>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</si>
  <si>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</si>
  <si>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Avg Add'l</t>
  </si>
  <si>
    <t>Mand.</t>
  </si>
  <si>
    <t>per Indiv.</t>
  </si>
  <si>
    <t>Table 45 Enrollment Extract</t>
  </si>
  <si>
    <t>Avg. base salary per 1.0 FTE</t>
  </si>
  <si>
    <t xml:space="preserve">All salaries are average base salaries per 1.0 FTE. </t>
  </si>
  <si>
    <t xml:space="preserve">   </t>
  </si>
  <si>
    <t>2011–12</t>
  </si>
  <si>
    <t>2011–12 Enrollment</t>
  </si>
  <si>
    <t>Used P223 run 10/20/10</t>
  </si>
  <si>
    <t>Used P223 run 8/25/09</t>
  </si>
  <si>
    <t>used P223 run 8/28/08</t>
  </si>
  <si>
    <t>used P223 run 10/25/07</t>
  </si>
  <si>
    <t>used P223 run 10/24/06</t>
  </si>
  <si>
    <t>used P223 run 10/28/05</t>
  </si>
  <si>
    <t>used P223 run 11/4/03</t>
  </si>
  <si>
    <t>used P223 run 11/1/04</t>
  </si>
  <si>
    <t>used P223 run 1/28/03</t>
  </si>
  <si>
    <t>used P223 run 3/20/01</t>
  </si>
  <si>
    <t>used P223 run 4/4/00</t>
  </si>
  <si>
    <t>used P223 run 1/16/98</t>
  </si>
  <si>
    <t>used P223 run 11/19/97</t>
  </si>
  <si>
    <t>used P223 run 11/21/96</t>
  </si>
  <si>
    <t>2012–13</t>
  </si>
  <si>
    <t>US-CPI</t>
  </si>
  <si>
    <t>2012–13 Enrollment</t>
  </si>
  <si>
    <t>Used 1251 run 1/24/13</t>
  </si>
  <si>
    <t>A</t>
  </si>
  <si>
    <t>Y</t>
  </si>
  <si>
    <t>A,Y</t>
  </si>
  <si>
    <t>Z,Y,X</t>
  </si>
  <si>
    <t>A,Y,X</t>
  </si>
  <si>
    <t>Y,X</t>
  </si>
  <si>
    <t>A,W</t>
  </si>
  <si>
    <t>Used P223 run 10/27/11</t>
  </si>
  <si>
    <t>Used P223 run 1/19/12</t>
  </si>
  <si>
    <t>Form 1191E Aug 2012)</t>
  </si>
  <si>
    <t xml:space="preserve">   System," OSPI, 1992, Figure 18.</t>
  </si>
  <si>
    <t xml:space="preserve">   2008–09 from "Economic and Revenue Forecast," November 2011 rev.</t>
  </si>
  <si>
    <t xml:space="preserve">   2010–11 from "Economic and Revenue Forecast," June 2012 rev.</t>
  </si>
  <si>
    <t>Form 1191E Aug 2013)</t>
  </si>
  <si>
    <t>2013–14</t>
  </si>
  <si>
    <t>Special Education, State (21, 22)</t>
  </si>
  <si>
    <t>Special Education, Federal (24, 25, 29)</t>
  </si>
  <si>
    <t>2013–14 Enrollment</t>
  </si>
  <si>
    <t>Spec Ed.—Inf.&amp;Tod.—State</t>
  </si>
  <si>
    <t xml:space="preserve">   ****Beginning in 1999–2000, enhanced staffing for kindergarten through third grade was expanded to also include fourth grade.  Beginning in 2011–12, </t>
  </si>
  <si>
    <t xml:space="preserve">     kindergarten through third/fourth grade staffing was no longer tracked.</t>
  </si>
  <si>
    <t xml:space="preserve">   ***Source: SPI Form 1159.  This measurement is made pursuant to chapter 392-140 WAC.  Enrollment periods used in the calculation of these ratios </t>
  </si>
  <si>
    <t xml:space="preserve">     may be selected by school districts and may differ among school districts.  Additional staff not reported on Form S-275 may be included.  Excluded </t>
  </si>
  <si>
    <t xml:space="preserve">     instructional assistants beginning 2009–10.</t>
  </si>
  <si>
    <t>Dropout Reengagement</t>
  </si>
  <si>
    <t>ALE</t>
  </si>
  <si>
    <t>CPI-U = Consumer Price Index - Urban U.S.</t>
  </si>
  <si>
    <t>2014–15</t>
  </si>
  <si>
    <t xml:space="preserve">   2012–13 from "Economic and Revenue Forecast," November 2013 rev.</t>
  </si>
  <si>
    <t>Used 1251 run 8/22/14</t>
  </si>
  <si>
    <t>Form 1191E Aug 2014)</t>
  </si>
  <si>
    <t xml:space="preserve"> use on Table 4 </t>
  </si>
  <si>
    <t>03</t>
  </si>
  <si>
    <t>Basic Education (01, 02, 03, 31, 34, 45, 97)</t>
  </si>
  <si>
    <t>Basic Ed.—Dropout Reeng.</t>
  </si>
  <si>
    <t>table 9, prog 03</t>
  </si>
  <si>
    <t>Total Classified</t>
  </si>
  <si>
    <t>Per</t>
  </si>
  <si>
    <t>Capita</t>
  </si>
  <si>
    <t xml:space="preserve">   1979–91 from "Organization and Financing of the Washington Public School </t>
  </si>
  <si>
    <t>2014–15 Enrollment</t>
  </si>
  <si>
    <t>Used 1251 run 8/18/15</t>
  </si>
  <si>
    <t>Form 1191E Aug 2015)</t>
  </si>
  <si>
    <t>district-run OD*</t>
  </si>
  <si>
    <t xml:space="preserve">staff with both administrative and instructional assignments, reassigned staff, salary schedule step increases, and general salary increases. </t>
  </si>
  <si>
    <t>A. Includes vocational-technical institutes.</t>
  </si>
  <si>
    <t>B. Includes contractor staff.</t>
  </si>
  <si>
    <t>Table 1: Average Base Salaries per 1.0 FTE and per Capita Income</t>
  </si>
  <si>
    <t>Table 2: Full-Time Equivalents and Average Base Salaries per 1.0 FTE</t>
  </si>
  <si>
    <t>2015–16 Enrollment</t>
  </si>
  <si>
    <t>Used 1251 run 1/14/16</t>
  </si>
  <si>
    <t>Form 1191E Jan 2016)</t>
  </si>
  <si>
    <t>new charters: budget - actual</t>
  </si>
  <si>
    <t>less 17937 1418</t>
  </si>
  <si>
    <t>2015–16</t>
  </si>
  <si>
    <t>Elem. Homeroom Teacher</t>
  </si>
  <si>
    <t>34</t>
  </si>
  <si>
    <t>Elem. Specialist Teacher</t>
  </si>
  <si>
    <t>Childcare</t>
  </si>
  <si>
    <t>2016–17</t>
  </si>
  <si>
    <t>2016–17 Enrollment</t>
  </si>
  <si>
    <t xml:space="preserve">   2014–15 from "Economic and Revenue Forecast," November 2015 rev.</t>
  </si>
  <si>
    <t>Form 1191E Aug 2017)</t>
  </si>
  <si>
    <t>Used 1251 run 11/30/17</t>
  </si>
  <si>
    <t xml:space="preserve">   **Beginning in 1986–87, enrollment figures include P-240 enrollment and exclude special education program student FTEs. For 1988–89 through </t>
  </si>
  <si>
    <t>2017–18</t>
  </si>
  <si>
    <t>2017–18 Enrollment</t>
  </si>
  <si>
    <t>Used 1251 run 1/15/18</t>
  </si>
  <si>
    <t xml:space="preserve">   2016–17 from "Economic and Revenue Forecast," November 2017 rev.</t>
  </si>
  <si>
    <t>All Programs</t>
  </si>
  <si>
    <t>All Certificated</t>
  </si>
  <si>
    <t>Administrative Certs</t>
  </si>
  <si>
    <t>All Classified</t>
  </si>
  <si>
    <t>Basic Education Programs*</t>
  </si>
  <si>
    <t>Form 1191E Aug 2018)</t>
  </si>
  <si>
    <t>less 17937, 27931 1418</t>
  </si>
  <si>
    <t>2018–19</t>
  </si>
  <si>
    <t>2018–19 Enrollment</t>
  </si>
  <si>
    <t>Staff Mix</t>
  </si>
  <si>
    <t>(Defunct)</t>
  </si>
  <si>
    <t>Avg. staff mix (defunct 2018–19)</t>
  </si>
  <si>
    <t>Derived base (defunct 2018–19)</t>
  </si>
  <si>
    <t xml:space="preserve">     ~~~~~~~~~ Average per 1.0 FTE ~~~~~~~~~</t>
  </si>
  <si>
    <t>Form 1191E Jan 2019)</t>
  </si>
  <si>
    <t>Used 1251 run 8/20/19</t>
  </si>
  <si>
    <t>P223S (non-standard)</t>
  </si>
  <si>
    <t>UW &amp; WY</t>
  </si>
  <si>
    <t>-----  Basic Education Programs* ** -----</t>
  </si>
  <si>
    <t>--------------  All Education Programs  --------------</t>
  </si>
  <si>
    <t>----- Certificated Staff -----</t>
  </si>
  <si>
    <t>----------- Certificated Staff -----------</t>
  </si>
  <si>
    <t xml:space="preserve">(Form </t>
  </si>
  <si>
    <t>P-223)**</t>
  </si>
  <si>
    <t xml:space="preserve">   *Beginning in 2007–08, an accounting methodology was changed which resulted in fewer special education certificated instructional staff </t>
  </si>
  <si>
    <t xml:space="preserve">    being  partially reported in basic education.</t>
  </si>
  <si>
    <t xml:space="preserve">    1992–93, enrollment figures further exclude learning center program FTE. Beginning in 1993–94, former learning center enrollment and staff FTE </t>
  </si>
  <si>
    <t xml:space="preserve">     were no longer reported in program 56 and so no longer required adjustment for calculation of these ratios. Also beginning in 1993–94, </t>
  </si>
  <si>
    <t xml:space="preserve">     enrollment figures exclude Running Start program FTE. Beginning in 1995–96, enrollment figures exclude program FTE for UW and direct-</t>
  </si>
  <si>
    <t xml:space="preserve">     basic education are used in the computation of the ratios. Staff counts used in the ratios for 1978–86 include the basic education portion of </t>
  </si>
  <si>
    <t>2019–20</t>
  </si>
  <si>
    <t>Adjusted to Constant 2019–20 Dollars</t>
  </si>
  <si>
    <t xml:space="preserve">The increases (decreases) over 2018–19 shown on this page are raw data increases (decreases). Included are terminated staff, new staff, </t>
  </si>
  <si>
    <t xml:space="preserve"> Table 5: Certificated Staff Increase (Decrease) Over 2018–19</t>
  </si>
  <si>
    <t xml:space="preserve"> Table 6: Classified Staff Increase (Decrease) Over 2018–19</t>
  </si>
  <si>
    <t>2019–20 School Year</t>
  </si>
  <si>
    <t>Behavior Analyst</t>
  </si>
  <si>
    <t>2019–20 Enrollment</t>
  </si>
  <si>
    <t>less 17937, 17941, 27931, &amp; 27932</t>
  </si>
  <si>
    <t>less 17937, 17941, 27931 1418</t>
  </si>
  <si>
    <t xml:space="preserve">     funded technical colleges. Enrollment figures for the same period are the enrollments used for apportionment purposes. Only staff assigned to </t>
  </si>
  <si>
    <t xml:space="preserve">     special education program staff time. Beginning in 2007–08, enrollment included state-funded full-day kindergarten.</t>
  </si>
  <si>
    <t xml:space="preserve">   2018–19 from "Economic and Revenue Forecast," November 2019 rev.</t>
  </si>
  <si>
    <t>Form 1191E Aug 2020)</t>
  </si>
  <si>
    <t>Used 1251 run 8/19/20</t>
  </si>
  <si>
    <t xml:space="preserve">   2020 from "Economic and Revenue Forecast," September 2020 rev.</t>
  </si>
  <si>
    <t xml:space="preserve">   1979–2020 from "Economic and Revenue Forecast," September 2020 rev.</t>
  </si>
  <si>
    <t>Table 4: Kindergarten through Twelfth Grade Staff per 1,000 Enrolled Students</t>
  </si>
  <si>
    <t>Kindergarten through Twelfth Grade</t>
  </si>
  <si>
    <t>Table 3: Key Data for All Programs and for Basic Education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</si>
</sst>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_);_(* \(#,##0.00000\);_(* &quot;-&quot;??_);_(@_)"/>
    <numFmt numFmtId="167" formatCode="0.00000"/>
    <numFmt numFmtId="168" formatCode="0.000"/>
    <numFmt numFmtId="169" formatCode="#,##0.0"/>
    <numFmt numFmtId="170" formatCode="_(* #,##0.000_);_(* \(#,##0.000\);_(* &quot;-&quot;???_);_(@_)"/>
    <numFmt numFmtId="171" formatCode="_(* #,##0.0_);_(* \(#,##0.0\);_(* &quot;-&quot;?_);_(@_)"/>
    <numFmt numFmtId="172" formatCode="_(* #,##0.00000_);_(* \(#,##0.00000\);_(* &quot;-&quot;?????_);_(@_)"/>
    <numFmt numFmtId="173" formatCode="#,##0.00000"/>
    <numFmt numFmtId="174" formatCode="#,##0.000"/>
    <numFmt numFmtId="175" formatCode="0.0%"/>
    <numFmt numFmtId="176" formatCode="00000"/>
    <numFmt numFmtId="177" formatCode="#,##0.0_);[Red]\(#,##0.0\)"/>
    <numFmt numFmtId="178" formatCode="0.000_);[Red]\(0.000\)"/>
    <numFmt numFmtId="179" formatCode="00"/>
    <numFmt numFmtId="180" formatCode="#,##0.00000_);[Red]\(#,##0.00000\)"/>
  </numFmts>
  <fonts count="44" x14ac:knownFonts="1">
    <font>
      <sz val="10"/>
      <name val="Arial"/>
    </font>
    <font>
      <sz val="10"/>
      <name val="Arial"/>
      <family val="2"/>
    </font>
    <font>
      <sz val="14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indexed="10"/>
      <name val="Segoe UI"/>
      <family val="2"/>
    </font>
    <font>
      <b/>
      <sz val="8"/>
      <name val="Segoe UI"/>
      <family val="2"/>
    </font>
    <font>
      <b/>
      <sz val="8"/>
      <color indexed="33"/>
      <name val="Segoe UI"/>
      <family val="2"/>
    </font>
    <font>
      <b/>
      <sz val="8"/>
      <color indexed="39"/>
      <name val="Segoe UI"/>
      <family val="2"/>
    </font>
    <font>
      <b/>
      <sz val="8"/>
      <color indexed="17"/>
      <name val="Segoe UI"/>
      <family val="2"/>
    </font>
    <font>
      <b/>
      <sz val="8"/>
      <color indexed="16"/>
      <name val="Segoe UI"/>
      <family val="2"/>
    </font>
    <font>
      <sz val="8"/>
      <color indexed="10"/>
      <name val="Segoe UI"/>
      <family val="2"/>
    </font>
    <font>
      <sz val="8"/>
      <color indexed="16"/>
      <name val="Segoe UI"/>
      <family val="2"/>
    </font>
    <font>
      <sz val="8"/>
      <color indexed="12"/>
      <name val="Segoe UI"/>
      <family val="2"/>
    </font>
    <font>
      <b/>
      <sz val="8"/>
      <color indexed="12"/>
      <name val="Segoe UI"/>
      <family val="2"/>
    </font>
    <font>
      <sz val="8"/>
      <color indexed="14"/>
      <name val="Segoe UI"/>
      <family val="2"/>
    </font>
    <font>
      <i/>
      <sz val="8"/>
      <name val="Segoe UI"/>
      <family val="2"/>
    </font>
    <font>
      <sz val="8"/>
      <color indexed="33"/>
      <name val="Segoe UI"/>
      <family val="2"/>
    </font>
    <font>
      <b/>
      <sz val="8"/>
      <color indexed="52"/>
      <name val="Segoe UI"/>
      <family val="2"/>
    </font>
    <font>
      <b/>
      <sz val="8"/>
      <color indexed="8"/>
      <name val="Segoe UI"/>
      <family val="2"/>
    </font>
    <font>
      <sz val="8"/>
      <color indexed="18"/>
      <name val="Segoe UI"/>
      <family val="2"/>
    </font>
    <font>
      <sz val="8"/>
      <color indexed="62"/>
      <name val="Segoe UI"/>
      <family val="2"/>
    </font>
    <font>
      <b/>
      <sz val="8"/>
      <color indexed="14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indexed="14"/>
      <name val="Segoe UI"/>
      <family val="2"/>
    </font>
    <font>
      <sz val="11"/>
      <color indexed="28"/>
      <name val="Segoe UI"/>
      <family val="2"/>
    </font>
    <font>
      <sz val="11"/>
      <color indexed="10"/>
      <name val="Segoe UI"/>
      <family val="2"/>
    </font>
    <font>
      <sz val="11"/>
      <color indexed="50"/>
      <name val="Segoe UI"/>
      <family val="2"/>
    </font>
    <font>
      <sz val="11"/>
      <color indexed="25"/>
      <name val="Segoe UI"/>
      <family val="2"/>
    </font>
    <font>
      <sz val="11"/>
      <color indexed="39"/>
      <name val="Segoe UI"/>
      <family val="2"/>
    </font>
    <font>
      <sz val="11"/>
      <color indexed="53"/>
      <name val="Segoe UI"/>
      <family val="2"/>
    </font>
    <font>
      <sz val="11"/>
      <color indexed="33"/>
      <name val="Segoe UI"/>
      <family val="2"/>
    </font>
    <font>
      <sz val="11"/>
      <color indexed="12"/>
      <name val="Segoe UI"/>
      <family val="2"/>
    </font>
    <font>
      <sz val="11"/>
      <color rgb="FF0000FF"/>
      <name val="Segoe UI"/>
      <family val="2"/>
    </font>
    <font>
      <sz val="11"/>
      <color rgb="FFFF0000"/>
      <name val="Segoe UI"/>
      <family val="2"/>
    </font>
    <font>
      <b/>
      <u/>
      <sz val="11"/>
      <name val="Segoe UI"/>
      <family val="2"/>
    </font>
    <font>
      <strike/>
      <sz val="11"/>
      <name val="Segoe UI"/>
      <family val="2"/>
    </font>
    <font>
      <sz val="11"/>
      <color rgb="FF00B050"/>
      <name val="Segoe UI"/>
      <family val="2"/>
    </font>
    <font>
      <b/>
      <sz val="14"/>
      <color rgb="FFFFFFFF"/>
      <name val="Segoe UI"/>
      <family val="2"/>
    </font>
    <font>
      <b/>
      <sz val="12"/>
      <color rgb="FFFFFFFF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13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D576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84">
    <xf numFmtId="0" fontId="0" fillId="0" borderId="0"/>
    <xf numFmtId="43" fontId="1" fillId="0" borderId="0" applyFon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1">
    <xf numFmtId="0" fontId="0" fillId="0" borderId="0" xfId="0"/>
    <xf numFmtId="0" fontId="2" fillId="3" borderId="12" xfId="0" applyFont="1" applyFill="1" applyBorder="1" applyAlignment="1">
      <alignment horizontal="centerContinuous"/>
    </xf>
    <xf numFmtId="0" fontId="2" fillId="3" borderId="34" xfId="0" applyFont="1" applyFill="1" applyBorder="1" applyAlignment="1">
      <alignment horizontal="centerContinuous"/>
    </xf>
    <xf numFmtId="0" fontId="5" fillId="0" borderId="97" xfId="0" applyFont="1" applyBorder="1" applyAlignment="1"/>
    <xf numFmtId="0" fontId="5" fillId="0" borderId="0" xfId="0" applyFont="1"/>
    <xf numFmtId="176" fontId="6" fillId="0" borderId="0" xfId="0" applyNumberFormat="1" applyFont="1" applyAlignment="1">
      <alignment horizontal="left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4" fontId="6" fillId="0" borderId="66" xfId="0" applyNumberFormat="1" applyFont="1" applyFill="1" applyBorder="1" applyAlignment="1">
      <alignment horizontal="right"/>
    </xf>
    <xf numFmtId="173" fontId="6" fillId="9" borderId="0" xfId="0" applyNumberFormat="1" applyFont="1" applyFill="1" applyAlignment="1">
      <alignment horizontal="right"/>
    </xf>
    <xf numFmtId="0" fontId="8" fillId="7" borderId="48" xfId="0" applyFont="1" applyFill="1" applyBorder="1"/>
    <xf numFmtId="0" fontId="7" fillId="7" borderId="49" xfId="0" applyFont="1" applyFill="1" applyBorder="1"/>
    <xf numFmtId="0" fontId="7" fillId="7" borderId="50" xfId="0" applyFont="1" applyFill="1" applyBorder="1"/>
    <xf numFmtId="0" fontId="9" fillId="0" borderId="0" xfId="0" applyFont="1"/>
    <xf numFmtId="0" fontId="8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3" fontId="7" fillId="0" borderId="3" xfId="1" applyNumberFormat="1" applyFont="1" applyBorder="1"/>
    <xf numFmtId="0" fontId="8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10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43" fontId="7" fillId="0" borderId="4" xfId="0" applyNumberFormat="1" applyFont="1" applyBorder="1"/>
    <xf numFmtId="4" fontId="8" fillId="0" borderId="55" xfId="0" applyNumberFormat="1" applyFont="1" applyBorder="1"/>
    <xf numFmtId="43" fontId="10" fillId="0" borderId="55" xfId="1" applyNumberFormat="1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4" fontId="7" fillId="0" borderId="38" xfId="0" applyNumberFormat="1" applyFont="1" applyBorder="1"/>
    <xf numFmtId="0" fontId="7" fillId="0" borderId="38" xfId="0" applyFont="1" applyBorder="1"/>
    <xf numFmtId="43" fontId="7" fillId="0" borderId="38" xfId="0" applyNumberFormat="1" applyFont="1" applyBorder="1"/>
    <xf numFmtId="43" fontId="10" fillId="0" borderId="51" xfId="1" applyNumberFormat="1" applyFont="1" applyBorder="1"/>
    <xf numFmtId="0" fontId="10" fillId="0" borderId="45" xfId="0" applyFont="1" applyBorder="1"/>
    <xf numFmtId="4" fontId="7" fillId="0" borderId="53" xfId="0" applyNumberFormat="1" applyFont="1" applyBorder="1"/>
    <xf numFmtId="4" fontId="8" fillId="0" borderId="54" xfId="0" applyNumberFormat="1" applyFont="1" applyBorder="1"/>
    <xf numFmtId="0" fontId="8" fillId="0" borderId="56" xfId="0" applyFont="1" applyBorder="1"/>
    <xf numFmtId="4" fontId="8" fillId="0" borderId="39" xfId="0" applyNumberFormat="1" applyFont="1" applyBorder="1"/>
    <xf numFmtId="43" fontId="10" fillId="0" borderId="57" xfId="1" applyNumberFormat="1" applyFont="1" applyBorder="1"/>
    <xf numFmtId="0" fontId="10" fillId="0" borderId="27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43" fontId="11" fillId="0" borderId="52" xfId="1" applyFont="1" applyBorder="1"/>
    <xf numFmtId="0" fontId="11" fillId="0" borderId="52" xfId="0" applyFont="1" applyBorder="1"/>
    <xf numFmtId="43" fontId="11" fillId="0" borderId="0" xfId="1" applyFont="1" applyBorder="1"/>
    <xf numFmtId="0" fontId="11" fillId="0" borderId="0" xfId="0" applyFont="1" applyBorder="1"/>
    <xf numFmtId="43" fontId="7" fillId="0" borderId="3" xfId="1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5" xfId="0" applyFont="1" applyBorder="1"/>
    <xf numFmtId="43" fontId="11" fillId="0" borderId="104" xfId="1" applyFont="1" applyBorder="1"/>
    <xf numFmtId="0" fontId="11" fillId="0" borderId="4" xfId="0" applyFont="1" applyBorder="1"/>
    <xf numFmtId="43" fontId="9" fillId="0" borderId="3" xfId="1" applyNumberFormat="1" applyFont="1" applyBorder="1" applyAlignment="1">
      <alignment horizontal="right"/>
    </xf>
    <xf numFmtId="43" fontId="9" fillId="0" borderId="3" xfId="1" applyNumberFormat="1" applyFont="1" applyBorder="1"/>
    <xf numFmtId="0" fontId="7" fillId="0" borderId="0" xfId="0" applyFont="1" applyAlignment="1">
      <alignment horizontal="right"/>
    </xf>
    <xf numFmtId="43" fontId="11" fillId="0" borderId="39" xfId="1" applyFont="1" applyBorder="1"/>
    <xf numFmtId="49" fontId="9" fillId="0" borderId="53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2" fillId="0" borderId="58" xfId="0" applyFont="1" applyBorder="1" applyAlignment="1">
      <alignment horizontal="right"/>
    </xf>
    <xf numFmtId="2" fontId="9" fillId="0" borderId="59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61" xfId="0" applyFont="1" applyBorder="1" applyAlignment="1">
      <alignment horizontal="right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43" fontId="12" fillId="0" borderId="62" xfId="1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3" xfId="0" applyFont="1" applyBorder="1" applyAlignment="1">
      <alignment horizontal="right"/>
    </xf>
    <xf numFmtId="43" fontId="12" fillId="0" borderId="64" xfId="1" applyFont="1" applyBorder="1"/>
    <xf numFmtId="43" fontId="12" fillId="0" borderId="65" xfId="1" applyFont="1" applyBorder="1"/>
    <xf numFmtId="43" fontId="7" fillId="0" borderId="0" xfId="1" applyNumberFormat="1" applyFont="1" applyBorder="1"/>
    <xf numFmtId="2" fontId="12" fillId="0" borderId="0" xfId="0" applyNumberFormat="1" applyFont="1" applyBorder="1" applyAlignment="1">
      <alignment horizontal="center"/>
    </xf>
    <xf numFmtId="165" fontId="7" fillId="0" borderId="0" xfId="1" applyNumberFormat="1" applyFont="1" applyBorder="1"/>
    <xf numFmtId="165" fontId="7" fillId="0" borderId="3" xfId="1" applyNumberFormat="1" applyFont="1" applyBorder="1"/>
    <xf numFmtId="0" fontId="7" fillId="0" borderId="66" xfId="0" applyFont="1" applyBorder="1" applyAlignment="1">
      <alignment horizontal="center"/>
    </xf>
    <xf numFmtId="43" fontId="7" fillId="0" borderId="0" xfId="0" applyNumberFormat="1" applyFont="1" applyBorder="1"/>
    <xf numFmtId="0" fontId="7" fillId="0" borderId="66" xfId="0" applyFont="1" applyBorder="1" applyAlignment="1">
      <alignment horizontal="right"/>
    </xf>
    <xf numFmtId="165" fontId="7" fillId="0" borderId="38" xfId="1" applyNumberFormat="1" applyFont="1" applyBorder="1"/>
    <xf numFmtId="0" fontId="8" fillId="0" borderId="52" xfId="0" applyFont="1" applyBorder="1"/>
    <xf numFmtId="0" fontId="8" fillId="0" borderId="54" xfId="0" applyFont="1" applyBorder="1"/>
    <xf numFmtId="165" fontId="7" fillId="0" borderId="4" xfId="1" applyNumberFormat="1" applyFont="1" applyBorder="1"/>
    <xf numFmtId="165" fontId="8" fillId="0" borderId="55" xfId="0" applyNumberFormat="1" applyFont="1" applyBorder="1"/>
    <xf numFmtId="165" fontId="10" fillId="0" borderId="55" xfId="1" applyNumberFormat="1" applyFont="1" applyFill="1" applyBorder="1"/>
    <xf numFmtId="0" fontId="8" fillId="0" borderId="4" xfId="0" applyFont="1" applyBorder="1"/>
    <xf numFmtId="165" fontId="7" fillId="0" borderId="0" xfId="1" applyNumberFormat="1" applyFont="1"/>
    <xf numFmtId="164" fontId="7" fillId="0" borderId="0" xfId="1" applyNumberFormat="1" applyFont="1"/>
    <xf numFmtId="165" fontId="7" fillId="0" borderId="66" xfId="0" applyNumberFormat="1" applyFont="1" applyBorder="1"/>
    <xf numFmtId="165" fontId="7" fillId="0" borderId="38" xfId="0" applyNumberFormat="1" applyFont="1" applyBorder="1"/>
    <xf numFmtId="3" fontId="7" fillId="0" borderId="0" xfId="0" applyNumberFormat="1" applyFont="1"/>
    <xf numFmtId="165" fontId="7" fillId="0" borderId="53" xfId="1" applyNumberFormat="1" applyFont="1" applyBorder="1"/>
    <xf numFmtId="0" fontId="8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165" fontId="8" fillId="0" borderId="38" xfId="0" applyNumberFormat="1" applyFont="1" applyBorder="1"/>
    <xf numFmtId="165" fontId="10" fillId="0" borderId="0" xfId="1" applyNumberFormat="1" applyFont="1"/>
    <xf numFmtId="41" fontId="10" fillId="0" borderId="0" xfId="1" applyNumberFormat="1" applyFont="1"/>
    <xf numFmtId="165" fontId="7" fillId="0" borderId="3" xfId="0" applyNumberFormat="1" applyFont="1" applyBorder="1"/>
    <xf numFmtId="165" fontId="9" fillId="0" borderId="3" xfId="1" applyNumberFormat="1" applyFont="1" applyBorder="1"/>
    <xf numFmtId="0" fontId="7" fillId="0" borderId="0" xfId="0" applyFont="1" applyAlignment="1">
      <alignment horizontal="center" wrapText="1"/>
    </xf>
    <xf numFmtId="167" fontId="6" fillId="0" borderId="0" xfId="0" applyNumberFormat="1" applyFont="1" applyFill="1" applyAlignment="1">
      <alignment horizontal="right"/>
    </xf>
    <xf numFmtId="166" fontId="7" fillId="0" borderId="0" xfId="1" applyNumberFormat="1" applyFont="1" applyBorder="1"/>
    <xf numFmtId="166" fontId="7" fillId="0" borderId="3" xfId="1" applyNumberFormat="1" applyFont="1" applyBorder="1"/>
    <xf numFmtId="166" fontId="7" fillId="0" borderId="0" xfId="1" applyNumberFormat="1" applyFont="1"/>
    <xf numFmtId="166" fontId="8" fillId="0" borderId="0" xfId="0" applyNumberFormat="1" applyFont="1"/>
    <xf numFmtId="166" fontId="10" fillId="0" borderId="0" xfId="1" applyNumberFormat="1" applyFont="1" applyFill="1" applyBorder="1"/>
    <xf numFmtId="167" fontId="7" fillId="0" borderId="0" xfId="0" applyNumberFormat="1" applyFont="1"/>
    <xf numFmtId="180" fontId="7" fillId="0" borderId="3" xfId="0" applyNumberFormat="1" applyFont="1" applyBorder="1"/>
    <xf numFmtId="166" fontId="7" fillId="0" borderId="0" xfId="0" applyNumberFormat="1" applyFont="1"/>
    <xf numFmtId="3" fontId="7" fillId="0" borderId="0" xfId="0" quotePrefix="1" applyNumberFormat="1" applyFont="1" applyAlignment="1"/>
    <xf numFmtId="3" fontId="7" fillId="0" borderId="0" xfId="0" applyNumberFormat="1" applyFont="1" applyAlignment="1"/>
    <xf numFmtId="0" fontId="7" fillId="0" borderId="0" xfId="0" applyFont="1" applyBorder="1"/>
    <xf numFmtId="0" fontId="8" fillId="0" borderId="0" xfId="0" applyFont="1" applyBorder="1"/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49" fontId="7" fillId="0" borderId="0" xfId="0" applyNumberFormat="1" applyFont="1" applyAlignment="1">
      <alignment horizontal="center"/>
    </xf>
    <xf numFmtId="0" fontId="7" fillId="0" borderId="9" xfId="0" applyFont="1" applyBorder="1"/>
    <xf numFmtId="41" fontId="7" fillId="0" borderId="10" xfId="0" applyNumberFormat="1" applyFont="1" applyBorder="1"/>
    <xf numFmtId="41" fontId="7" fillId="0" borderId="10" xfId="1" applyNumberFormat="1" applyFont="1" applyBorder="1"/>
    <xf numFmtId="43" fontId="7" fillId="0" borderId="0" xfId="1" applyFont="1"/>
    <xf numFmtId="41" fontId="7" fillId="0" borderId="74" xfId="0" applyNumberFormat="1" applyFont="1" applyBorder="1"/>
    <xf numFmtId="0" fontId="7" fillId="0" borderId="74" xfId="0" applyFont="1" applyBorder="1"/>
    <xf numFmtId="0" fontId="8" fillId="0" borderId="74" xfId="0" applyFont="1" applyBorder="1"/>
    <xf numFmtId="0" fontId="8" fillId="0" borderId="32" xfId="0" applyFont="1" applyBorder="1"/>
    <xf numFmtId="43" fontId="13" fillId="0" borderId="0" xfId="0" applyNumberFormat="1" applyFont="1"/>
    <xf numFmtId="0" fontId="7" fillId="0" borderId="13" xfId="0" applyFont="1" applyBorder="1"/>
    <xf numFmtId="41" fontId="7" fillId="0" borderId="0" xfId="0" applyNumberFormat="1" applyFont="1" applyBorder="1"/>
    <xf numFmtId="41" fontId="7" fillId="0" borderId="0" xfId="1" applyNumberFormat="1" applyFont="1" applyBorder="1"/>
    <xf numFmtId="41" fontId="7" fillId="0" borderId="56" xfId="0" applyNumberFormat="1" applyFont="1" applyBorder="1"/>
    <xf numFmtId="0" fontId="8" fillId="0" borderId="75" xfId="0" applyFont="1" applyBorder="1"/>
    <xf numFmtId="0" fontId="7" fillId="0" borderId="11" xfId="0" applyFont="1" applyBorder="1"/>
    <xf numFmtId="41" fontId="7" fillId="0" borderId="1" xfId="0" applyNumberFormat="1" applyFont="1" applyBorder="1"/>
    <xf numFmtId="41" fontId="7" fillId="0" borderId="1" xfId="1" applyNumberFormat="1" applyFont="1" applyBorder="1"/>
    <xf numFmtId="43" fontId="7" fillId="0" borderId="1" xfId="1" applyFont="1" applyBorder="1"/>
    <xf numFmtId="166" fontId="7" fillId="0" borderId="1" xfId="1" applyNumberFormat="1" applyFont="1" applyBorder="1"/>
    <xf numFmtId="41" fontId="7" fillId="0" borderId="76" xfId="0" applyNumberFormat="1" applyFont="1" applyBorder="1"/>
    <xf numFmtId="43" fontId="8" fillId="0" borderId="76" xfId="0" applyNumberFormat="1" applyFont="1" applyBorder="1" applyAlignment="1">
      <alignment horizontal="center"/>
    </xf>
    <xf numFmtId="165" fontId="8" fillId="0" borderId="76" xfId="0" applyNumberFormat="1" applyFont="1" applyBorder="1" applyAlignment="1">
      <alignment horizontal="center"/>
    </xf>
    <xf numFmtId="166" fontId="14" fillId="0" borderId="33" xfId="1" applyNumberFormat="1" applyFont="1" applyBorder="1" applyAlignment="1">
      <alignment horizontal="center"/>
    </xf>
    <xf numFmtId="41" fontId="7" fillId="0" borderId="0" xfId="0" applyNumberFormat="1" applyFont="1"/>
    <xf numFmtId="0" fontId="7" fillId="0" borderId="19" xfId="0" applyFont="1" applyBorder="1"/>
    <xf numFmtId="0" fontId="7" fillId="0" borderId="56" xfId="0" applyFont="1" applyBorder="1"/>
    <xf numFmtId="0" fontId="7" fillId="0" borderId="20" xfId="0" applyFont="1" applyBorder="1"/>
    <xf numFmtId="0" fontId="7" fillId="0" borderId="77" xfId="0" applyFont="1" applyBorder="1"/>
    <xf numFmtId="0" fontId="13" fillId="0" borderId="0" xfId="0" applyFont="1"/>
    <xf numFmtId="0" fontId="8" fillId="0" borderId="77" xfId="0" applyFont="1" applyBorder="1"/>
    <xf numFmtId="0" fontId="8" fillId="0" borderId="38" xfId="0" applyFont="1" applyBorder="1"/>
    <xf numFmtId="165" fontId="13" fillId="0" borderId="0" xfId="0" applyNumberFormat="1" applyFont="1"/>
    <xf numFmtId="165" fontId="13" fillId="0" borderId="0" xfId="1" applyNumberFormat="1" applyFont="1"/>
    <xf numFmtId="43" fontId="8" fillId="0" borderId="31" xfId="0" applyNumberFormat="1" applyFont="1" applyBorder="1"/>
    <xf numFmtId="166" fontId="14" fillId="0" borderId="36" xfId="1" applyNumberFormat="1" applyFont="1" applyBorder="1"/>
    <xf numFmtId="167" fontId="13" fillId="0" borderId="0" xfId="0" applyNumberFormat="1" applyFont="1"/>
    <xf numFmtId="0" fontId="7" fillId="0" borderId="10" xfId="0" applyFont="1" applyBorder="1"/>
    <xf numFmtId="43" fontId="14" fillId="0" borderId="13" xfId="1" applyFont="1" applyBorder="1"/>
    <xf numFmtId="0" fontId="14" fillId="0" borderId="77" xfId="0" applyFont="1" applyBorder="1"/>
    <xf numFmtId="43" fontId="14" fillId="0" borderId="38" xfId="0" applyNumberFormat="1" applyFont="1" applyBorder="1"/>
    <xf numFmtId="41" fontId="14" fillId="0" borderId="56" xfId="0" applyNumberFormat="1" applyFont="1" applyBorder="1"/>
    <xf numFmtId="0" fontId="14" fillId="0" borderId="0" xfId="0" applyFont="1" applyBorder="1"/>
    <xf numFmtId="165" fontId="8" fillId="0" borderId="76" xfId="1" applyNumberFormat="1" applyFont="1" applyBorder="1"/>
    <xf numFmtId="166" fontId="14" fillId="0" borderId="1" xfId="1" applyNumberFormat="1" applyFont="1" applyBorder="1"/>
    <xf numFmtId="43" fontId="14" fillId="0" borderId="11" xfId="0" applyNumberFormat="1" applyFont="1" applyBorder="1"/>
    <xf numFmtId="0" fontId="14" fillId="0" borderId="36" xfId="0" applyFont="1" applyBorder="1"/>
    <xf numFmtId="0" fontId="15" fillId="0" borderId="0" xfId="0" applyFont="1"/>
    <xf numFmtId="165" fontId="13" fillId="0" borderId="0" xfId="0" applyNumberFormat="1" applyFont="1" applyAlignment="1">
      <alignment horizontal="left"/>
    </xf>
    <xf numFmtId="166" fontId="13" fillId="0" borderId="0" xfId="1" applyNumberFormat="1" applyFont="1"/>
    <xf numFmtId="165" fontId="8" fillId="0" borderId="56" xfId="1" applyNumberFormat="1" applyFont="1" applyBorder="1"/>
    <xf numFmtId="41" fontId="16" fillId="0" borderId="0" xfId="1" applyNumberFormat="1" applyFont="1" applyBorder="1"/>
    <xf numFmtId="0" fontId="17" fillId="0" borderId="19" xfId="0" applyFont="1" applyBorder="1"/>
    <xf numFmtId="0" fontId="17" fillId="0" borderId="20" xfId="0" applyFont="1" applyBorder="1"/>
    <xf numFmtId="43" fontId="16" fillId="0" borderId="56" xfId="0" applyNumberFormat="1" applyFont="1" applyBorder="1"/>
    <xf numFmtId="41" fontId="16" fillId="0" borderId="38" xfId="0" applyNumberFormat="1" applyFont="1" applyBorder="1"/>
    <xf numFmtId="0" fontId="16" fillId="0" borderId="77" xfId="0" applyFont="1" applyBorder="1"/>
    <xf numFmtId="0" fontId="16" fillId="0" borderId="0" xfId="0" applyFont="1" applyBorder="1"/>
    <xf numFmtId="41" fontId="16" fillId="0" borderId="1" xfId="1" applyNumberFormat="1" applyFont="1" applyBorder="1"/>
    <xf numFmtId="43" fontId="17" fillId="0" borderId="76" xfId="0" applyNumberFormat="1" applyFont="1" applyBorder="1"/>
    <xf numFmtId="165" fontId="17" fillId="0" borderId="76" xfId="1" applyNumberFormat="1" applyFont="1" applyBorder="1"/>
    <xf numFmtId="166" fontId="16" fillId="0" borderId="36" xfId="1" applyNumberFormat="1" applyFont="1" applyBorder="1"/>
    <xf numFmtId="0" fontId="16" fillId="0" borderId="11" xfId="0" applyFont="1" applyBorder="1"/>
    <xf numFmtId="0" fontId="7" fillId="0" borderId="36" xfId="0" applyFont="1" applyBorder="1"/>
    <xf numFmtId="0" fontId="14" fillId="0" borderId="0" xfId="0" applyFont="1"/>
    <xf numFmtId="41" fontId="9" fillId="0" borderId="0" xfId="0" applyNumberFormat="1" applyFont="1"/>
    <xf numFmtId="0" fontId="18" fillId="0" borderId="0" xfId="0" applyFont="1"/>
    <xf numFmtId="43" fontId="18" fillId="0" borderId="0" xfId="1" applyFont="1"/>
    <xf numFmtId="43" fontId="14" fillId="0" borderId="0" xfId="0" applyNumberFormat="1" applyFont="1" applyBorder="1"/>
    <xf numFmtId="165" fontId="14" fillId="0" borderId="0" xfId="1" applyNumberFormat="1" applyFont="1"/>
    <xf numFmtId="41" fontId="8" fillId="0" borderId="0" xfId="0" applyNumberFormat="1" applyFont="1"/>
    <xf numFmtId="43" fontId="8" fillId="0" borderId="3" xfId="0" applyNumberFormat="1" applyFont="1" applyBorder="1"/>
    <xf numFmtId="172" fontId="8" fillId="0" borderId="55" xfId="1" applyNumberFormat="1" applyFont="1" applyBorder="1"/>
    <xf numFmtId="41" fontId="8" fillId="0" borderId="27" xfId="1" applyNumberFormat="1" applyFont="1" applyBorder="1"/>
    <xf numFmtId="172" fontId="7" fillId="0" borderId="0" xfId="0" applyNumberFormat="1" applyFont="1"/>
    <xf numFmtId="41" fontId="7" fillId="0" borderId="0" xfId="1" applyNumberFormat="1" applyFont="1"/>
    <xf numFmtId="165" fontId="7" fillId="0" borderId="0" xfId="0" applyNumberFormat="1" applyFont="1"/>
    <xf numFmtId="0" fontId="14" fillId="0" borderId="3" xfId="0" applyFont="1" applyBorder="1"/>
    <xf numFmtId="41" fontId="14" fillId="0" borderId="0" xfId="0" applyNumberFormat="1" applyFont="1"/>
    <xf numFmtId="43" fontId="14" fillId="0" borderId="3" xfId="0" applyNumberFormat="1" applyFont="1" applyBorder="1"/>
    <xf numFmtId="165" fontId="14" fillId="0" borderId="3" xfId="1" applyNumberFormat="1" applyFont="1" applyBorder="1"/>
    <xf numFmtId="0" fontId="7" fillId="5" borderId="0" xfId="0" applyFont="1" applyFill="1"/>
    <xf numFmtId="0" fontId="7" fillId="0" borderId="41" xfId="0" applyFont="1" applyBorder="1"/>
    <xf numFmtId="0" fontId="9" fillId="0" borderId="41" xfId="0" applyFont="1" applyBorder="1" applyAlignment="1">
      <alignment horizontal="centerContinuous"/>
    </xf>
    <xf numFmtId="0" fontId="7" fillId="0" borderId="0" xfId="0" quotePrefix="1" applyFont="1" applyAlignment="1"/>
    <xf numFmtId="0" fontId="7" fillId="0" borderId="41" xfId="0" quotePrefix="1" applyFont="1" applyBorder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top" wrapText="1"/>
    </xf>
    <xf numFmtId="43" fontId="7" fillId="0" borderId="38" xfId="1" applyFont="1" applyBorder="1"/>
    <xf numFmtId="40" fontId="7" fillId="0" borderId="38" xfId="0" applyNumberFormat="1" applyFont="1" applyBorder="1"/>
    <xf numFmtId="43" fontId="7" fillId="0" borderId="0" xfId="1" applyFont="1" applyBorder="1"/>
    <xf numFmtId="43" fontId="19" fillId="0" borderId="0" xfId="1" applyFont="1"/>
    <xf numFmtId="43" fontId="7" fillId="0" borderId="0" xfId="1" applyFont="1" applyFill="1"/>
    <xf numFmtId="0" fontId="7" fillId="0" borderId="0" xfId="0" applyFont="1" applyFill="1"/>
    <xf numFmtId="43" fontId="7" fillId="0" borderId="38" xfId="1" applyFont="1" applyFill="1" applyBorder="1"/>
    <xf numFmtId="43" fontId="7" fillId="0" borderId="0" xfId="0" applyNumberFormat="1" applyFont="1" applyFill="1"/>
    <xf numFmtId="0" fontId="7" fillId="0" borderId="41" xfId="0" applyFont="1" applyFill="1" applyBorder="1"/>
    <xf numFmtId="43" fontId="7" fillId="0" borderId="31" xfId="1" applyFont="1" applyBorder="1"/>
    <xf numFmtId="43" fontId="7" fillId="0" borderId="1" xfId="0" applyNumberFormat="1" applyFont="1" applyBorder="1"/>
    <xf numFmtId="43" fontId="19" fillId="0" borderId="1" xfId="1" applyFont="1" applyBorder="1"/>
    <xf numFmtId="43" fontId="7" fillId="0" borderId="1" xfId="1" applyFont="1" applyFill="1" applyBorder="1"/>
    <xf numFmtId="43" fontId="7" fillId="0" borderId="1" xfId="0" applyNumberFormat="1" applyFont="1" applyFill="1" applyBorder="1"/>
    <xf numFmtId="0" fontId="15" fillId="0" borderId="0" xfId="0" applyFont="1" applyAlignment="1">
      <alignment wrapText="1"/>
    </xf>
    <xf numFmtId="43" fontId="15" fillId="0" borderId="0" xfId="0" applyNumberFormat="1" applyFont="1"/>
    <xf numFmtId="43" fontId="15" fillId="0" borderId="0" xfId="0" applyNumberFormat="1" applyFont="1" applyFill="1" applyBorder="1"/>
    <xf numFmtId="43" fontId="15" fillId="6" borderId="0" xfId="0" applyNumberFormat="1" applyFont="1" applyFill="1"/>
    <xf numFmtId="43" fontId="15" fillId="0" borderId="0" xfId="0" applyNumberFormat="1" applyFont="1" applyBorder="1"/>
    <xf numFmtId="43" fontId="15" fillId="0" borderId="0" xfId="0" applyNumberFormat="1" applyFont="1" applyFill="1"/>
    <xf numFmtId="43" fontId="7" fillId="6" borderId="10" xfId="0" applyNumberFormat="1" applyFont="1" applyFill="1" applyBorder="1"/>
    <xf numFmtId="43" fontId="7" fillId="0" borderId="10" xfId="0" applyNumberFormat="1" applyFont="1" applyFill="1" applyBorder="1"/>
    <xf numFmtId="43" fontId="7" fillId="0" borderId="4" xfId="1" applyFont="1" applyBorder="1"/>
    <xf numFmtId="43" fontId="15" fillId="0" borderId="0" xfId="1" applyFont="1" applyBorder="1"/>
    <xf numFmtId="43" fontId="7" fillId="10" borderId="0" xfId="1" applyFont="1" applyFill="1" applyBorder="1"/>
    <xf numFmtId="43" fontId="7" fillId="10" borderId="4" xfId="1" applyFont="1" applyFill="1" applyBorder="1"/>
    <xf numFmtId="43" fontId="20" fillId="0" borderId="3" xfId="1" applyFont="1" applyBorder="1"/>
    <xf numFmtId="43" fontId="7" fillId="0" borderId="3" xfId="0" applyNumberFormat="1" applyFont="1" applyBorder="1"/>
    <xf numFmtId="43" fontId="7" fillId="0" borderId="40" xfId="0" applyNumberFormat="1" applyFont="1" applyBorder="1"/>
    <xf numFmtId="43" fontId="7" fillId="9" borderId="3" xfId="1" applyFont="1" applyFill="1" applyBorder="1"/>
    <xf numFmtId="40" fontId="7" fillId="0" borderId="0" xfId="0" applyNumberFormat="1" applyFont="1"/>
    <xf numFmtId="43" fontId="7" fillId="0" borderId="39" xfId="0" applyNumberFormat="1" applyFont="1" applyFill="1" applyBorder="1"/>
    <xf numFmtId="43" fontId="7" fillId="9" borderId="0" xfId="1" applyFont="1" applyFill="1"/>
    <xf numFmtId="43" fontId="7" fillId="0" borderId="3" xfId="0" applyNumberFormat="1" applyFont="1" applyFill="1" applyBorder="1"/>
    <xf numFmtId="0" fontId="7" fillId="0" borderId="30" xfId="0" applyFont="1" applyFill="1" applyBorder="1"/>
    <xf numFmtId="0" fontId="7" fillId="0" borderId="40" xfId="0" applyFont="1" applyFill="1" applyBorder="1"/>
    <xf numFmtId="4" fontId="7" fillId="3" borderId="0" xfId="0" applyNumberFormat="1" applyFont="1" applyFill="1"/>
    <xf numFmtId="0" fontId="7" fillId="3" borderId="0" xfId="0" applyFont="1" applyFill="1"/>
    <xf numFmtId="0" fontId="7" fillId="10" borderId="0" xfId="0" applyFont="1" applyFill="1"/>
    <xf numFmtId="4" fontId="7" fillId="10" borderId="0" xfId="0" applyNumberFormat="1" applyFont="1" applyFill="1"/>
    <xf numFmtId="43" fontId="7" fillId="6" borderId="0" xfId="0" applyNumberFormat="1" applyFont="1" applyFill="1"/>
    <xf numFmtId="0" fontId="7" fillId="6" borderId="0" xfId="0" applyFont="1" applyFill="1"/>
    <xf numFmtId="0" fontId="3" fillId="0" borderId="0" xfId="3" applyFont="1"/>
    <xf numFmtId="0" fontId="7" fillId="0" borderId="0" xfId="3" applyFont="1"/>
    <xf numFmtId="0" fontId="16" fillId="0" borderId="0" xfId="3" applyFont="1"/>
    <xf numFmtId="0" fontId="21" fillId="0" borderId="0" xfId="3" applyFont="1"/>
    <xf numFmtId="0" fontId="9" fillId="0" borderId="0" xfId="3" applyFont="1" applyAlignment="1">
      <alignment horizontal="centerContinuous"/>
    </xf>
    <xf numFmtId="3" fontId="7" fillId="0" borderId="0" xfId="3" applyNumberFormat="1" applyFont="1" applyAlignment="1">
      <alignment horizontal="centerContinuous"/>
    </xf>
    <xf numFmtId="0" fontId="22" fillId="0" borderId="0" xfId="3" applyFont="1" applyAlignment="1">
      <alignment horizontal="centerContinuous"/>
    </xf>
    <xf numFmtId="3" fontId="16" fillId="0" borderId="0" xfId="3" applyNumberFormat="1" applyFont="1" applyAlignment="1">
      <alignment horizontal="centerContinuous"/>
    </xf>
    <xf numFmtId="0" fontId="15" fillId="0" borderId="9" xfId="3" applyFont="1" applyBorder="1" applyAlignment="1"/>
    <xf numFmtId="0" fontId="15" fillId="0" borderId="20" xfId="3" applyFont="1" applyBorder="1" applyAlignment="1"/>
    <xf numFmtId="3" fontId="23" fillId="0" borderId="9" xfId="3" quotePrefix="1" applyNumberFormat="1" applyFont="1" applyBorder="1" applyAlignment="1"/>
    <xf numFmtId="3" fontId="23" fillId="0" borderId="20" xfId="3" quotePrefix="1" applyNumberFormat="1" applyFont="1" applyBorder="1" applyAlignment="1"/>
    <xf numFmtId="0" fontId="14" fillId="0" borderId="9" xfId="3" applyFont="1" applyBorder="1" applyAlignment="1"/>
    <xf numFmtId="0" fontId="14" fillId="0" borderId="20" xfId="3" applyFont="1" applyBorder="1" applyAlignment="1"/>
    <xf numFmtId="0" fontId="16" fillId="0" borderId="9" xfId="3" applyFont="1" applyBorder="1" applyAlignment="1"/>
    <xf numFmtId="0" fontId="16" fillId="0" borderId="20" xfId="3" applyFont="1" applyBorder="1" applyAlignment="1"/>
    <xf numFmtId="0" fontId="21" fillId="0" borderId="9" xfId="3" applyFont="1" applyBorder="1" applyAlignment="1"/>
    <xf numFmtId="0" fontId="21" fillId="0" borderId="20" xfId="3" applyFont="1" applyBorder="1" applyAlignment="1"/>
    <xf numFmtId="3" fontId="18" fillId="0" borderId="9" xfId="3" quotePrefix="1" applyNumberFormat="1" applyFont="1" applyBorder="1" applyAlignment="1"/>
    <xf numFmtId="3" fontId="18" fillId="0" borderId="20" xfId="3" quotePrefix="1" applyNumberFormat="1" applyFont="1" applyBorder="1" applyAlignment="1"/>
    <xf numFmtId="43" fontId="7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15" fillId="0" borderId="13" xfId="3" applyFont="1" applyBorder="1" applyAlignment="1">
      <alignment horizontal="center"/>
    </xf>
    <xf numFmtId="3" fontId="15" fillId="0" borderId="77" xfId="3" applyNumberFormat="1" applyFont="1" applyBorder="1" applyAlignment="1">
      <alignment horizontal="center"/>
    </xf>
    <xf numFmtId="0" fontId="23" fillId="0" borderId="13" xfId="3" applyFont="1" applyBorder="1" applyAlignment="1">
      <alignment horizontal="center"/>
    </xf>
    <xf numFmtId="3" fontId="23" fillId="0" borderId="77" xfId="3" applyNumberFormat="1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3" fontId="14" fillId="0" borderId="77" xfId="3" applyNumberFormat="1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3" fontId="16" fillId="0" borderId="77" xfId="3" applyNumberFormat="1" applyFont="1" applyBorder="1" applyAlignment="1">
      <alignment horizontal="center"/>
    </xf>
    <xf numFmtId="0" fontId="21" fillId="0" borderId="13" xfId="3" applyFont="1" applyBorder="1" applyAlignment="1">
      <alignment horizontal="center"/>
    </xf>
    <xf numFmtId="3" fontId="21" fillId="0" borderId="77" xfId="3" applyNumberFormat="1" applyFont="1" applyBorder="1" applyAlignment="1">
      <alignment horizontal="center"/>
    </xf>
    <xf numFmtId="0" fontId="18" fillId="0" borderId="13" xfId="3" applyFont="1" applyBorder="1" applyAlignment="1">
      <alignment horizontal="center"/>
    </xf>
    <xf numFmtId="3" fontId="18" fillId="0" borderId="77" xfId="3" applyNumberFormat="1" applyFont="1" applyBorder="1" applyAlignment="1">
      <alignment horizontal="center"/>
    </xf>
    <xf numFmtId="0" fontId="15" fillId="0" borderId="13" xfId="3" quotePrefix="1" applyFont="1" applyBorder="1" applyAlignment="1"/>
    <xf numFmtId="0" fontId="15" fillId="0" borderId="77" xfId="3" quotePrefix="1" applyFont="1" applyBorder="1" applyAlignment="1"/>
    <xf numFmtId="3" fontId="23" fillId="0" borderId="13" xfId="3" quotePrefix="1" applyNumberFormat="1" applyFont="1" applyBorder="1" applyAlignment="1"/>
    <xf numFmtId="3" fontId="23" fillId="0" borderId="77" xfId="3" quotePrefix="1" applyNumberFormat="1" applyFont="1" applyBorder="1" applyAlignment="1"/>
    <xf numFmtId="3" fontId="14" fillId="0" borderId="77" xfId="3" quotePrefix="1" applyNumberFormat="1" applyFont="1" applyBorder="1" applyAlignment="1">
      <alignment horizontal="center" shrinkToFit="1"/>
    </xf>
    <xf numFmtId="0" fontId="16" fillId="0" borderId="13" xfId="3" applyFont="1" applyBorder="1"/>
    <xf numFmtId="3" fontId="16" fillId="0" borderId="77" xfId="3" applyNumberFormat="1" applyFont="1" applyBorder="1"/>
    <xf numFmtId="0" fontId="21" fillId="0" borderId="13" xfId="3" quotePrefix="1" applyFont="1" applyBorder="1" applyAlignment="1">
      <alignment horizontal="centerContinuous"/>
    </xf>
    <xf numFmtId="3" fontId="21" fillId="0" borderId="77" xfId="3" applyNumberFormat="1" applyFont="1" applyBorder="1" applyAlignment="1">
      <alignment horizontal="centerContinuous"/>
    </xf>
    <xf numFmtId="3" fontId="18" fillId="0" borderId="13" xfId="3" quotePrefix="1" applyNumberFormat="1" applyFont="1" applyBorder="1" applyAlignment="1"/>
    <xf numFmtId="3" fontId="18" fillId="0" borderId="77" xfId="3" quotePrefix="1" applyNumberFormat="1" applyFont="1" applyBorder="1" applyAlignment="1"/>
    <xf numFmtId="179" fontId="6" fillId="0" borderId="0" xfId="3" applyNumberFormat="1" applyFont="1" applyAlignment="1">
      <alignment horizontal="left"/>
    </xf>
    <xf numFmtId="43" fontId="7" fillId="0" borderId="13" xfId="3" applyNumberFormat="1" applyFont="1" applyBorder="1"/>
    <xf numFmtId="41" fontId="7" fillId="0" borderId="77" xfId="3" applyNumberFormat="1" applyFont="1" applyBorder="1"/>
    <xf numFmtId="43" fontId="24" fillId="0" borderId="13" xfId="3" applyNumberFormat="1" applyFont="1" applyBorder="1"/>
    <xf numFmtId="41" fontId="24" fillId="0" borderId="77" xfId="3" applyNumberFormat="1" applyFont="1" applyBorder="1"/>
    <xf numFmtId="43" fontId="14" fillId="0" borderId="13" xfId="3" applyNumberFormat="1" applyFont="1" applyBorder="1"/>
    <xf numFmtId="41" fontId="14" fillId="0" borderId="77" xfId="3" applyNumberFormat="1" applyFont="1" applyBorder="1"/>
    <xf numFmtId="43" fontId="16" fillId="0" borderId="13" xfId="3" applyNumberFormat="1" applyFont="1" applyBorder="1"/>
    <xf numFmtId="41" fontId="16" fillId="0" borderId="77" xfId="3" applyNumberFormat="1" applyFont="1" applyBorder="1"/>
    <xf numFmtId="43" fontId="21" fillId="0" borderId="13" xfId="3" applyNumberFormat="1" applyFont="1" applyBorder="1"/>
    <xf numFmtId="41" fontId="21" fillId="0" borderId="77" xfId="3" applyNumberFormat="1" applyFont="1" applyBorder="1"/>
    <xf numFmtId="43" fontId="18" fillId="0" borderId="13" xfId="3" applyNumberFormat="1" applyFont="1" applyBorder="1"/>
    <xf numFmtId="41" fontId="18" fillId="0" borderId="77" xfId="3" applyNumberFormat="1" applyFont="1" applyBorder="1"/>
    <xf numFmtId="179" fontId="6" fillId="0" borderId="0" xfId="0" applyNumberFormat="1" applyFont="1" applyFill="1" applyAlignment="1">
      <alignment horizontal="left"/>
    </xf>
    <xf numFmtId="0" fontId="7" fillId="0" borderId="0" xfId="3" applyFont="1" applyAlignment="1"/>
    <xf numFmtId="43" fontId="15" fillId="0" borderId="13" xfId="21" applyNumberFormat="1" applyFont="1" applyBorder="1"/>
    <xf numFmtId="41" fontId="15" fillId="0" borderId="77" xfId="1" applyNumberFormat="1" applyFont="1" applyBorder="1"/>
    <xf numFmtId="43" fontId="24" fillId="0" borderId="13" xfId="21" applyNumberFormat="1" applyFont="1" applyBorder="1"/>
    <xf numFmtId="41" fontId="24" fillId="0" borderId="77" xfId="1" applyNumberFormat="1" applyFont="1" applyBorder="1"/>
    <xf numFmtId="43" fontId="14" fillId="0" borderId="13" xfId="21" applyNumberFormat="1" applyFont="1" applyBorder="1"/>
    <xf numFmtId="41" fontId="14" fillId="0" borderId="77" xfId="1" applyNumberFormat="1" applyFont="1" applyBorder="1"/>
    <xf numFmtId="43" fontId="16" fillId="0" borderId="13" xfId="21" applyNumberFormat="1" applyFont="1" applyBorder="1"/>
    <xf numFmtId="41" fontId="16" fillId="0" borderId="77" xfId="1" applyNumberFormat="1" applyFont="1" applyBorder="1"/>
    <xf numFmtId="43" fontId="21" fillId="0" borderId="13" xfId="21" applyNumberFormat="1" applyFont="1" applyBorder="1"/>
    <xf numFmtId="41" fontId="21" fillId="0" borderId="77" xfId="1" applyNumberFormat="1" applyFont="1" applyBorder="1"/>
    <xf numFmtId="43" fontId="18" fillId="0" borderId="13" xfId="21" applyNumberFormat="1" applyFont="1" applyBorder="1"/>
    <xf numFmtId="41" fontId="18" fillId="0" borderId="77" xfId="1" applyNumberFormat="1" applyFont="1" applyBorder="1"/>
    <xf numFmtId="179" fontId="6" fillId="0" borderId="0" xfId="0" applyNumberFormat="1" applyFont="1" applyAlignment="1">
      <alignment horizontal="left"/>
    </xf>
    <xf numFmtId="179" fontId="6" fillId="0" borderId="0" xfId="3" applyNumberFormat="1" applyFont="1" applyFill="1" applyAlignment="1">
      <alignment horizontal="left"/>
    </xf>
    <xf numFmtId="0" fontId="6" fillId="0" borderId="0" xfId="3" applyFont="1" applyFill="1" applyAlignment="1">
      <alignment horizontal="left"/>
    </xf>
    <xf numFmtId="4" fontId="6" fillId="0" borderId="0" xfId="3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0" fontId="6" fillId="0" borderId="0" xfId="3" applyFont="1"/>
    <xf numFmtId="43" fontId="15" fillId="0" borderId="13" xfId="3" applyNumberFormat="1" applyFont="1" applyBorder="1"/>
    <xf numFmtId="3" fontId="14" fillId="0" borderId="77" xfId="1" applyNumberFormat="1" applyFont="1" applyBorder="1"/>
    <xf numFmtId="0" fontId="6" fillId="0" borderId="0" xfId="3" applyFont="1" applyAlignment="1">
      <alignment horizontal="left"/>
    </xf>
    <xf numFmtId="41" fontId="15" fillId="0" borderId="77" xfId="1" applyNumberFormat="1" applyFont="1" applyFill="1" applyBorder="1"/>
    <xf numFmtId="43" fontId="24" fillId="0" borderId="13" xfId="21" applyNumberFormat="1" applyFont="1" applyFill="1" applyBorder="1"/>
    <xf numFmtId="41" fontId="24" fillId="0" borderId="77" xfId="1" applyNumberFormat="1" applyFont="1" applyFill="1" applyBorder="1"/>
    <xf numFmtId="0" fontId="13" fillId="0" borderId="13" xfId="3" applyFont="1" applyBorder="1"/>
    <xf numFmtId="3" fontId="7" fillId="0" borderId="77" xfId="3" applyNumberFormat="1" applyFont="1" applyBorder="1"/>
    <xf numFmtId="0" fontId="22" fillId="0" borderId="13" xfId="3" applyFont="1" applyBorder="1"/>
    <xf numFmtId="0" fontId="8" fillId="0" borderId="13" xfId="3" applyFont="1" applyBorder="1"/>
    <xf numFmtId="3" fontId="14" fillId="0" borderId="77" xfId="3" applyNumberFormat="1" applyFont="1" applyBorder="1"/>
    <xf numFmtId="0" fontId="17" fillId="0" borderId="13" xfId="3" applyFont="1" applyBorder="1"/>
    <xf numFmtId="0" fontId="21" fillId="0" borderId="13" xfId="3" applyFont="1" applyBorder="1"/>
    <xf numFmtId="3" fontId="21" fillId="0" borderId="77" xfId="3" applyNumberFormat="1" applyFont="1" applyBorder="1"/>
    <xf numFmtId="0" fontId="25" fillId="0" borderId="13" xfId="3" applyFont="1" applyBorder="1"/>
    <xf numFmtId="3" fontId="18" fillId="0" borderId="77" xfId="3" applyNumberFormat="1" applyFont="1" applyBorder="1"/>
    <xf numFmtId="0" fontId="7" fillId="0" borderId="13" xfId="3" applyFont="1" applyBorder="1"/>
    <xf numFmtId="0" fontId="14" fillId="0" borderId="13" xfId="3" applyFont="1" applyBorder="1"/>
    <xf numFmtId="0" fontId="18" fillId="0" borderId="13" xfId="3" applyFont="1" applyBorder="1"/>
    <xf numFmtId="43" fontId="15" fillId="0" borderId="39" xfId="3" applyNumberFormat="1" applyFont="1" applyBorder="1"/>
    <xf numFmtId="41" fontId="15" fillId="0" borderId="77" xfId="3" applyNumberFormat="1" applyFont="1" applyFill="1" applyBorder="1"/>
    <xf numFmtId="43" fontId="23" fillId="0" borderId="39" xfId="3" applyNumberFormat="1" applyFont="1" applyBorder="1"/>
    <xf numFmtId="41" fontId="23" fillId="0" borderId="77" xfId="3" applyNumberFormat="1" applyFont="1" applyFill="1" applyBorder="1"/>
    <xf numFmtId="43" fontId="14" fillId="0" borderId="39" xfId="3" applyNumberFormat="1" applyFont="1" applyBorder="1"/>
    <xf numFmtId="43" fontId="16" fillId="0" borderId="39" xfId="3" applyNumberFormat="1" applyFont="1" applyBorder="1"/>
    <xf numFmtId="43" fontId="21" fillId="0" borderId="39" xfId="3" applyNumberFormat="1" applyFont="1" applyBorder="1"/>
    <xf numFmtId="43" fontId="18" fillId="0" borderId="39" xfId="3" applyNumberFormat="1" applyFont="1" applyBorder="1"/>
    <xf numFmtId="43" fontId="22" fillId="0" borderId="13" xfId="3" applyNumberFormat="1" applyFont="1" applyBorder="1"/>
    <xf numFmtId="41" fontId="15" fillId="0" borderId="39" xfId="1" applyNumberFormat="1" applyFont="1" applyBorder="1"/>
    <xf numFmtId="41" fontId="23" fillId="0" borderId="39" xfId="1" applyNumberFormat="1" applyFont="1" applyFill="1" applyBorder="1"/>
    <xf numFmtId="41" fontId="14" fillId="0" borderId="39" xfId="1" applyNumberFormat="1" applyFont="1" applyBorder="1"/>
    <xf numFmtId="43" fontId="17" fillId="0" borderId="13" xfId="3" applyNumberFormat="1" applyFont="1" applyBorder="1"/>
    <xf numFmtId="41" fontId="16" fillId="0" borderId="39" xfId="1" applyNumberFormat="1" applyFont="1" applyBorder="1"/>
    <xf numFmtId="43" fontId="21" fillId="0" borderId="11" xfId="3" applyNumberFormat="1" applyFont="1" applyBorder="1"/>
    <xf numFmtId="41" fontId="21" fillId="0" borderId="39" xfId="1" applyNumberFormat="1" applyFont="1" applyBorder="1"/>
    <xf numFmtId="43" fontId="18" fillId="0" borderId="11" xfId="3" applyNumberFormat="1" applyFont="1" applyBorder="1"/>
    <xf numFmtId="41" fontId="18" fillId="0" borderId="39" xfId="1" applyNumberFormat="1" applyFont="1" applyBorder="1"/>
    <xf numFmtId="43" fontId="23" fillId="0" borderId="13" xfId="3" applyNumberFormat="1" applyFont="1" applyBorder="1"/>
    <xf numFmtId="41" fontId="23" fillId="0" borderId="77" xfId="1" applyNumberFormat="1" applyFont="1" applyBorder="1"/>
    <xf numFmtId="165" fontId="12" fillId="0" borderId="0" xfId="1" applyNumberFormat="1" applyFont="1" applyBorder="1"/>
    <xf numFmtId="43" fontId="12" fillId="0" borderId="13" xfId="3" applyNumberFormat="1" applyFont="1" applyBorder="1"/>
    <xf numFmtId="41" fontId="12" fillId="0" borderId="77" xfId="1" applyNumberFormat="1" applyFont="1" applyBorder="1"/>
    <xf numFmtId="41" fontId="12" fillId="0" borderId="77" xfId="3" applyNumberFormat="1" applyFont="1" applyBorder="1"/>
    <xf numFmtId="165" fontId="25" fillId="0" borderId="0" xfId="1" applyNumberFormat="1" applyFont="1" applyBorder="1"/>
    <xf numFmtId="43" fontId="25" fillId="0" borderId="13" xfId="3" applyNumberFormat="1" applyFont="1" applyBorder="1"/>
    <xf numFmtId="41" fontId="25" fillId="0" borderId="77" xfId="3" applyNumberFormat="1" applyFont="1" applyBorder="1"/>
    <xf numFmtId="41" fontId="8" fillId="0" borderId="77" xfId="3" applyNumberFormat="1" applyFont="1" applyBorder="1"/>
    <xf numFmtId="43" fontId="12" fillId="0" borderId="11" xfId="3" applyNumberFormat="1" applyFont="1" applyBorder="1"/>
    <xf numFmtId="41" fontId="12" fillId="0" borderId="1" xfId="3" applyNumberFormat="1" applyFont="1" applyBorder="1"/>
    <xf numFmtId="41" fontId="9" fillId="0" borderId="1" xfId="3" applyNumberFormat="1" applyFont="1" applyBorder="1"/>
    <xf numFmtId="41" fontId="9" fillId="0" borderId="0" xfId="3" applyNumberFormat="1" applyFont="1"/>
    <xf numFmtId="41" fontId="9" fillId="0" borderId="36" xfId="3" applyNumberFormat="1" applyFont="1" applyBorder="1"/>
    <xf numFmtId="43" fontId="7" fillId="0" borderId="0" xfId="3" applyNumberFormat="1" applyFont="1"/>
    <xf numFmtId="41" fontId="7" fillId="0" borderId="0" xfId="3" applyNumberFormat="1" applyFont="1"/>
    <xf numFmtId="43" fontId="16" fillId="0" borderId="0" xfId="3" applyNumberFormat="1" applyFont="1"/>
    <xf numFmtId="41" fontId="16" fillId="0" borderId="0" xfId="3" applyNumberFormat="1" applyFont="1"/>
    <xf numFmtId="43" fontId="8" fillId="0" borderId="9" xfId="3" applyNumberFormat="1" applyFont="1" applyBorder="1"/>
    <xf numFmtId="41" fontId="21" fillId="0" borderId="20" xfId="3" applyNumberFormat="1" applyFont="1" applyBorder="1"/>
    <xf numFmtId="43" fontId="8" fillId="0" borderId="13" xfId="3" applyNumberFormat="1" applyFont="1" applyBorder="1"/>
    <xf numFmtId="43" fontId="8" fillId="0" borderId="77" xfId="3" applyNumberFormat="1" applyFont="1" applyBorder="1"/>
    <xf numFmtId="0" fontId="7" fillId="0" borderId="0" xfId="3" applyFont="1" applyAlignment="1">
      <alignment horizontal="left"/>
    </xf>
    <xf numFmtId="43" fontId="14" fillId="0" borderId="11" xfId="3" applyNumberFormat="1" applyFont="1" applyBorder="1"/>
    <xf numFmtId="43" fontId="8" fillId="0" borderId="36" xfId="3" applyNumberFormat="1" applyFont="1" applyBorder="1"/>
    <xf numFmtId="43" fontId="14" fillId="0" borderId="0" xfId="3" applyNumberFormat="1" applyFont="1" applyBorder="1"/>
    <xf numFmtId="43" fontId="8" fillId="0" borderId="0" xfId="3" applyNumberFormat="1" applyFont="1" applyBorder="1"/>
    <xf numFmtId="0" fontId="3" fillId="0" borderId="0" xfId="12" applyFont="1"/>
    <xf numFmtId="0" fontId="8" fillId="0" borderId="96" xfId="12" applyFont="1" applyBorder="1"/>
    <xf numFmtId="0" fontId="7" fillId="0" borderId="85" xfId="12" applyFont="1" applyBorder="1"/>
    <xf numFmtId="43" fontId="7" fillId="0" borderId="85" xfId="12" applyNumberFormat="1" applyFont="1" applyBorder="1"/>
    <xf numFmtId="41" fontId="7" fillId="0" borderId="85" xfId="12" applyNumberFormat="1" applyFont="1" applyBorder="1"/>
    <xf numFmtId="41" fontId="16" fillId="0" borderId="85" xfId="12" applyNumberFormat="1" applyFont="1" applyBorder="1"/>
    <xf numFmtId="41" fontId="7" fillId="0" borderId="92" xfId="12" applyNumberFormat="1" applyFont="1" applyBorder="1"/>
    <xf numFmtId="0" fontId="7" fillId="0" borderId="86" xfId="12" applyFont="1" applyBorder="1"/>
    <xf numFmtId="0" fontId="7" fillId="0" borderId="0" xfId="12" applyFont="1" applyBorder="1"/>
    <xf numFmtId="43" fontId="7" fillId="0" borderId="0" xfId="12" applyNumberFormat="1" applyFont="1" applyBorder="1"/>
    <xf numFmtId="41" fontId="7" fillId="0" borderId="0" xfId="12" applyNumberFormat="1" applyFont="1" applyBorder="1"/>
    <xf numFmtId="41" fontId="7" fillId="0" borderId="94" xfId="12" applyNumberFormat="1" applyFont="1" applyBorder="1"/>
    <xf numFmtId="0" fontId="7" fillId="0" borderId="86" xfId="12" applyFont="1" applyBorder="1" applyAlignment="1">
      <alignment horizontal="right"/>
    </xf>
    <xf numFmtId="41" fontId="7" fillId="0" borderId="95" xfId="12" applyNumberFormat="1" applyFont="1" applyBorder="1"/>
    <xf numFmtId="4" fontId="7" fillId="0" borderId="87" xfId="1" applyNumberFormat="1" applyFont="1" applyBorder="1"/>
    <xf numFmtId="4" fontId="7" fillId="0" borderId="30" xfId="12" applyNumberFormat="1" applyFont="1" applyBorder="1"/>
    <xf numFmtId="43" fontId="7" fillId="0" borderId="3" xfId="12" applyNumberFormat="1" applyFont="1" applyBorder="1"/>
    <xf numFmtId="41" fontId="7" fillId="0" borderId="30" xfId="12" applyNumberFormat="1" applyFont="1" applyBorder="1"/>
    <xf numFmtId="41" fontId="7" fillId="0" borderId="90" xfId="12" applyNumberFormat="1" applyFont="1" applyBorder="1"/>
    <xf numFmtId="0" fontId="7" fillId="0" borderId="0" xfId="12" applyFont="1" applyAlignment="1">
      <alignment horizontal="left"/>
    </xf>
    <xf numFmtId="0" fontId="7" fillId="0" borderId="0" xfId="12" applyFont="1"/>
    <xf numFmtId="3" fontId="7" fillId="0" borderId="88" xfId="12" applyNumberFormat="1" applyFont="1" applyBorder="1"/>
    <xf numFmtId="3" fontId="7" fillId="0" borderId="89" xfId="12" applyNumberFormat="1" applyFont="1" applyBorder="1"/>
    <xf numFmtId="43" fontId="7" fillId="0" borderId="91" xfId="12" applyNumberFormat="1" applyFont="1" applyBorder="1"/>
    <xf numFmtId="41" fontId="7" fillId="0" borderId="89" xfId="12" applyNumberFormat="1" applyFont="1" applyBorder="1"/>
    <xf numFmtId="41" fontId="7" fillId="0" borderId="93" xfId="12" applyNumberFormat="1" applyFont="1" applyBorder="1"/>
    <xf numFmtId="4" fontId="7" fillId="0" borderId="0" xfId="12" applyNumberFormat="1" applyFont="1" applyAlignment="1">
      <alignment horizontal="left"/>
    </xf>
    <xf numFmtId="4" fontId="7" fillId="0" borderId="0" xfId="12" applyNumberFormat="1" applyFont="1"/>
    <xf numFmtId="0" fontId="7" fillId="2" borderId="40" xfId="12" applyFont="1" applyFill="1" applyBorder="1" applyAlignment="1">
      <alignment horizontal="left"/>
    </xf>
    <xf numFmtId="0" fontId="7" fillId="2" borderId="30" xfId="12" applyFont="1" applyFill="1" applyBorder="1"/>
    <xf numFmtId="0" fontId="7" fillId="2" borderId="3" xfId="12" applyFont="1" applyFill="1" applyBorder="1"/>
    <xf numFmtId="43" fontId="7" fillId="2" borderId="3" xfId="1" applyFont="1" applyFill="1" applyBorder="1" applyAlignment="1"/>
    <xf numFmtId="2" fontId="7" fillId="0" borderId="0" xfId="12" applyNumberFormat="1" applyFont="1"/>
    <xf numFmtId="0" fontId="7" fillId="2" borderId="4" xfId="12" applyFont="1" applyFill="1" applyBorder="1"/>
    <xf numFmtId="0" fontId="7" fillId="2" borderId="55" xfId="12" applyFont="1" applyFill="1" applyBorder="1"/>
    <xf numFmtId="43" fontId="7" fillId="2" borderId="55" xfId="1" applyFont="1" applyFill="1" applyBorder="1" applyAlignment="1"/>
    <xf numFmtId="43" fontId="7" fillId="2" borderId="3" xfId="12" applyNumberFormat="1" applyFont="1" applyFill="1" applyBorder="1" applyAlignment="1"/>
    <xf numFmtId="2" fontId="7" fillId="0" borderId="0" xfId="3" applyNumberFormat="1" applyFont="1"/>
    <xf numFmtId="0" fontId="7" fillId="0" borderId="0" xfId="0" applyFont="1" applyAlignment="1">
      <alignment horizontal="left"/>
    </xf>
    <xf numFmtId="3" fontId="16" fillId="0" borderId="0" xfId="0" applyNumberFormat="1" applyFont="1"/>
    <xf numFmtId="3" fontId="21" fillId="0" borderId="0" xfId="0" applyNumberFormat="1" applyFont="1"/>
    <xf numFmtId="0" fontId="3" fillId="0" borderId="0" xfId="3" applyFont="1" applyAlignment="1"/>
    <xf numFmtId="43" fontId="7" fillId="0" borderId="0" xfId="1" applyFont="1" applyAlignment="1"/>
    <xf numFmtId="165" fontId="7" fillId="0" borderId="0" xfId="1" applyNumberFormat="1" applyFont="1" applyAlignment="1"/>
    <xf numFmtId="43" fontId="15" fillId="0" borderId="13" xfId="21" applyNumberFormat="1" applyFont="1" applyBorder="1" applyAlignment="1"/>
    <xf numFmtId="41" fontId="15" fillId="0" borderId="77" xfId="1" applyNumberFormat="1" applyFont="1" applyBorder="1" applyAlignment="1"/>
    <xf numFmtId="43" fontId="24" fillId="0" borderId="13" xfId="21" applyNumberFormat="1" applyFont="1" applyBorder="1" applyAlignment="1"/>
    <xf numFmtId="41" fontId="24" fillId="0" borderId="77" xfId="1" applyNumberFormat="1" applyFont="1" applyBorder="1" applyAlignment="1"/>
    <xf numFmtId="43" fontId="14" fillId="0" borderId="13" xfId="21" applyNumberFormat="1" applyFont="1" applyBorder="1" applyAlignment="1"/>
    <xf numFmtId="41" fontId="14" fillId="0" borderId="77" xfId="1" applyNumberFormat="1" applyFont="1" applyBorder="1" applyAlignment="1"/>
    <xf numFmtId="43" fontId="16" fillId="0" borderId="13" xfId="21" applyNumberFormat="1" applyFont="1" applyBorder="1" applyAlignment="1"/>
    <xf numFmtId="41" fontId="16" fillId="0" borderId="77" xfId="1" applyNumberFormat="1" applyFont="1" applyBorder="1" applyAlignment="1"/>
    <xf numFmtId="43" fontId="21" fillId="0" borderId="13" xfId="21" applyNumberFormat="1" applyFont="1" applyBorder="1" applyAlignment="1"/>
    <xf numFmtId="41" fontId="21" fillId="0" borderId="77" xfId="1" applyNumberFormat="1" applyFont="1" applyBorder="1" applyAlignment="1"/>
    <xf numFmtId="43" fontId="18" fillId="0" borderId="13" xfId="21" applyNumberFormat="1" applyFont="1" applyBorder="1" applyAlignment="1"/>
    <xf numFmtId="41" fontId="18" fillId="0" borderId="77" xfId="1" applyNumberFormat="1" applyFont="1" applyBorder="1" applyAlignment="1"/>
    <xf numFmtId="0" fontId="27" fillId="0" borderId="0" xfId="0" applyFont="1"/>
    <xf numFmtId="174" fontId="27" fillId="0" borderId="0" xfId="0" applyNumberFormat="1" applyFont="1"/>
    <xf numFmtId="0" fontId="26" fillId="0" borderId="9" xfId="0" applyFont="1" applyBorder="1" applyAlignment="1"/>
    <xf numFmtId="0" fontId="26" fillId="0" borderId="10" xfId="0" applyFont="1" applyBorder="1" applyAlignment="1"/>
    <xf numFmtId="0" fontId="26" fillId="0" borderId="20" xfId="0" applyFont="1" applyBorder="1" applyAlignment="1"/>
    <xf numFmtId="0" fontId="27" fillId="0" borderId="13" xfId="0" applyFont="1" applyBorder="1" applyAlignment="1"/>
    <xf numFmtId="0" fontId="27" fillId="0" borderId="0" xfId="0" applyFont="1" applyBorder="1" applyAlignment="1"/>
    <xf numFmtId="0" fontId="27" fillId="0" borderId="77" xfId="0" applyFont="1" applyBorder="1" applyAlignment="1"/>
    <xf numFmtId="0" fontId="27" fillId="0" borderId="13" xfId="0" applyFont="1" applyBorder="1"/>
    <xf numFmtId="174" fontId="27" fillId="0" borderId="77" xfId="0" applyNumberFormat="1" applyFont="1" applyBorder="1"/>
    <xf numFmtId="0" fontId="27" fillId="0" borderId="0" xfId="0" applyFont="1" applyBorder="1"/>
    <xf numFmtId="0" fontId="27" fillId="0" borderId="77" xfId="0" applyFont="1" applyBorder="1"/>
    <xf numFmtId="0" fontId="27" fillId="0" borderId="13" xfId="0" applyFont="1" applyBorder="1" applyAlignment="1">
      <alignment horizontal="right"/>
    </xf>
    <xf numFmtId="174" fontId="27" fillId="0" borderId="77" xfId="0" applyNumberFormat="1" applyFont="1" applyBorder="1" applyAlignment="1">
      <alignment horizontal="right"/>
    </xf>
    <xf numFmtId="0" fontId="27" fillId="4" borderId="26" xfId="0" applyFont="1" applyFill="1" applyBorder="1" applyAlignment="1">
      <alignment horizontal="center"/>
    </xf>
    <xf numFmtId="42" fontId="27" fillId="0" borderId="3" xfId="0" applyNumberFormat="1" applyFont="1" applyBorder="1" applyAlignment="1"/>
    <xf numFmtId="0" fontId="27" fillId="0" borderId="3" xfId="0" applyFont="1" applyBorder="1"/>
    <xf numFmtId="42" fontId="27" fillId="0" borderId="116" xfId="0" applyNumberFormat="1" applyFont="1" applyBorder="1" applyAlignment="1"/>
    <xf numFmtId="9" fontId="27" fillId="0" borderId="3" xfId="0" applyNumberFormat="1" applyFont="1" applyBorder="1" applyAlignment="1"/>
    <xf numFmtId="0" fontId="27" fillId="0" borderId="3" xfId="0" applyFont="1" applyBorder="1" applyAlignment="1"/>
    <xf numFmtId="174" fontId="27" fillId="0" borderId="28" xfId="0" applyNumberFormat="1" applyFont="1" applyBorder="1" applyAlignment="1"/>
    <xf numFmtId="42" fontId="27" fillId="0" borderId="73" xfId="0" applyNumberFormat="1" applyFont="1" applyBorder="1" applyAlignment="1">
      <alignment horizontal="center"/>
    </xf>
    <xf numFmtId="174" fontId="27" fillId="0" borderId="117" xfId="0" applyNumberFormat="1" applyFont="1" applyBorder="1" applyAlignment="1"/>
    <xf numFmtId="164" fontId="27" fillId="0" borderId="0" xfId="1" applyNumberFormat="1" applyFont="1"/>
    <xf numFmtId="174" fontId="27" fillId="0" borderId="77" xfId="1" applyNumberFormat="1" applyFont="1" applyBorder="1"/>
    <xf numFmtId="165" fontId="28" fillId="0" borderId="0" xfId="1" applyNumberFormat="1" applyFont="1"/>
    <xf numFmtId="17" fontId="28" fillId="0" borderId="77" xfId="0" applyNumberFormat="1" applyFont="1" applyBorder="1"/>
    <xf numFmtId="0" fontId="28" fillId="0" borderId="77" xfId="0" applyFont="1" applyBorder="1"/>
    <xf numFmtId="165" fontId="29" fillId="0" borderId="0" xfId="1" applyNumberFormat="1" applyFont="1"/>
    <xf numFmtId="17" fontId="29" fillId="0" borderId="77" xfId="0" applyNumberFormat="1" applyFont="1" applyBorder="1"/>
    <xf numFmtId="3" fontId="30" fillId="0" borderId="0" xfId="1" applyNumberFormat="1" applyFont="1"/>
    <xf numFmtId="17" fontId="30" fillId="0" borderId="77" xfId="0" applyNumberFormat="1" applyFont="1" applyBorder="1"/>
    <xf numFmtId="3" fontId="31" fillId="0" borderId="0" xfId="1" applyNumberFormat="1" applyFont="1"/>
    <xf numFmtId="17" fontId="31" fillId="0" borderId="77" xfId="0" applyNumberFormat="1" applyFont="1" applyBorder="1"/>
    <xf numFmtId="3" fontId="32" fillId="0" borderId="0" xfId="1" applyNumberFormat="1" applyFont="1"/>
    <xf numFmtId="17" fontId="32" fillId="0" borderId="77" xfId="0" applyNumberFormat="1" applyFont="1" applyBorder="1"/>
    <xf numFmtId="0" fontId="27" fillId="0" borderId="29" xfId="0" applyFont="1" applyBorder="1"/>
    <xf numFmtId="9" fontId="27" fillId="0" borderId="30" xfId="0" applyNumberFormat="1" applyFont="1" applyBorder="1" applyAlignment="1"/>
    <xf numFmtId="3" fontId="33" fillId="0" borderId="0" xfId="1" applyNumberFormat="1" applyFont="1" applyBorder="1"/>
    <xf numFmtId="17" fontId="33" fillId="0" borderId="77" xfId="0" applyNumberFormat="1" applyFont="1" applyBorder="1"/>
    <xf numFmtId="0" fontId="33" fillId="0" borderId="77" xfId="0" applyFont="1" applyBorder="1"/>
    <xf numFmtId="42" fontId="27" fillId="0" borderId="29" xfId="0" applyNumberFormat="1" applyFont="1" applyBorder="1" applyAlignment="1"/>
    <xf numFmtId="42" fontId="27" fillId="0" borderId="79" xfId="0" applyNumberFormat="1" applyFont="1" applyBorder="1" applyAlignment="1">
      <alignment horizontal="center"/>
    </xf>
    <xf numFmtId="3" fontId="34" fillId="0" borderId="0" xfId="1" applyNumberFormat="1" applyFont="1" applyBorder="1"/>
    <xf numFmtId="17" fontId="34" fillId="0" borderId="77" xfId="0" applyNumberFormat="1" applyFont="1" applyBorder="1"/>
    <xf numFmtId="0" fontId="34" fillId="0" borderId="77" xfId="0" applyFont="1" applyBorder="1"/>
    <xf numFmtId="3" fontId="31" fillId="0" borderId="0" xfId="1" applyNumberFormat="1" applyFont="1" applyBorder="1"/>
    <xf numFmtId="3" fontId="35" fillId="0" borderId="0" xfId="1" applyNumberFormat="1" applyFont="1" applyBorder="1"/>
    <xf numFmtId="17" fontId="35" fillId="0" borderId="77" xfId="0" applyNumberFormat="1" applyFont="1" applyBorder="1"/>
    <xf numFmtId="3" fontId="27" fillId="0" borderId="0" xfId="1" applyNumberFormat="1" applyFont="1" applyBorder="1"/>
    <xf numFmtId="17" fontId="27" fillId="0" borderId="77" xfId="0" applyNumberFormat="1" applyFont="1" applyBorder="1"/>
    <xf numFmtId="3" fontId="36" fillId="0" borderId="0" xfId="1" applyNumberFormat="1" applyFont="1" applyBorder="1"/>
    <xf numFmtId="17" fontId="36" fillId="0" borderId="77" xfId="0" applyNumberFormat="1" applyFont="1" applyBorder="1"/>
    <xf numFmtId="42" fontId="27" fillId="0" borderId="28" xfId="67" applyNumberFormat="1" applyFont="1" applyBorder="1" applyAlignment="1"/>
    <xf numFmtId="0" fontId="27" fillId="0" borderId="29" xfId="67" applyFont="1" applyBorder="1"/>
    <xf numFmtId="42" fontId="27" fillId="0" borderId="3" xfId="67" applyNumberFormat="1" applyFont="1" applyBorder="1" applyAlignment="1"/>
    <xf numFmtId="0" fontId="27" fillId="0" borderId="3" xfId="67" applyFont="1" applyBorder="1"/>
    <xf numFmtId="42" fontId="27" fillId="0" borderId="116" xfId="67" applyNumberFormat="1" applyFont="1" applyBorder="1" applyAlignment="1"/>
    <xf numFmtId="9" fontId="27" fillId="0" borderId="3" xfId="67" applyNumberFormat="1" applyFont="1" applyBorder="1" applyAlignment="1"/>
    <xf numFmtId="9" fontId="27" fillId="0" borderId="30" xfId="67" applyNumberFormat="1" applyFont="1" applyBorder="1" applyAlignment="1"/>
    <xf numFmtId="174" fontId="27" fillId="0" borderId="28" xfId="67" applyNumberFormat="1" applyFont="1" applyBorder="1" applyAlignment="1"/>
    <xf numFmtId="42" fontId="27" fillId="0" borderId="29" xfId="67" applyNumberFormat="1" applyFont="1" applyBorder="1" applyAlignment="1"/>
    <xf numFmtId="42" fontId="27" fillId="0" borderId="79" xfId="67" applyNumberFormat="1" applyFont="1" applyBorder="1" applyAlignment="1">
      <alignment horizontal="center"/>
    </xf>
    <xf numFmtId="0" fontId="36" fillId="0" borderId="77" xfId="0" applyFont="1" applyBorder="1"/>
    <xf numFmtId="3" fontId="37" fillId="0" borderId="0" xfId="1" applyNumberFormat="1" applyFont="1"/>
    <xf numFmtId="17" fontId="37" fillId="0" borderId="77" xfId="0" applyNumberFormat="1" applyFont="1" applyBorder="1"/>
    <xf numFmtId="0" fontId="37" fillId="0" borderId="77" xfId="0" applyFont="1" applyBorder="1"/>
    <xf numFmtId="3" fontId="27" fillId="0" borderId="0" xfId="1" applyNumberFormat="1" applyFont="1"/>
    <xf numFmtId="3" fontId="38" fillId="0" borderId="0" xfId="1" applyNumberFormat="1" applyFont="1" applyBorder="1"/>
    <xf numFmtId="17" fontId="38" fillId="0" borderId="77" xfId="0" applyNumberFormat="1" applyFont="1" applyBorder="1"/>
    <xf numFmtId="42" fontId="27" fillId="0" borderId="108" xfId="0" applyNumberFormat="1" applyFont="1" applyBorder="1" applyAlignment="1"/>
    <xf numFmtId="0" fontId="27" fillId="0" borderId="69" xfId="0" applyFont="1" applyBorder="1"/>
    <xf numFmtId="0" fontId="27" fillId="0" borderId="108" xfId="0" applyFont="1" applyBorder="1"/>
    <xf numFmtId="42" fontId="27" fillId="0" borderId="118" xfId="0" applyNumberFormat="1" applyFont="1" applyBorder="1" applyAlignment="1"/>
    <xf numFmtId="9" fontId="27" fillId="0" borderId="108" xfId="0" applyNumberFormat="1" applyFont="1" applyBorder="1" applyAlignment="1"/>
    <xf numFmtId="9" fontId="27" fillId="0" borderId="7" xfId="0" applyNumberFormat="1" applyFont="1" applyBorder="1" applyAlignment="1"/>
    <xf numFmtId="174" fontId="27" fillId="0" borderId="67" xfId="0" applyNumberFormat="1" applyFont="1" applyBorder="1" applyAlignment="1"/>
    <xf numFmtId="42" fontId="27" fillId="0" borderId="69" xfId="0" applyNumberFormat="1" applyFont="1" applyBorder="1" applyAlignment="1"/>
    <xf numFmtId="42" fontId="27" fillId="0" borderId="35" xfId="0" applyNumberFormat="1" applyFont="1" applyBorder="1" applyAlignment="1">
      <alignment horizontal="center"/>
    </xf>
    <xf numFmtId="0" fontId="27" fillId="0" borderId="11" xfId="0" applyFont="1" applyBorder="1"/>
    <xf numFmtId="174" fontId="27" fillId="0" borderId="36" xfId="0" applyNumberFormat="1" applyFont="1" applyBorder="1"/>
    <xf numFmtId="41" fontId="27" fillId="0" borderId="0" xfId="0" applyNumberFormat="1" applyFont="1"/>
    <xf numFmtId="164" fontId="27" fillId="0" borderId="0" xfId="1" applyNumberFormat="1" applyFont="1" applyAlignment="1">
      <alignment horizontal="center"/>
    </xf>
    <xf numFmtId="0" fontId="27" fillId="0" borderId="0" xfId="0" applyFont="1" applyAlignment="1">
      <alignment horizontal="center"/>
    </xf>
    <xf numFmtId="174" fontId="30" fillId="0" borderId="0" xfId="0" applyNumberFormat="1" applyFont="1"/>
    <xf numFmtId="0" fontId="39" fillId="0" borderId="0" xfId="0" applyFont="1"/>
    <xf numFmtId="0" fontId="2" fillId="0" borderId="0" xfId="0" applyFont="1"/>
    <xf numFmtId="174" fontId="2" fillId="0" borderId="0" xfId="0" applyNumberFormat="1" applyFont="1"/>
    <xf numFmtId="0" fontId="27" fillId="0" borderId="0" xfId="0" applyFont="1" applyFill="1"/>
    <xf numFmtId="0" fontId="27" fillId="0" borderId="26" xfId="0" applyFont="1" applyFill="1" applyBorder="1" applyAlignment="1">
      <alignment horizontal="center"/>
    </xf>
    <xf numFmtId="171" fontId="27" fillId="0" borderId="27" xfId="0" applyNumberFormat="1" applyFont="1" applyFill="1" applyBorder="1" applyAlignment="1">
      <alignment horizontal="right"/>
    </xf>
    <xf numFmtId="42" fontId="27" fillId="0" borderId="21" xfId="0" applyNumberFormat="1" applyFont="1" applyFill="1" applyBorder="1" applyAlignment="1">
      <alignment horizontal="right"/>
    </xf>
    <xf numFmtId="0" fontId="27" fillId="0" borderId="25" xfId="0" applyFont="1" applyFill="1" applyBorder="1" applyAlignment="1">
      <alignment horizontal="center"/>
    </xf>
    <xf numFmtId="42" fontId="27" fillId="0" borderId="24" xfId="0" applyNumberFormat="1" applyFont="1" applyFill="1" applyBorder="1" applyAlignment="1">
      <alignment horizontal="right"/>
    </xf>
    <xf numFmtId="171" fontId="27" fillId="0" borderId="28" xfId="1" applyNumberFormat="1" applyFont="1" applyFill="1" applyBorder="1" applyAlignment="1">
      <alignment horizontal="right"/>
    </xf>
    <xf numFmtId="42" fontId="27" fillId="0" borderId="23" xfId="1" applyNumberFormat="1" applyFont="1" applyFill="1" applyBorder="1" applyAlignment="1">
      <alignment horizontal="right"/>
    </xf>
    <xf numFmtId="171" fontId="27" fillId="0" borderId="29" xfId="1" applyNumberFormat="1" applyFont="1" applyFill="1" applyBorder="1" applyAlignment="1">
      <alignment horizontal="right"/>
    </xf>
    <xf numFmtId="0" fontId="27" fillId="0" borderId="42" xfId="0" applyFont="1" applyFill="1" applyBorder="1" applyAlignment="1">
      <alignment horizontal="center"/>
    </xf>
    <xf numFmtId="171" fontId="27" fillId="0" borderId="43" xfId="1" applyNumberFormat="1" applyFont="1" applyFill="1" applyBorder="1" applyAlignment="1">
      <alignment horizontal="right"/>
    </xf>
    <xf numFmtId="42" fontId="27" fillId="0" borderId="44" xfId="1" applyNumberFormat="1" applyFont="1" applyFill="1" applyBorder="1" applyAlignment="1">
      <alignment horizontal="right"/>
    </xf>
    <xf numFmtId="171" fontId="27" fillId="0" borderId="45" xfId="1" applyNumberFormat="1" applyFont="1" applyFill="1" applyBorder="1" applyAlignment="1">
      <alignment horizontal="right"/>
    </xf>
    <xf numFmtId="42" fontId="27" fillId="0" borderId="46" xfId="0" applyNumberFormat="1" applyFont="1" applyFill="1" applyBorder="1" applyAlignment="1">
      <alignment horizontal="right"/>
    </xf>
    <xf numFmtId="42" fontId="27" fillId="0" borderId="24" xfId="50" applyNumberFormat="1" applyFont="1" applyFill="1" applyBorder="1" applyAlignment="1">
      <alignment horizontal="right"/>
    </xf>
    <xf numFmtId="0" fontId="27" fillId="0" borderId="78" xfId="0" applyFont="1" applyFill="1" applyBorder="1" applyAlignment="1">
      <alignment horizontal="center"/>
    </xf>
    <xf numFmtId="171" fontId="27" fillId="0" borderId="67" xfId="1" applyNumberFormat="1" applyFont="1" applyFill="1" applyBorder="1" applyAlignment="1">
      <alignment horizontal="right"/>
    </xf>
    <xf numFmtId="42" fontId="27" fillId="0" borderId="68" xfId="1" applyNumberFormat="1" applyFont="1" applyFill="1" applyBorder="1" applyAlignment="1">
      <alignment horizontal="right"/>
    </xf>
    <xf numFmtId="171" fontId="27" fillId="0" borderId="69" xfId="1" applyNumberFormat="1" applyFont="1" applyFill="1" applyBorder="1" applyAlignment="1">
      <alignment horizontal="right"/>
    </xf>
    <xf numFmtId="42" fontId="27" fillId="0" borderId="70" xfId="0" applyNumberFormat="1" applyFont="1" applyFill="1" applyBorder="1" applyAlignment="1">
      <alignment horizontal="right"/>
    </xf>
    <xf numFmtId="171" fontId="27" fillId="0" borderId="0" xfId="0" applyNumberFormat="1" applyFont="1" applyFill="1"/>
    <xf numFmtId="3" fontId="27" fillId="0" borderId="0" xfId="0" applyNumberFormat="1" applyFont="1" applyFill="1"/>
    <xf numFmtId="171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27" fillId="0" borderId="0" xfId="1" applyNumberFormat="1" applyFont="1" applyFill="1"/>
    <xf numFmtId="0" fontId="2" fillId="0" borderId="0" xfId="0" applyFont="1" applyFill="1"/>
    <xf numFmtId="0" fontId="27" fillId="0" borderId="3" xfId="0" applyFont="1" applyBorder="1" applyAlignment="1">
      <alignment horizontal="center"/>
    </xf>
    <xf numFmtId="0" fontId="27" fillId="0" borderId="0" xfId="0" applyFont="1" applyAlignment="1"/>
    <xf numFmtId="0" fontId="27" fillId="0" borderId="18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8" borderId="4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69" fontId="27" fillId="0" borderId="2" xfId="0" applyNumberFormat="1" applyFont="1" applyBorder="1" applyAlignment="1"/>
    <xf numFmtId="169" fontId="27" fillId="0" borderId="3" xfId="0" applyNumberFormat="1" applyFont="1" applyBorder="1" applyAlignment="1">
      <alignment horizontal="center"/>
    </xf>
    <xf numFmtId="177" fontId="27" fillId="0" borderId="3" xfId="0" applyNumberFormat="1" applyFont="1" applyBorder="1" applyAlignment="1"/>
    <xf numFmtId="177" fontId="27" fillId="0" borderId="40" xfId="0" applyNumberFormat="1" applyFont="1" applyBorder="1" applyAlignment="1"/>
    <xf numFmtId="177" fontId="27" fillId="0" borderId="3" xfId="33" applyNumberFormat="1" applyFont="1" applyBorder="1" applyAlignment="1"/>
    <xf numFmtId="177" fontId="27" fillId="11" borderId="79" xfId="0" applyNumberFormat="1" applyFont="1" applyFill="1" applyBorder="1" applyAlignment="1"/>
    <xf numFmtId="169" fontId="27" fillId="0" borderId="0" xfId="0" applyNumberFormat="1" applyFont="1" applyAlignment="1"/>
    <xf numFmtId="0" fontId="27" fillId="0" borderId="2" xfId="0" applyFont="1" applyBorder="1" applyAlignment="1"/>
    <xf numFmtId="6" fontId="27" fillId="0" borderId="3" xfId="0" applyNumberFormat="1" applyFont="1" applyBorder="1" applyAlignment="1">
      <alignment horizontal="center"/>
    </xf>
    <xf numFmtId="42" fontId="27" fillId="0" borderId="3" xfId="0" applyNumberFormat="1" applyFont="1" applyBorder="1" applyAlignment="1">
      <alignment horizontal="center"/>
    </xf>
    <xf numFmtId="42" fontId="27" fillId="0" borderId="40" xfId="0" applyNumberFormat="1" applyFont="1" applyBorder="1" applyAlignment="1"/>
    <xf numFmtId="42" fontId="27" fillId="0" borderId="40" xfId="2" applyNumberFormat="1" applyFont="1" applyBorder="1" applyAlignment="1"/>
    <xf numFmtId="42" fontId="27" fillId="0" borderId="3" xfId="2" applyNumberFormat="1" applyFont="1" applyBorder="1" applyAlignment="1"/>
    <xf numFmtId="42" fontId="27" fillId="11" borderId="73" xfId="2" applyNumberFormat="1" applyFont="1" applyFill="1" applyBorder="1" applyAlignment="1"/>
    <xf numFmtId="174" fontId="27" fillId="0" borderId="2" xfId="0" applyNumberFormat="1" applyFont="1" applyBorder="1" applyAlignment="1"/>
    <xf numFmtId="174" fontId="27" fillId="0" borderId="3" xfId="0" applyNumberFormat="1" applyFont="1" applyBorder="1" applyAlignment="1">
      <alignment horizontal="center"/>
    </xf>
    <xf numFmtId="174" fontId="27" fillId="0" borderId="3" xfId="0" applyNumberFormat="1" applyFont="1" applyBorder="1" applyAlignment="1">
      <alignment horizontal="right"/>
    </xf>
    <xf numFmtId="174" fontId="27" fillId="0" borderId="3" xfId="33" applyNumberFormat="1" applyFont="1" applyBorder="1" applyAlignment="1">
      <alignment horizontal="right"/>
    </xf>
    <xf numFmtId="174" fontId="27" fillId="0" borderId="40" xfId="33" applyNumberFormat="1" applyFont="1" applyBorder="1" applyAlignment="1">
      <alignment horizontal="right"/>
    </xf>
    <xf numFmtId="174" fontId="27" fillId="11" borderId="73" xfId="33" applyNumberFormat="1" applyFont="1" applyFill="1" applyBorder="1" applyAlignment="1">
      <alignment horizontal="right"/>
    </xf>
    <xf numFmtId="174" fontId="27" fillId="0" borderId="0" xfId="0" applyNumberFormat="1" applyFont="1" applyAlignment="1"/>
    <xf numFmtId="170" fontId="27" fillId="0" borderId="3" xfId="0" applyNumberFormat="1" applyFont="1" applyBorder="1" applyAlignment="1">
      <alignment horizontal="center"/>
    </xf>
    <xf numFmtId="178" fontId="27" fillId="0" borderId="3" xfId="0" applyNumberFormat="1" applyFont="1" applyBorder="1" applyAlignment="1">
      <alignment horizontal="right"/>
    </xf>
    <xf numFmtId="174" fontId="27" fillId="8" borderId="3" xfId="0" applyNumberFormat="1" applyFont="1" applyFill="1" applyBorder="1" applyAlignment="1">
      <alignment horizontal="right"/>
    </xf>
    <xf numFmtId="174" fontId="27" fillId="8" borderId="3" xfId="33" applyNumberFormat="1" applyFont="1" applyFill="1" applyBorder="1" applyAlignment="1">
      <alignment horizontal="right"/>
    </xf>
    <xf numFmtId="174" fontId="27" fillId="8" borderId="40" xfId="33" applyNumberFormat="1" applyFont="1" applyFill="1" applyBorder="1" applyAlignment="1">
      <alignment horizontal="right"/>
    </xf>
    <xf numFmtId="174" fontId="27" fillId="8" borderId="73" xfId="33" applyNumberFormat="1" applyFont="1" applyFill="1" applyBorder="1" applyAlignment="1">
      <alignment horizontal="right"/>
    </xf>
    <xf numFmtId="178" fontId="27" fillId="0" borderId="40" xfId="0" applyNumberFormat="1" applyFont="1" applyBorder="1" applyAlignment="1">
      <alignment horizontal="right"/>
    </xf>
    <xf numFmtId="178" fontId="27" fillId="8" borderId="40" xfId="0" applyNumberFormat="1" applyFont="1" applyFill="1" applyBorder="1" applyAlignment="1">
      <alignment horizontal="right"/>
    </xf>
    <xf numFmtId="178" fontId="27" fillId="8" borderId="3" xfId="33" applyNumberFormat="1" applyFont="1" applyFill="1" applyBorder="1" applyAlignment="1">
      <alignment horizontal="right"/>
    </xf>
    <xf numFmtId="178" fontId="27" fillId="8" borderId="40" xfId="33" applyNumberFormat="1" applyFont="1" applyFill="1" applyBorder="1" applyAlignment="1">
      <alignment horizontal="right"/>
    </xf>
    <xf numFmtId="178" fontId="27" fillId="8" borderId="73" xfId="33" applyNumberFormat="1" applyFont="1" applyFill="1" applyBorder="1" applyAlignment="1">
      <alignment horizontal="right"/>
    </xf>
    <xf numFmtId="178" fontId="27" fillId="8" borderId="3" xfId="0" applyNumberFormat="1" applyFont="1" applyFill="1" applyBorder="1" applyAlignment="1">
      <alignment horizontal="right"/>
    </xf>
    <xf numFmtId="178" fontId="27" fillId="0" borderId="3" xfId="33" applyNumberFormat="1" applyFont="1" applyBorder="1" applyAlignment="1">
      <alignment horizontal="right"/>
    </xf>
    <xf numFmtId="178" fontId="27" fillId="0" borderId="40" xfId="33" applyNumberFormat="1" applyFont="1" applyBorder="1" applyAlignment="1">
      <alignment horizontal="right"/>
    </xf>
    <xf numFmtId="0" fontId="27" fillId="0" borderId="6" xfId="0" applyFont="1" applyBorder="1" applyAlignment="1"/>
    <xf numFmtId="6" fontId="27" fillId="0" borderId="5" xfId="0" applyNumberFormat="1" applyFont="1" applyBorder="1" applyAlignment="1">
      <alignment horizontal="center"/>
    </xf>
    <xf numFmtId="42" fontId="27" fillId="0" borderId="5" xfId="0" applyNumberFormat="1" applyFont="1" applyBorder="1" applyAlignment="1">
      <alignment horizontal="center"/>
    </xf>
    <xf numFmtId="42" fontId="27" fillId="0" borderId="5" xfId="0" applyNumberFormat="1" applyFont="1" applyBorder="1" applyAlignment="1"/>
    <xf numFmtId="42" fontId="27" fillId="0" borderId="71" xfId="2" applyNumberFormat="1" applyFont="1" applyBorder="1" applyAlignment="1"/>
    <xf numFmtId="0" fontId="27" fillId="0" borderId="72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177" fontId="27" fillId="0" borderId="40" xfId="33" applyNumberFormat="1" applyFont="1" applyBorder="1" applyAlignment="1"/>
    <xf numFmtId="177" fontId="27" fillId="11" borderId="73" xfId="33" applyNumberFormat="1" applyFont="1" applyFill="1" applyBorder="1" applyAlignment="1"/>
    <xf numFmtId="168" fontId="27" fillId="0" borderId="2" xfId="0" applyNumberFormat="1" applyFont="1" applyBorder="1" applyAlignment="1"/>
    <xf numFmtId="168" fontId="27" fillId="0" borderId="3" xfId="0" applyNumberFormat="1" applyFont="1" applyBorder="1" applyAlignment="1">
      <alignment horizontal="center"/>
    </xf>
    <xf numFmtId="168" fontId="27" fillId="0" borderId="0" xfId="0" applyNumberFormat="1" applyFont="1" applyAlignment="1"/>
    <xf numFmtId="3" fontId="27" fillId="0" borderId="6" xfId="0" applyNumberFormat="1" applyFont="1" applyBorder="1" applyAlignment="1"/>
    <xf numFmtId="3" fontId="27" fillId="0" borderId="0" xfId="0" applyNumberFormat="1" applyFont="1" applyAlignment="1"/>
    <xf numFmtId="3" fontId="27" fillId="0" borderId="2" xfId="0" applyNumberFormat="1" applyFont="1" applyBorder="1" applyAlignment="1"/>
    <xf numFmtId="42" fontId="27" fillId="0" borderId="51" xfId="0" applyNumberFormat="1" applyFont="1" applyBorder="1" applyAlignment="1"/>
    <xf numFmtId="42" fontId="27" fillId="0" borderId="40" xfId="0" applyNumberFormat="1" applyFont="1" applyBorder="1" applyAlignment="1">
      <alignment horizontal="center"/>
    </xf>
    <xf numFmtId="42" fontId="27" fillId="0" borderId="40" xfId="2" applyNumberFormat="1" applyFont="1" applyBorder="1" applyAlignment="1">
      <alignment horizontal="center"/>
    </xf>
    <xf numFmtId="42" fontId="27" fillId="0" borderId="3" xfId="2" applyNumberFormat="1" applyFont="1" applyBorder="1" applyAlignment="1">
      <alignment horizontal="center"/>
    </xf>
    <xf numFmtId="42" fontId="27" fillId="11" borderId="73" xfId="2" applyNumberFormat="1" applyFont="1" applyFill="1" applyBorder="1" applyAlignment="1">
      <alignment horizontal="center"/>
    </xf>
    <xf numFmtId="6" fontId="27" fillId="0" borderId="53" xfId="0" applyNumberFormat="1" applyFont="1" applyBorder="1" applyAlignment="1">
      <alignment horizontal="center"/>
    </xf>
    <xf numFmtId="42" fontId="27" fillId="0" borderId="53" xfId="0" applyNumberFormat="1" applyFont="1" applyBorder="1" applyAlignment="1">
      <alignment horizontal="center"/>
    </xf>
    <xf numFmtId="174" fontId="27" fillId="0" borderId="53" xfId="0" applyNumberFormat="1" applyFont="1" applyBorder="1" applyAlignment="1">
      <alignment horizontal="right"/>
    </xf>
    <xf numFmtId="174" fontId="27" fillId="0" borderId="53" xfId="33" applyNumberFormat="1" applyFont="1" applyBorder="1" applyAlignment="1">
      <alignment horizontal="right"/>
    </xf>
    <xf numFmtId="174" fontId="27" fillId="0" borderId="51" xfId="33" applyNumberFormat="1" applyFont="1" applyBorder="1" applyAlignment="1">
      <alignment horizontal="right"/>
    </xf>
    <xf numFmtId="174" fontId="27" fillId="11" borderId="84" xfId="33" applyNumberFormat="1" applyFont="1" applyFill="1" applyBorder="1" applyAlignment="1">
      <alignment horizontal="right"/>
    </xf>
    <xf numFmtId="0" fontId="27" fillId="0" borderId="49" xfId="0" applyFont="1" applyBorder="1" applyAlignment="1">
      <alignment horizontal="center"/>
    </xf>
    <xf numFmtId="174" fontId="27" fillId="0" borderId="53" xfId="0" applyNumberFormat="1" applyFont="1" applyBorder="1" applyAlignment="1">
      <alignment horizontal="center"/>
    </xf>
    <xf numFmtId="174" fontId="27" fillId="0" borderId="4" xfId="0" applyNumberFormat="1" applyFont="1" applyBorder="1"/>
    <xf numFmtId="174" fontId="27" fillId="0" borderId="73" xfId="0" applyNumberFormat="1" applyFont="1" applyBorder="1" applyAlignment="1">
      <alignment horizontal="right"/>
    </xf>
    <xf numFmtId="174" fontId="27" fillId="11" borderId="73" xfId="0" applyNumberFormat="1" applyFont="1" applyFill="1" applyBorder="1" applyAlignment="1">
      <alignment horizontal="right"/>
    </xf>
    <xf numFmtId="0" fontId="27" fillId="0" borderId="7" xfId="0" applyFont="1" applyBorder="1"/>
    <xf numFmtId="0" fontId="27" fillId="0" borderId="22" xfId="0" applyFont="1" applyBorder="1" applyAlignment="1">
      <alignment horizontal="center"/>
    </xf>
    <xf numFmtId="42" fontId="27" fillId="0" borderId="22" xfId="0" applyNumberFormat="1" applyFont="1" applyBorder="1" applyAlignment="1">
      <alignment horizontal="center"/>
    </xf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11" borderId="79" xfId="0" applyFont="1" applyFill="1" applyBorder="1" applyAlignment="1">
      <alignment horizontal="center"/>
    </xf>
    <xf numFmtId="0" fontId="5" fillId="0" borderId="0" xfId="0" applyFont="1" applyAlignment="1"/>
    <xf numFmtId="43" fontId="27" fillId="0" borderId="55" xfId="0" applyNumberFormat="1" applyFont="1" applyBorder="1" applyAlignment="1">
      <alignment horizontal="center"/>
    </xf>
    <xf numFmtId="43" fontId="27" fillId="0" borderId="21" xfId="0" applyNumberFormat="1" applyFont="1" applyBorder="1" applyAlignment="1">
      <alignment horizontal="center"/>
    </xf>
    <xf numFmtId="43" fontId="27" fillId="4" borderId="4" xfId="0" applyNumberFormat="1" applyFont="1" applyFill="1" applyBorder="1" applyAlignment="1">
      <alignment horizontal="center"/>
    </xf>
    <xf numFmtId="43" fontId="27" fillId="4" borderId="55" xfId="0" applyNumberFormat="1" applyFont="1" applyFill="1" applyBorder="1" applyAlignment="1">
      <alignment horizontal="center"/>
    </xf>
    <xf numFmtId="43" fontId="27" fillId="4" borderId="105" xfId="0" applyNumberFormat="1" applyFont="1" applyFill="1" applyBorder="1" applyAlignment="1">
      <alignment horizontal="center"/>
    </xf>
    <xf numFmtId="43" fontId="27" fillId="4" borderId="21" xfId="0" applyNumberFormat="1" applyFont="1" applyFill="1" applyBorder="1" applyAlignment="1">
      <alignment horizontal="center"/>
    </xf>
    <xf numFmtId="43" fontId="27" fillId="4" borderId="106" xfId="0" applyNumberFormat="1" applyFont="1" applyFill="1" applyBorder="1" applyAlignment="1">
      <alignment horizontal="center"/>
    </xf>
    <xf numFmtId="41" fontId="27" fillId="0" borderId="4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1" fontId="27" fillId="0" borderId="24" xfId="0" applyNumberFormat="1" applyFont="1" applyBorder="1" applyAlignment="1">
      <alignment horizontal="center"/>
    </xf>
    <xf numFmtId="43" fontId="27" fillId="0" borderId="30" xfId="0" applyNumberFormat="1" applyFont="1" applyBorder="1" applyAlignment="1">
      <alignment horizontal="center"/>
    </xf>
    <xf numFmtId="43" fontId="27" fillId="0" borderId="3" xfId="0" applyNumberFormat="1" applyFont="1" applyBorder="1" applyAlignment="1">
      <alignment horizontal="center"/>
    </xf>
    <xf numFmtId="43" fontId="27" fillId="0" borderId="24" xfId="0" applyNumberFormat="1" applyFont="1" applyBorder="1" applyAlignment="1">
      <alignment horizontal="center"/>
    </xf>
    <xf numFmtId="41" fontId="27" fillId="0" borderId="30" xfId="0" applyNumberFormat="1" applyFont="1" applyBorder="1" applyAlignment="1">
      <alignment horizontal="center"/>
    </xf>
    <xf numFmtId="43" fontId="27" fillId="0" borderId="79" xfId="0" applyNumberFormat="1" applyFont="1" applyBorder="1" applyAlignment="1">
      <alignment horizontal="center"/>
    </xf>
    <xf numFmtId="43" fontId="27" fillId="0" borderId="0" xfId="0" applyNumberFormat="1" applyFont="1" applyBorder="1" applyAlignment="1">
      <alignment horizontal="center"/>
    </xf>
    <xf numFmtId="43" fontId="27" fillId="0" borderId="38" xfId="0" applyNumberFormat="1" applyFont="1" applyBorder="1" applyAlignment="1">
      <alignment horizontal="center"/>
    </xf>
    <xf numFmtId="43" fontId="27" fillId="0" borderId="77" xfId="0" applyNumberFormat="1" applyFont="1" applyBorder="1" applyAlignment="1">
      <alignment horizontal="center"/>
    </xf>
    <xf numFmtId="41" fontId="27" fillId="0" borderId="0" xfId="0" applyNumberFormat="1" applyFont="1" applyBorder="1" applyAlignment="1">
      <alignment horizontal="center"/>
    </xf>
    <xf numFmtId="41" fontId="27" fillId="4" borderId="106" xfId="0" applyNumberFormat="1" applyFont="1" applyFill="1" applyBorder="1" applyAlignment="1">
      <alignment horizontal="center"/>
    </xf>
    <xf numFmtId="41" fontId="27" fillId="0" borderId="29" xfId="0" applyNumberFormat="1" applyFont="1" applyBorder="1" applyAlignment="1">
      <alignment horizontal="center"/>
    </xf>
    <xf numFmtId="43" fontId="27" fillId="0" borderId="23" xfId="0" applyNumberFormat="1" applyFont="1" applyBorder="1" applyAlignment="1">
      <alignment horizontal="center"/>
    </xf>
    <xf numFmtId="41" fontId="27" fillId="4" borderId="13" xfId="0" applyNumberFormat="1" applyFont="1" applyFill="1" applyBorder="1" applyAlignment="1">
      <alignment horizontal="center"/>
    </xf>
    <xf numFmtId="43" fontId="27" fillId="4" borderId="38" xfId="0" applyNumberFormat="1" applyFont="1" applyFill="1" applyBorder="1" applyAlignment="1">
      <alignment horizontal="center"/>
    </xf>
    <xf numFmtId="43" fontId="27" fillId="4" borderId="101" xfId="0" applyNumberFormat="1" applyFont="1" applyFill="1" applyBorder="1" applyAlignment="1">
      <alignment horizontal="center"/>
    </xf>
    <xf numFmtId="41" fontId="27" fillId="4" borderId="107" xfId="0" applyNumberFormat="1" applyFont="1" applyFill="1" applyBorder="1" applyAlignment="1">
      <alignment horizontal="center"/>
    </xf>
    <xf numFmtId="43" fontId="27" fillId="4" borderId="3" xfId="0" applyNumberFormat="1" applyFont="1" applyFill="1" applyBorder="1" applyAlignment="1">
      <alignment horizontal="center"/>
    </xf>
    <xf numFmtId="43" fontId="27" fillId="4" borderId="79" xfId="0" applyNumberFormat="1" applyFont="1" applyFill="1" applyBorder="1" applyAlignment="1">
      <alignment horizontal="center"/>
    </xf>
    <xf numFmtId="0" fontId="27" fillId="0" borderId="78" xfId="0" applyFont="1" applyBorder="1" applyAlignment="1">
      <alignment horizontal="center"/>
    </xf>
    <xf numFmtId="41" fontId="27" fillId="0" borderId="70" xfId="0" applyNumberFormat="1" applyFont="1" applyBorder="1" applyAlignment="1">
      <alignment horizontal="center"/>
    </xf>
    <xf numFmtId="43" fontId="27" fillId="0" borderId="7" xfId="0" applyNumberFormat="1" applyFont="1" applyBorder="1" applyAlignment="1">
      <alignment horizontal="center"/>
    </xf>
    <xf numFmtId="43" fontId="27" fillId="0" borderId="108" xfId="0" applyNumberFormat="1" applyFont="1" applyBorder="1" applyAlignment="1">
      <alignment horizontal="center"/>
    </xf>
    <xf numFmtId="43" fontId="27" fillId="0" borderId="70" xfId="0" applyNumberFormat="1" applyFont="1" applyBorder="1" applyAlignment="1">
      <alignment horizontal="center"/>
    </xf>
    <xf numFmtId="41" fontId="27" fillId="0" borderId="7" xfId="0" applyNumberFormat="1" applyFont="1" applyBorder="1" applyAlignment="1">
      <alignment horizontal="center"/>
    </xf>
    <xf numFmtId="43" fontId="27" fillId="0" borderId="35" xfId="0" applyNumberFormat="1" applyFont="1" applyBorder="1" applyAlignment="1">
      <alignment horizontal="center"/>
    </xf>
    <xf numFmtId="43" fontId="27" fillId="4" borderId="109" xfId="0" applyNumberFormat="1" applyFont="1" applyFill="1" applyBorder="1" applyAlignment="1">
      <alignment horizontal="center"/>
    </xf>
    <xf numFmtId="43" fontId="27" fillId="4" borderId="22" xfId="0" applyNumberFormat="1" applyFont="1" applyFill="1" applyBorder="1" applyAlignment="1">
      <alignment horizontal="center"/>
    </xf>
    <xf numFmtId="43" fontId="27" fillId="4" borderId="11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40" fillId="0" borderId="0" xfId="0" applyFont="1"/>
    <xf numFmtId="2" fontId="40" fillId="0" borderId="0" xfId="0" applyNumberFormat="1" applyFont="1"/>
    <xf numFmtId="43" fontId="40" fillId="0" borderId="0" xfId="1" applyFont="1"/>
    <xf numFmtId="43" fontId="27" fillId="0" borderId="0" xfId="0" applyNumberFormat="1" applyFont="1"/>
    <xf numFmtId="43" fontId="27" fillId="0" borderId="0" xfId="1" applyFont="1"/>
    <xf numFmtId="0" fontId="5" fillId="0" borderId="98" xfId="0" applyFont="1" applyBorder="1"/>
    <xf numFmtId="0" fontId="5" fillId="0" borderId="77" xfId="0" applyFont="1" applyBorder="1"/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77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101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77" xfId="0" applyFont="1" applyFill="1" applyBorder="1" applyAlignment="1">
      <alignment horizontal="centerContinuous"/>
    </xf>
    <xf numFmtId="0" fontId="5" fillId="2" borderId="101" xfId="0" applyFont="1" applyFill="1" applyBorder="1" applyAlignment="1">
      <alignment horizontal="centerContinuous"/>
    </xf>
    <xf numFmtId="0" fontId="4" fillId="0" borderId="0" xfId="0" applyFont="1" applyBorder="1"/>
    <xf numFmtId="0" fontId="4" fillId="0" borderId="38" xfId="0" applyFont="1" applyBorder="1"/>
    <xf numFmtId="0" fontId="4" fillId="0" borderId="77" xfId="0" applyFont="1" applyBorder="1"/>
    <xf numFmtId="0" fontId="4" fillId="0" borderId="13" xfId="0" applyFont="1" applyBorder="1"/>
    <xf numFmtId="0" fontId="4" fillId="0" borderId="101" xfId="0" applyFont="1" applyBorder="1"/>
    <xf numFmtId="0" fontId="4" fillId="0" borderId="1" xfId="0" applyFont="1" applyBorder="1"/>
    <xf numFmtId="0" fontId="4" fillId="0" borderId="31" xfId="0" applyFont="1" applyBorder="1"/>
    <xf numFmtId="0" fontId="4" fillId="0" borderId="36" xfId="0" applyFont="1" applyBorder="1"/>
    <xf numFmtId="0" fontId="4" fillId="0" borderId="11" xfId="0" applyFont="1" applyBorder="1"/>
    <xf numFmtId="0" fontId="4" fillId="0" borderId="100" xfId="0" applyFont="1" applyBorder="1"/>
    <xf numFmtId="0" fontId="2" fillId="3" borderId="1" xfId="0" applyFont="1" applyFill="1" applyBorder="1" applyAlignment="1">
      <alignment horizontal="centerContinuous"/>
    </xf>
    <xf numFmtId="0" fontId="2" fillId="3" borderId="100" xfId="0" applyFont="1" applyFill="1" applyBorder="1" applyAlignment="1">
      <alignment horizontal="centerContinuous"/>
    </xf>
    <xf numFmtId="42" fontId="27" fillId="0" borderId="0" xfId="0" applyNumberFormat="1" applyFont="1"/>
    <xf numFmtId="175" fontId="27" fillId="0" borderId="0" xfId="0" applyNumberFormat="1" applyFont="1"/>
    <xf numFmtId="0" fontId="27" fillId="0" borderId="8" xfId="0" applyFont="1" applyBorder="1"/>
    <xf numFmtId="171" fontId="27" fillId="0" borderId="8" xfId="0" applyNumberFormat="1" applyFont="1" applyBorder="1" applyAlignment="1">
      <alignment horizontal="center"/>
    </xf>
    <xf numFmtId="42" fontId="27" fillId="0" borderId="14" xfId="0" applyNumberFormat="1" applyFont="1" applyBorder="1" applyAlignment="1">
      <alignment horizontal="center"/>
    </xf>
    <xf numFmtId="171" fontId="27" fillId="0" borderId="15" xfId="0" applyNumberFormat="1" applyFont="1" applyBorder="1" applyAlignment="1">
      <alignment horizontal="center"/>
    </xf>
    <xf numFmtId="42" fontId="27" fillId="0" borderId="16" xfId="0" applyNumberFormat="1" applyFont="1" applyBorder="1" applyAlignment="1">
      <alignment horizontal="center"/>
    </xf>
    <xf numFmtId="175" fontId="27" fillId="0" borderId="16" xfId="0" applyNumberFormat="1" applyFont="1" applyBorder="1" applyAlignment="1">
      <alignment horizontal="right"/>
    </xf>
    <xf numFmtId="175" fontId="27" fillId="0" borderId="37" xfId="0" applyNumberFormat="1" applyFont="1" applyBorder="1" applyAlignment="1">
      <alignment horizontal="right"/>
    </xf>
    <xf numFmtId="0" fontId="27" fillId="2" borderId="17" xfId="0" applyFont="1" applyFill="1" applyBorder="1"/>
    <xf numFmtId="171" fontId="27" fillId="2" borderId="11" xfId="0" applyNumberFormat="1" applyFont="1" applyFill="1" applyBorder="1" applyAlignment="1">
      <alignment horizontal="center"/>
    </xf>
    <xf numFmtId="42" fontId="27" fillId="2" borderId="33" xfId="0" applyNumberFormat="1" applyFont="1" applyFill="1" applyBorder="1" applyAlignment="1">
      <alignment horizontal="center"/>
    </xf>
    <xf numFmtId="171" fontId="27" fillId="2" borderId="1" xfId="0" applyNumberFormat="1" applyFont="1" applyFill="1" applyBorder="1" applyAlignment="1">
      <alignment horizontal="center"/>
    </xf>
    <xf numFmtId="42" fontId="27" fillId="2" borderId="31" xfId="0" applyNumberFormat="1" applyFont="1" applyFill="1" applyBorder="1" applyAlignment="1">
      <alignment horizontal="center"/>
    </xf>
    <xf numFmtId="175" fontId="27" fillId="2" borderId="31" xfId="0" applyNumberFormat="1" applyFont="1" applyFill="1" applyBorder="1" applyAlignment="1">
      <alignment horizontal="right"/>
    </xf>
    <xf numFmtId="175" fontId="27" fillId="2" borderId="36" xfId="0" applyNumberFormat="1" applyFont="1" applyFill="1" applyBorder="1" applyAlignment="1">
      <alignment horizontal="right"/>
    </xf>
    <xf numFmtId="171" fontId="27" fillId="0" borderId="0" xfId="0" applyNumberFormat="1" applyFont="1" applyAlignment="1">
      <alignment horizontal="center"/>
    </xf>
    <xf numFmtId="42" fontId="27" fillId="0" borderId="0" xfId="0" applyNumberFormat="1" applyFont="1" applyAlignment="1">
      <alignment horizontal="center"/>
    </xf>
    <xf numFmtId="175" fontId="27" fillId="0" borderId="0" xfId="0" applyNumberFormat="1" applyFont="1" applyAlignment="1">
      <alignment horizontal="right"/>
    </xf>
    <xf numFmtId="0" fontId="27" fillId="2" borderId="11" xfId="0" applyFont="1" applyFill="1" applyBorder="1"/>
    <xf numFmtId="43" fontId="27" fillId="0" borderId="0" xfId="0" applyNumberFormat="1" applyFont="1" applyAlignment="1">
      <alignment horizontal="center"/>
    </xf>
    <xf numFmtId="175" fontId="27" fillId="0" borderId="0" xfId="0" applyNumberFormat="1" applyFont="1" applyAlignment="1">
      <alignment horizontal="center"/>
    </xf>
    <xf numFmtId="171" fontId="27" fillId="0" borderId="0" xfId="0" applyNumberFormat="1" applyFont="1"/>
    <xf numFmtId="176" fontId="6" fillId="0" borderId="0" xfId="0" applyNumberFormat="1" applyFont="1" applyFill="1" applyAlignment="1">
      <alignment horizontal="left"/>
    </xf>
    <xf numFmtId="3" fontId="6" fillId="0" borderId="0" xfId="0" applyNumberFormat="1" applyFont="1"/>
    <xf numFmtId="3" fontId="41" fillId="0" borderId="1" xfId="1" applyNumberFormat="1" applyFont="1" applyBorder="1"/>
    <xf numFmtId="17" fontId="41" fillId="0" borderId="36" xfId="0" applyNumberFormat="1" applyFont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Continuous"/>
    </xf>
    <xf numFmtId="42" fontId="5" fillId="2" borderId="32" xfId="0" applyNumberFormat="1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42" fontId="5" fillId="2" borderId="10" xfId="0" applyNumberFormat="1" applyFont="1" applyFill="1" applyBorder="1" applyAlignment="1">
      <alignment horizontal="centerContinuous"/>
    </xf>
    <xf numFmtId="175" fontId="5" fillId="2" borderId="10" xfId="0" applyNumberFormat="1" applyFont="1" applyFill="1" applyBorder="1" applyAlignment="1">
      <alignment horizontal="centerContinuous"/>
    </xf>
    <xf numFmtId="175" fontId="5" fillId="2" borderId="20" xfId="0" applyNumberFormat="1" applyFont="1" applyFill="1" applyBorder="1" applyAlignment="1">
      <alignment horizontal="centerContinuous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42" fontId="5" fillId="2" borderId="3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2" fontId="5" fillId="2" borderId="31" xfId="0" applyNumberFormat="1" applyFont="1" applyFill="1" applyBorder="1" applyAlignment="1">
      <alignment horizontal="center"/>
    </xf>
    <xf numFmtId="175" fontId="5" fillId="2" borderId="31" xfId="0" applyNumberFormat="1" applyFont="1" applyFill="1" applyBorder="1" applyAlignment="1">
      <alignment horizontal="center"/>
    </xf>
    <xf numFmtId="175" fontId="5" fillId="2" borderId="36" xfId="0" applyNumberFormat="1" applyFont="1" applyFill="1" applyBorder="1" applyAlignment="1">
      <alignment horizontal="center"/>
    </xf>
    <xf numFmtId="171" fontId="5" fillId="2" borderId="10" xfId="0" applyNumberFormat="1" applyFont="1" applyFill="1" applyBorder="1" applyAlignment="1">
      <alignment horizontal="centerContinuous"/>
    </xf>
    <xf numFmtId="171" fontId="5" fillId="2" borderId="11" xfId="0" applyNumberFormat="1" applyFont="1" applyFill="1" applyBorder="1" applyAlignment="1">
      <alignment horizontal="center"/>
    </xf>
    <xf numFmtId="171" fontId="5" fillId="2" borderId="1" xfId="0" applyNumberFormat="1" applyFont="1" applyFill="1" applyBorder="1" applyAlignment="1">
      <alignment horizontal="center"/>
    </xf>
    <xf numFmtId="175" fontId="5" fillId="2" borderId="3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101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2" borderId="0" xfId="0" quotePrefix="1" applyFont="1" applyFill="1" applyBorder="1" applyAlignment="1">
      <alignment horizontal="centerContinuous"/>
    </xf>
    <xf numFmtId="0" fontId="5" fillId="2" borderId="102" xfId="0" applyFont="1" applyFill="1" applyBorder="1" applyAlignment="1">
      <alignment horizontal="center"/>
    </xf>
    <xf numFmtId="0" fontId="5" fillId="2" borderId="119" xfId="0" applyFont="1" applyFill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2" borderId="38" xfId="0" applyFont="1" applyFill="1" applyBorder="1" applyAlignment="1">
      <alignment horizontal="centerContinuous"/>
    </xf>
    <xf numFmtId="0" fontId="5" fillId="2" borderId="56" xfId="0" applyFont="1" applyFill="1" applyBorder="1" applyAlignment="1">
      <alignment horizontal="centerContinuous"/>
    </xf>
    <xf numFmtId="0" fontId="5" fillId="2" borderId="66" xfId="0" quotePrefix="1" applyFont="1" applyFill="1" applyBorder="1" applyAlignment="1">
      <alignment horizontal="centerContinuous"/>
    </xf>
    <xf numFmtId="0" fontId="5" fillId="0" borderId="10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0" borderId="81" xfId="0" applyFont="1" applyBorder="1" applyAlignment="1"/>
    <xf numFmtId="175" fontId="4" fillId="2" borderId="80" xfId="0" applyNumberFormat="1" applyFont="1" applyFill="1" applyBorder="1" applyAlignment="1">
      <alignment horizontal="centerContinuous"/>
    </xf>
    <xf numFmtId="175" fontId="4" fillId="2" borderId="82" xfId="0" applyNumberFormat="1" applyFont="1" applyFill="1" applyBorder="1" applyAlignment="1">
      <alignment horizontal="centerContinuous"/>
    </xf>
    <xf numFmtId="42" fontId="27" fillId="0" borderId="73" xfId="2" applyNumberFormat="1" applyFont="1" applyFill="1" applyBorder="1" applyAlignment="1">
      <alignment horizontal="right"/>
    </xf>
    <xf numFmtId="0" fontId="5" fillId="0" borderId="49" xfId="33" applyFont="1" applyBorder="1" applyAlignment="1">
      <alignment horizontal="center"/>
    </xf>
    <xf numFmtId="0" fontId="5" fillId="11" borderId="99" xfId="33" applyFont="1" applyFill="1" applyBorder="1" applyAlignment="1">
      <alignment horizontal="center"/>
    </xf>
    <xf numFmtId="178" fontId="27" fillId="0" borderId="73" xfId="33" applyNumberFormat="1" applyFont="1" applyBorder="1" applyAlignment="1">
      <alignment horizontal="right"/>
    </xf>
    <xf numFmtId="0" fontId="5" fillId="0" borderId="111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5" fillId="2" borderId="11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18" xfId="0" applyFont="1" applyFill="1" applyBorder="1"/>
    <xf numFmtId="0" fontId="5" fillId="4" borderId="9" xfId="0" applyFont="1" applyFill="1" applyBorder="1" applyAlignment="1">
      <alignment horizontal="centerContinuous"/>
    </xf>
    <xf numFmtId="0" fontId="5" fillId="4" borderId="10" xfId="0" applyFont="1" applyFill="1" applyBorder="1" applyAlignment="1">
      <alignment horizontal="centerContinuous"/>
    </xf>
    <xf numFmtId="0" fontId="5" fillId="4" borderId="20" xfId="0" applyFont="1" applyFill="1" applyBorder="1" applyAlignment="1">
      <alignment horizontal="centerContinuous"/>
    </xf>
    <xf numFmtId="0" fontId="5" fillId="4" borderId="111" xfId="0" applyFont="1" applyFill="1" applyBorder="1" applyAlignment="1">
      <alignment horizontal="center"/>
    </xf>
    <xf numFmtId="174" fontId="5" fillId="4" borderId="48" xfId="0" applyNumberFormat="1" applyFont="1" applyFill="1" applyBorder="1" applyAlignment="1">
      <alignment horizontal="centerContinuous"/>
    </xf>
    <xf numFmtId="0" fontId="5" fillId="4" borderId="49" xfId="0" applyFont="1" applyFill="1" applyBorder="1" applyAlignment="1">
      <alignment horizontal="centerContinuous"/>
    </xf>
    <xf numFmtId="0" fontId="5" fillId="4" borderId="99" xfId="0" applyFont="1" applyFill="1" applyBorder="1" applyAlignment="1">
      <alignment horizontal="centerContinuous"/>
    </xf>
    <xf numFmtId="0" fontId="5" fillId="0" borderId="2" xfId="0" applyFont="1" applyFill="1" applyBorder="1"/>
    <xf numFmtId="0" fontId="5" fillId="4" borderId="11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0" fontId="5" fillId="4" borderId="36" xfId="0" applyFont="1" applyFill="1" applyBorder="1" applyAlignment="1">
      <alignment horizontal="centerContinuous"/>
    </xf>
    <xf numFmtId="0" fontId="5" fillId="4" borderId="112" xfId="0" applyFont="1" applyFill="1" applyBorder="1" applyAlignment="1">
      <alignment horizontal="center"/>
    </xf>
    <xf numFmtId="0" fontId="5" fillId="4" borderId="113" xfId="0" applyFont="1" applyFill="1" applyBorder="1" applyAlignment="1">
      <alignment horizontal="centerContinuous"/>
    </xf>
    <xf numFmtId="0" fontId="5" fillId="4" borderId="74" xfId="0" applyFont="1" applyFill="1" applyBorder="1" applyAlignment="1">
      <alignment horizontal="centerContinuous"/>
    </xf>
    <xf numFmtId="0" fontId="5" fillId="4" borderId="83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horizontal="centerContinuous"/>
    </xf>
    <xf numFmtId="0" fontId="5" fillId="4" borderId="102" xfId="0" applyFont="1" applyFill="1" applyBorder="1" applyAlignment="1">
      <alignment horizontal="centerContinuous"/>
    </xf>
    <xf numFmtId="0" fontId="5" fillId="4" borderId="38" xfId="0" applyFont="1" applyFill="1" applyBorder="1" applyAlignment="1">
      <alignment horizontal="centerContinuous"/>
    </xf>
    <xf numFmtId="0" fontId="5" fillId="4" borderId="66" xfId="0" applyFont="1" applyFill="1" applyBorder="1" applyAlignment="1">
      <alignment horizontal="centerContinuous"/>
    </xf>
    <xf numFmtId="0" fontId="5" fillId="4" borderId="119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4" borderId="115" xfId="0" applyFont="1" applyFill="1" applyBorder="1" applyAlignment="1">
      <alignment horizontal="centerContinuous"/>
    </xf>
    <xf numFmtId="0" fontId="5" fillId="4" borderId="31" xfId="0" applyFont="1" applyFill="1" applyBorder="1" applyAlignment="1">
      <alignment horizontal="centerContinuous"/>
    </xf>
    <xf numFmtId="0" fontId="5" fillId="4" borderId="33" xfId="0" applyFont="1" applyFill="1" applyBorder="1" applyAlignment="1">
      <alignment horizontal="centerContinuous"/>
    </xf>
    <xf numFmtId="0" fontId="5" fillId="4" borderId="114" xfId="0" applyFont="1" applyFill="1" applyBorder="1" applyAlignment="1">
      <alignment horizontal="center"/>
    </xf>
    <xf numFmtId="0" fontId="5" fillId="4" borderId="117" xfId="0" applyFont="1" applyFill="1" applyBorder="1" applyAlignment="1">
      <alignment horizontal="centerContinuous"/>
    </xf>
    <xf numFmtId="0" fontId="5" fillId="4" borderId="55" xfId="0" applyFont="1" applyFill="1" applyBorder="1" applyAlignment="1">
      <alignment horizontal="centerContinuous"/>
    </xf>
    <xf numFmtId="0" fontId="5" fillId="4" borderId="54" xfId="0" applyFont="1" applyFill="1" applyBorder="1" applyAlignment="1">
      <alignment horizontal="centerContinuous"/>
    </xf>
    <xf numFmtId="0" fontId="5" fillId="4" borderId="120" xfId="0" applyFont="1" applyFill="1" applyBorder="1" applyAlignment="1">
      <alignment horizontal="centerContinuous"/>
    </xf>
    <xf numFmtId="0" fontId="43" fillId="12" borderId="13" xfId="0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horizontal="center" vertical="center" wrapText="1"/>
    </xf>
    <xf numFmtId="0" fontId="43" fillId="12" borderId="1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0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3" fillId="12" borderId="77" xfId="0" applyFont="1" applyFill="1" applyBorder="1" applyAlignment="1">
      <alignment horizontal="center" vertical="center" wrapText="1"/>
    </xf>
    <xf numFmtId="0" fontId="43" fillId="12" borderId="36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13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66" xfId="0" quotePrefix="1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42" fillId="12" borderId="13" xfId="0" applyFont="1" applyFill="1" applyBorder="1" applyAlignment="1">
      <alignment horizontal="center" vertical="center" wrapText="1"/>
    </xf>
    <xf numFmtId="0" fontId="42" fillId="12" borderId="0" xfId="0" applyFont="1" applyFill="1" applyBorder="1" applyAlignment="1">
      <alignment horizontal="center" vertical="center" wrapText="1"/>
    </xf>
    <xf numFmtId="0" fontId="42" fillId="12" borderId="101" xfId="0" applyFont="1" applyFill="1" applyBorder="1" applyAlignment="1">
      <alignment horizontal="center" vertical="center" wrapText="1"/>
    </xf>
    <xf numFmtId="0" fontId="42" fillId="12" borderId="11" xfId="0" applyFont="1" applyFill="1" applyBorder="1" applyAlignment="1">
      <alignment horizontal="center" vertical="center" wrapText="1"/>
    </xf>
    <xf numFmtId="0" fontId="42" fillId="12" borderId="1" xfId="0" applyFont="1" applyFill="1" applyBorder="1" applyAlignment="1">
      <alignment horizontal="center" vertical="center" wrapText="1"/>
    </xf>
    <xf numFmtId="0" fontId="42" fillId="12" borderId="100" xfId="0" applyFont="1" applyFill="1" applyBorder="1" applyAlignment="1">
      <alignment horizontal="center" vertical="center" wrapText="1"/>
    </xf>
    <xf numFmtId="0" fontId="42" fillId="12" borderId="9" xfId="0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42" fillId="12" borderId="20" xfId="0" applyFont="1" applyFill="1" applyBorder="1" applyAlignment="1">
      <alignment horizontal="center" vertical="center" wrapText="1"/>
    </xf>
    <xf numFmtId="0" fontId="42" fillId="12" borderId="36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43" fillId="12" borderId="9" xfId="0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 horizontal="center" vertical="center" wrapText="1"/>
    </xf>
    <xf numFmtId="0" fontId="43" fillId="12" borderId="121" xfId="0" applyFont="1" applyFill="1" applyBorder="1" applyAlignment="1">
      <alignment horizontal="center" vertical="center" wrapText="1"/>
    </xf>
  </cellXfs>
  <cellStyles count="84">
    <cellStyle name="Comma" xfId="1" builtinId="3"/>
    <cellStyle name="Currency" xfId="2" builtinId="4"/>
    <cellStyle name="Normal" xfId="0" builtinId="0"/>
    <cellStyle name="Normal 10 10" xfId="3"/>
    <cellStyle name="Normal 10 2" xfId="4"/>
    <cellStyle name="Normal 10 3" xfId="5"/>
    <cellStyle name="Normal 10 4" xfId="6"/>
    <cellStyle name="Normal 10 5" xfId="7"/>
    <cellStyle name="Normal 10 6" xfId="8"/>
    <cellStyle name="Normal 10 7" xfId="9"/>
    <cellStyle name="Normal 10 8" xfId="10"/>
    <cellStyle name="Normal 10 9" xfId="11"/>
    <cellStyle name="Normal 11 10" xfId="12"/>
    <cellStyle name="Normal 11 2" xfId="13"/>
    <cellStyle name="Normal 11 3" xfId="14"/>
    <cellStyle name="Normal 11 4" xfId="15"/>
    <cellStyle name="Normal 11 5" xfId="16"/>
    <cellStyle name="Normal 11 6" xfId="17"/>
    <cellStyle name="Normal 11 7" xfId="18"/>
    <cellStyle name="Normal 11 8" xfId="19"/>
    <cellStyle name="Normal 11 9" xfId="20"/>
    <cellStyle name="Normal 12 10" xfId="21"/>
    <cellStyle name="Normal 12 2" xfId="22"/>
    <cellStyle name="Normal 12 3" xfId="23"/>
    <cellStyle name="Normal 12 4" xfId="24"/>
    <cellStyle name="Normal 12 5" xfId="25"/>
    <cellStyle name="Normal 12 6" xfId="26"/>
    <cellStyle name="Normal 12 7" xfId="27"/>
    <cellStyle name="Normal 12 8" xfId="28"/>
    <cellStyle name="Normal 12 9" xfId="29"/>
    <cellStyle name="Normal 13 2" xfId="30"/>
    <cellStyle name="Normal 14 2" xfId="31"/>
    <cellStyle name="Normal 15 2" xfId="32"/>
    <cellStyle name="Normal 2" xfId="33"/>
    <cellStyle name="Normal 2 10" xfId="34"/>
    <cellStyle name="Normal 2 11" xfId="35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4" xfId="50"/>
    <cellStyle name="Normal 4 10" xfId="51"/>
    <cellStyle name="Normal 4 11" xfId="52"/>
    <cellStyle name="Normal 4 12" xfId="53"/>
    <cellStyle name="Normal 4 13" xfId="54"/>
    <cellStyle name="Normal 4 14" xfId="55"/>
    <cellStyle name="Normal 4 15" xfId="56"/>
    <cellStyle name="Normal 4 16" xfId="57"/>
    <cellStyle name="Normal 4 17" xfId="58"/>
    <cellStyle name="Normal 4 2" xfId="59"/>
    <cellStyle name="Normal 4 3" xfId="60"/>
    <cellStyle name="Normal 4 4" xfId="61"/>
    <cellStyle name="Normal 4 5" xfId="62"/>
    <cellStyle name="Normal 4 6" xfId="63"/>
    <cellStyle name="Normal 4 7" xfId="64"/>
    <cellStyle name="Normal 4 8" xfId="65"/>
    <cellStyle name="Normal 4 9" xfId="66"/>
    <cellStyle name="Normal 5" xfId="67"/>
    <cellStyle name="Normal 5 10" xfId="68"/>
    <cellStyle name="Normal 5 11" xfId="69"/>
    <cellStyle name="Normal 5 12" xfId="70"/>
    <cellStyle name="Normal 5 13" xfId="71"/>
    <cellStyle name="Normal 5 14" xfId="72"/>
    <cellStyle name="Normal 5 15" xfId="73"/>
    <cellStyle name="Normal 5 16" xfId="74"/>
    <cellStyle name="Normal 5 17" xfId="75"/>
    <cellStyle name="Normal 5 2" xfId="76"/>
    <cellStyle name="Normal 5 3" xfId="77"/>
    <cellStyle name="Normal 5 4" xfId="78"/>
    <cellStyle name="Normal 5 5" xfId="79"/>
    <cellStyle name="Normal 5 6" xfId="80"/>
    <cellStyle name="Normal 5 7" xfId="81"/>
    <cellStyle name="Normal 5 8" xfId="82"/>
    <cellStyle name="Normal 5 9" xfId="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25</xdr:row>
      <xdr:rowOff>47625</xdr:rowOff>
    </xdr:from>
    <xdr:to>
      <xdr:col>18</xdr:col>
      <xdr:colOff>714375</xdr:colOff>
      <xdr:row>26</xdr:row>
      <xdr:rowOff>123825</xdr:rowOff>
    </xdr:to>
    <xdr:sp macro="" textlink="">
      <xdr:nvSpPr>
        <xdr:cNvPr id="652674" name="Line 1"/>
        <xdr:cNvSpPr>
          <a:spLocks noChangeShapeType="1"/>
        </xdr:cNvSpPr>
      </xdr:nvSpPr>
      <xdr:spPr bwMode="auto">
        <a:xfrm flipH="1" flipV="1">
          <a:off x="12439650" y="3667125"/>
          <a:ext cx="5524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84</xdr:row>
      <xdr:rowOff>19050</xdr:rowOff>
    </xdr:from>
    <xdr:to>
      <xdr:col>18</xdr:col>
      <xdr:colOff>762000</xdr:colOff>
      <xdr:row>85</xdr:row>
      <xdr:rowOff>0</xdr:rowOff>
    </xdr:to>
    <xdr:sp macro="" textlink="">
      <xdr:nvSpPr>
        <xdr:cNvPr id="652675" name="Line 2"/>
        <xdr:cNvSpPr>
          <a:spLocks noChangeShapeType="1"/>
        </xdr:cNvSpPr>
      </xdr:nvSpPr>
      <xdr:spPr bwMode="auto">
        <a:xfrm flipH="1" flipV="1">
          <a:off x="12439650" y="12125325"/>
          <a:ext cx="5524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16</xdr:row>
      <xdr:rowOff>66675</xdr:rowOff>
    </xdr:from>
    <xdr:to>
      <xdr:col>11</xdr:col>
      <xdr:colOff>114300</xdr:colOff>
      <xdr:row>19</xdr:row>
      <xdr:rowOff>85725</xdr:rowOff>
    </xdr:to>
    <xdr:sp macro="" textlink="">
      <xdr:nvSpPr>
        <xdr:cNvPr id="837270" name="Line 15"/>
        <xdr:cNvSpPr>
          <a:spLocks noChangeShapeType="1"/>
        </xdr:cNvSpPr>
      </xdr:nvSpPr>
      <xdr:spPr bwMode="auto">
        <a:xfrm>
          <a:off x="54006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57150</xdr:rowOff>
    </xdr:from>
    <xdr:to>
      <xdr:col>11</xdr:col>
      <xdr:colOff>123825</xdr:colOff>
      <xdr:row>16</xdr:row>
      <xdr:rowOff>57150</xdr:rowOff>
    </xdr:to>
    <xdr:sp macro="" textlink="">
      <xdr:nvSpPr>
        <xdr:cNvPr id="837271" name="Line 16"/>
        <xdr:cNvSpPr>
          <a:spLocks noChangeShapeType="1"/>
        </xdr:cNvSpPr>
      </xdr:nvSpPr>
      <xdr:spPr bwMode="auto">
        <a:xfrm flipH="1">
          <a:off x="52863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114300</xdr:colOff>
      <xdr:row>19</xdr:row>
      <xdr:rowOff>95250</xdr:rowOff>
    </xdr:to>
    <xdr:sp macro="" textlink="">
      <xdr:nvSpPr>
        <xdr:cNvPr id="837272" name="Line 17"/>
        <xdr:cNvSpPr>
          <a:spLocks noChangeShapeType="1"/>
        </xdr:cNvSpPr>
      </xdr:nvSpPr>
      <xdr:spPr bwMode="auto">
        <a:xfrm flipH="1">
          <a:off x="52959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6</xdr:row>
      <xdr:rowOff>76200</xdr:rowOff>
    </xdr:from>
    <xdr:to>
      <xdr:col>11</xdr:col>
      <xdr:colOff>123825</xdr:colOff>
      <xdr:row>7</xdr:row>
      <xdr:rowOff>142875</xdr:rowOff>
    </xdr:to>
    <xdr:sp macro="" textlink="">
      <xdr:nvSpPr>
        <xdr:cNvPr id="837273" name="Line 18"/>
        <xdr:cNvSpPr>
          <a:spLocks noChangeShapeType="1"/>
        </xdr:cNvSpPr>
      </xdr:nvSpPr>
      <xdr:spPr bwMode="auto">
        <a:xfrm>
          <a:off x="54102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123825</xdr:colOff>
      <xdr:row>6</xdr:row>
      <xdr:rowOff>76200</xdr:rowOff>
    </xdr:to>
    <xdr:sp macro="" textlink="">
      <xdr:nvSpPr>
        <xdr:cNvPr id="837274" name="Line 19"/>
        <xdr:cNvSpPr>
          <a:spLocks noChangeShapeType="1"/>
        </xdr:cNvSpPr>
      </xdr:nvSpPr>
      <xdr:spPr bwMode="auto">
        <a:xfrm flipH="1" flipV="1">
          <a:off x="52863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123825</xdr:colOff>
      <xdr:row>7</xdr:row>
      <xdr:rowOff>133350</xdr:rowOff>
    </xdr:to>
    <xdr:sp macro="" textlink="">
      <xdr:nvSpPr>
        <xdr:cNvPr id="837275" name="Line 20"/>
        <xdr:cNvSpPr>
          <a:spLocks noChangeShapeType="1"/>
        </xdr:cNvSpPr>
      </xdr:nvSpPr>
      <xdr:spPr bwMode="auto">
        <a:xfrm flipH="1">
          <a:off x="52863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276" name="Line 21"/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277" name="Line 22"/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278" name="Line 23"/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279" name="Line 24"/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280" name="Line 25"/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281" name="Line 26"/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16</xdr:row>
      <xdr:rowOff>66675</xdr:rowOff>
    </xdr:from>
    <xdr:to>
      <xdr:col>4</xdr:col>
      <xdr:colOff>114300</xdr:colOff>
      <xdr:row>19</xdr:row>
      <xdr:rowOff>85725</xdr:rowOff>
    </xdr:to>
    <xdr:sp macro="" textlink="">
      <xdr:nvSpPr>
        <xdr:cNvPr id="837282" name="Line 27"/>
        <xdr:cNvSpPr>
          <a:spLocks noChangeShapeType="1"/>
        </xdr:cNvSpPr>
      </xdr:nvSpPr>
      <xdr:spPr bwMode="auto">
        <a:xfrm>
          <a:off x="26003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123825</xdr:colOff>
      <xdr:row>16</xdr:row>
      <xdr:rowOff>57150</xdr:rowOff>
    </xdr:to>
    <xdr:sp macro="" textlink="">
      <xdr:nvSpPr>
        <xdr:cNvPr id="837283" name="Line 28"/>
        <xdr:cNvSpPr>
          <a:spLocks noChangeShapeType="1"/>
        </xdr:cNvSpPr>
      </xdr:nvSpPr>
      <xdr:spPr bwMode="auto">
        <a:xfrm flipH="1">
          <a:off x="24860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19</xdr:row>
      <xdr:rowOff>95250</xdr:rowOff>
    </xdr:from>
    <xdr:to>
      <xdr:col>4</xdr:col>
      <xdr:colOff>114300</xdr:colOff>
      <xdr:row>19</xdr:row>
      <xdr:rowOff>95250</xdr:rowOff>
    </xdr:to>
    <xdr:sp macro="" textlink="">
      <xdr:nvSpPr>
        <xdr:cNvPr id="837284" name="Line 29"/>
        <xdr:cNvSpPr>
          <a:spLocks noChangeShapeType="1"/>
        </xdr:cNvSpPr>
      </xdr:nvSpPr>
      <xdr:spPr bwMode="auto">
        <a:xfrm flipH="1">
          <a:off x="24955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6</xdr:row>
      <xdr:rowOff>76200</xdr:rowOff>
    </xdr:from>
    <xdr:to>
      <xdr:col>4</xdr:col>
      <xdr:colOff>123825</xdr:colOff>
      <xdr:row>7</xdr:row>
      <xdr:rowOff>142875</xdr:rowOff>
    </xdr:to>
    <xdr:sp macro="" textlink="">
      <xdr:nvSpPr>
        <xdr:cNvPr id="837285" name="Line 30"/>
        <xdr:cNvSpPr>
          <a:spLocks noChangeShapeType="1"/>
        </xdr:cNvSpPr>
      </xdr:nvSpPr>
      <xdr:spPr bwMode="auto">
        <a:xfrm>
          <a:off x="26098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76200</xdr:rowOff>
    </xdr:from>
    <xdr:to>
      <xdr:col>4</xdr:col>
      <xdr:colOff>123825</xdr:colOff>
      <xdr:row>6</xdr:row>
      <xdr:rowOff>76200</xdr:rowOff>
    </xdr:to>
    <xdr:sp macro="" textlink="">
      <xdr:nvSpPr>
        <xdr:cNvPr id="837286" name="Line 31"/>
        <xdr:cNvSpPr>
          <a:spLocks noChangeShapeType="1"/>
        </xdr:cNvSpPr>
      </xdr:nvSpPr>
      <xdr:spPr bwMode="auto">
        <a:xfrm flipH="1" flipV="1">
          <a:off x="24860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123825</xdr:colOff>
      <xdr:row>7</xdr:row>
      <xdr:rowOff>133350</xdr:rowOff>
    </xdr:to>
    <xdr:sp macro="" textlink="">
      <xdr:nvSpPr>
        <xdr:cNvPr id="837287" name="Line 32"/>
        <xdr:cNvSpPr>
          <a:spLocks noChangeShapeType="1"/>
        </xdr:cNvSpPr>
      </xdr:nvSpPr>
      <xdr:spPr bwMode="auto">
        <a:xfrm flipH="1">
          <a:off x="24860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8</xdr:row>
      <xdr:rowOff>76200</xdr:rowOff>
    </xdr:from>
    <xdr:to>
      <xdr:col>11</xdr:col>
      <xdr:colOff>123825</xdr:colOff>
      <xdr:row>9</xdr:row>
      <xdr:rowOff>142875</xdr:rowOff>
    </xdr:to>
    <xdr:sp macro="" textlink="">
      <xdr:nvSpPr>
        <xdr:cNvPr id="837288" name="Line 37"/>
        <xdr:cNvSpPr>
          <a:spLocks noChangeShapeType="1"/>
        </xdr:cNvSpPr>
      </xdr:nvSpPr>
      <xdr:spPr bwMode="auto">
        <a:xfrm>
          <a:off x="54102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76200</xdr:rowOff>
    </xdr:from>
    <xdr:to>
      <xdr:col>11</xdr:col>
      <xdr:colOff>123825</xdr:colOff>
      <xdr:row>8</xdr:row>
      <xdr:rowOff>76200</xdr:rowOff>
    </xdr:to>
    <xdr:sp macro="" textlink="">
      <xdr:nvSpPr>
        <xdr:cNvPr id="837289" name="Line 38"/>
        <xdr:cNvSpPr>
          <a:spLocks noChangeShapeType="1"/>
        </xdr:cNvSpPr>
      </xdr:nvSpPr>
      <xdr:spPr bwMode="auto">
        <a:xfrm flipH="1" flipV="1">
          <a:off x="52863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133350</xdr:rowOff>
    </xdr:from>
    <xdr:to>
      <xdr:col>11</xdr:col>
      <xdr:colOff>123825</xdr:colOff>
      <xdr:row>9</xdr:row>
      <xdr:rowOff>133350</xdr:rowOff>
    </xdr:to>
    <xdr:sp macro="" textlink="">
      <xdr:nvSpPr>
        <xdr:cNvPr id="837290" name="Line 39"/>
        <xdr:cNvSpPr>
          <a:spLocks noChangeShapeType="1"/>
        </xdr:cNvSpPr>
      </xdr:nvSpPr>
      <xdr:spPr bwMode="auto">
        <a:xfrm flipH="1">
          <a:off x="52863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12</xdr:row>
      <xdr:rowOff>76200</xdr:rowOff>
    </xdr:from>
    <xdr:to>
      <xdr:col>11</xdr:col>
      <xdr:colOff>123825</xdr:colOff>
      <xdr:row>13</xdr:row>
      <xdr:rowOff>142875</xdr:rowOff>
    </xdr:to>
    <xdr:sp macro="" textlink="">
      <xdr:nvSpPr>
        <xdr:cNvPr id="837291" name="Line 40"/>
        <xdr:cNvSpPr>
          <a:spLocks noChangeShapeType="1"/>
        </xdr:cNvSpPr>
      </xdr:nvSpPr>
      <xdr:spPr bwMode="auto">
        <a:xfrm>
          <a:off x="54102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76200</xdr:rowOff>
    </xdr:from>
    <xdr:to>
      <xdr:col>11</xdr:col>
      <xdr:colOff>123825</xdr:colOff>
      <xdr:row>12</xdr:row>
      <xdr:rowOff>76200</xdr:rowOff>
    </xdr:to>
    <xdr:sp macro="" textlink="">
      <xdr:nvSpPr>
        <xdr:cNvPr id="837292" name="Line 41"/>
        <xdr:cNvSpPr>
          <a:spLocks noChangeShapeType="1"/>
        </xdr:cNvSpPr>
      </xdr:nvSpPr>
      <xdr:spPr bwMode="auto">
        <a:xfrm flipH="1" flipV="1">
          <a:off x="52863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133350</xdr:rowOff>
    </xdr:from>
    <xdr:to>
      <xdr:col>11</xdr:col>
      <xdr:colOff>123825</xdr:colOff>
      <xdr:row>13</xdr:row>
      <xdr:rowOff>133350</xdr:rowOff>
    </xdr:to>
    <xdr:sp macro="" textlink="">
      <xdr:nvSpPr>
        <xdr:cNvPr id="837293" name="Line 42"/>
        <xdr:cNvSpPr>
          <a:spLocks noChangeShapeType="1"/>
        </xdr:cNvSpPr>
      </xdr:nvSpPr>
      <xdr:spPr bwMode="auto">
        <a:xfrm flipH="1">
          <a:off x="52863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14</xdr:row>
      <xdr:rowOff>76200</xdr:rowOff>
    </xdr:from>
    <xdr:to>
      <xdr:col>11</xdr:col>
      <xdr:colOff>123825</xdr:colOff>
      <xdr:row>15</xdr:row>
      <xdr:rowOff>142875</xdr:rowOff>
    </xdr:to>
    <xdr:sp macro="" textlink="">
      <xdr:nvSpPr>
        <xdr:cNvPr id="837294" name="Line 43"/>
        <xdr:cNvSpPr>
          <a:spLocks noChangeShapeType="1"/>
        </xdr:cNvSpPr>
      </xdr:nvSpPr>
      <xdr:spPr bwMode="auto">
        <a:xfrm>
          <a:off x="54102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76200</xdr:rowOff>
    </xdr:from>
    <xdr:to>
      <xdr:col>11</xdr:col>
      <xdr:colOff>123825</xdr:colOff>
      <xdr:row>14</xdr:row>
      <xdr:rowOff>76200</xdr:rowOff>
    </xdr:to>
    <xdr:sp macro="" textlink="">
      <xdr:nvSpPr>
        <xdr:cNvPr id="837295" name="Line 44"/>
        <xdr:cNvSpPr>
          <a:spLocks noChangeShapeType="1"/>
        </xdr:cNvSpPr>
      </xdr:nvSpPr>
      <xdr:spPr bwMode="auto">
        <a:xfrm flipH="1" flipV="1">
          <a:off x="52863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133350</xdr:rowOff>
    </xdr:from>
    <xdr:to>
      <xdr:col>11</xdr:col>
      <xdr:colOff>123825</xdr:colOff>
      <xdr:row>15</xdr:row>
      <xdr:rowOff>133350</xdr:rowOff>
    </xdr:to>
    <xdr:sp macro="" textlink="">
      <xdr:nvSpPr>
        <xdr:cNvPr id="837296" name="Line 45"/>
        <xdr:cNvSpPr>
          <a:spLocks noChangeShapeType="1"/>
        </xdr:cNvSpPr>
      </xdr:nvSpPr>
      <xdr:spPr bwMode="auto">
        <a:xfrm flipH="1">
          <a:off x="52863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297" name="Line 46"/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298" name="Line 47"/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299" name="Line 48"/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300" name="Line 49"/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301" name="Line 50"/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302" name="Line 51"/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76200</xdr:rowOff>
    </xdr:from>
    <xdr:to>
      <xdr:col>18</xdr:col>
      <xdr:colOff>123825</xdr:colOff>
      <xdr:row>9</xdr:row>
      <xdr:rowOff>142875</xdr:rowOff>
    </xdr:to>
    <xdr:sp macro="" textlink="">
      <xdr:nvSpPr>
        <xdr:cNvPr id="837303" name="Line 52"/>
        <xdr:cNvSpPr>
          <a:spLocks noChangeShapeType="1"/>
        </xdr:cNvSpPr>
      </xdr:nvSpPr>
      <xdr:spPr bwMode="auto">
        <a:xfrm>
          <a:off x="82105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76200</xdr:rowOff>
    </xdr:from>
    <xdr:to>
      <xdr:col>18</xdr:col>
      <xdr:colOff>123825</xdr:colOff>
      <xdr:row>8</xdr:row>
      <xdr:rowOff>76200</xdr:rowOff>
    </xdr:to>
    <xdr:sp macro="" textlink="">
      <xdr:nvSpPr>
        <xdr:cNvPr id="837304" name="Line 53"/>
        <xdr:cNvSpPr>
          <a:spLocks noChangeShapeType="1"/>
        </xdr:cNvSpPr>
      </xdr:nvSpPr>
      <xdr:spPr bwMode="auto">
        <a:xfrm flipH="1" flipV="1">
          <a:off x="80867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123825</xdr:colOff>
      <xdr:row>9</xdr:row>
      <xdr:rowOff>133350</xdr:rowOff>
    </xdr:to>
    <xdr:sp macro="" textlink="">
      <xdr:nvSpPr>
        <xdr:cNvPr id="837305" name="Line 54"/>
        <xdr:cNvSpPr>
          <a:spLocks noChangeShapeType="1"/>
        </xdr:cNvSpPr>
      </xdr:nvSpPr>
      <xdr:spPr bwMode="auto">
        <a:xfrm flipH="1">
          <a:off x="80867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12</xdr:row>
      <xdr:rowOff>76200</xdr:rowOff>
    </xdr:from>
    <xdr:to>
      <xdr:col>18</xdr:col>
      <xdr:colOff>123825</xdr:colOff>
      <xdr:row>13</xdr:row>
      <xdr:rowOff>142875</xdr:rowOff>
    </xdr:to>
    <xdr:sp macro="" textlink="">
      <xdr:nvSpPr>
        <xdr:cNvPr id="837306" name="Line 55"/>
        <xdr:cNvSpPr>
          <a:spLocks noChangeShapeType="1"/>
        </xdr:cNvSpPr>
      </xdr:nvSpPr>
      <xdr:spPr bwMode="auto">
        <a:xfrm>
          <a:off x="82105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123825</xdr:colOff>
      <xdr:row>12</xdr:row>
      <xdr:rowOff>76200</xdr:rowOff>
    </xdr:to>
    <xdr:sp macro="" textlink="">
      <xdr:nvSpPr>
        <xdr:cNvPr id="837307" name="Line 56"/>
        <xdr:cNvSpPr>
          <a:spLocks noChangeShapeType="1"/>
        </xdr:cNvSpPr>
      </xdr:nvSpPr>
      <xdr:spPr bwMode="auto">
        <a:xfrm flipH="1" flipV="1">
          <a:off x="80867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13</xdr:row>
      <xdr:rowOff>133350</xdr:rowOff>
    </xdr:from>
    <xdr:to>
      <xdr:col>18</xdr:col>
      <xdr:colOff>123825</xdr:colOff>
      <xdr:row>13</xdr:row>
      <xdr:rowOff>133350</xdr:rowOff>
    </xdr:to>
    <xdr:sp macro="" textlink="">
      <xdr:nvSpPr>
        <xdr:cNvPr id="837308" name="Line 57"/>
        <xdr:cNvSpPr>
          <a:spLocks noChangeShapeType="1"/>
        </xdr:cNvSpPr>
      </xdr:nvSpPr>
      <xdr:spPr bwMode="auto">
        <a:xfrm flipH="1">
          <a:off x="80867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14</xdr:row>
      <xdr:rowOff>76200</xdr:rowOff>
    </xdr:from>
    <xdr:to>
      <xdr:col>18</xdr:col>
      <xdr:colOff>123825</xdr:colOff>
      <xdr:row>15</xdr:row>
      <xdr:rowOff>142875</xdr:rowOff>
    </xdr:to>
    <xdr:sp macro="" textlink="">
      <xdr:nvSpPr>
        <xdr:cNvPr id="837309" name="Line 58"/>
        <xdr:cNvSpPr>
          <a:spLocks noChangeShapeType="1"/>
        </xdr:cNvSpPr>
      </xdr:nvSpPr>
      <xdr:spPr bwMode="auto">
        <a:xfrm>
          <a:off x="82105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76200</xdr:rowOff>
    </xdr:from>
    <xdr:to>
      <xdr:col>18</xdr:col>
      <xdr:colOff>123825</xdr:colOff>
      <xdr:row>14</xdr:row>
      <xdr:rowOff>76200</xdr:rowOff>
    </xdr:to>
    <xdr:sp macro="" textlink="">
      <xdr:nvSpPr>
        <xdr:cNvPr id="837310" name="Line 59"/>
        <xdr:cNvSpPr>
          <a:spLocks noChangeShapeType="1"/>
        </xdr:cNvSpPr>
      </xdr:nvSpPr>
      <xdr:spPr bwMode="auto">
        <a:xfrm flipH="1" flipV="1">
          <a:off x="80867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133350</xdr:rowOff>
    </xdr:from>
    <xdr:to>
      <xdr:col>18</xdr:col>
      <xdr:colOff>123825</xdr:colOff>
      <xdr:row>15</xdr:row>
      <xdr:rowOff>133350</xdr:rowOff>
    </xdr:to>
    <xdr:sp macro="" textlink="">
      <xdr:nvSpPr>
        <xdr:cNvPr id="837311" name="Line 60"/>
        <xdr:cNvSpPr>
          <a:spLocks noChangeShapeType="1"/>
        </xdr:cNvSpPr>
      </xdr:nvSpPr>
      <xdr:spPr bwMode="auto">
        <a:xfrm flipH="1">
          <a:off x="80867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312" name="Line 62"/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313" name="Line 63"/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314" name="Line 64"/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315" name="Line 65"/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316" name="Line 66"/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317" name="Line 67"/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318" name="Line 70"/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319" name="Line 71"/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320" name="Line 72"/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321" name="Line 73"/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322" name="Line 74"/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323" name="Line 75"/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</xdr:row>
      <xdr:rowOff>76200</xdr:rowOff>
    </xdr:from>
    <xdr:to>
      <xdr:col>25</xdr:col>
      <xdr:colOff>123825</xdr:colOff>
      <xdr:row>9</xdr:row>
      <xdr:rowOff>142875</xdr:rowOff>
    </xdr:to>
    <xdr:sp macro="" textlink="">
      <xdr:nvSpPr>
        <xdr:cNvPr id="837324" name="Line 76"/>
        <xdr:cNvSpPr>
          <a:spLocks noChangeShapeType="1"/>
        </xdr:cNvSpPr>
      </xdr:nvSpPr>
      <xdr:spPr bwMode="auto">
        <a:xfrm>
          <a:off x="109823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76200</xdr:rowOff>
    </xdr:from>
    <xdr:to>
      <xdr:col>25</xdr:col>
      <xdr:colOff>123825</xdr:colOff>
      <xdr:row>8</xdr:row>
      <xdr:rowOff>76200</xdr:rowOff>
    </xdr:to>
    <xdr:sp macro="" textlink="">
      <xdr:nvSpPr>
        <xdr:cNvPr id="837325" name="Line 77"/>
        <xdr:cNvSpPr>
          <a:spLocks noChangeShapeType="1"/>
        </xdr:cNvSpPr>
      </xdr:nvSpPr>
      <xdr:spPr bwMode="auto">
        <a:xfrm flipH="1" flipV="1">
          <a:off x="108585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9</xdr:row>
      <xdr:rowOff>133350</xdr:rowOff>
    </xdr:from>
    <xdr:to>
      <xdr:col>25</xdr:col>
      <xdr:colOff>123825</xdr:colOff>
      <xdr:row>9</xdr:row>
      <xdr:rowOff>133350</xdr:rowOff>
    </xdr:to>
    <xdr:sp macro="" textlink="">
      <xdr:nvSpPr>
        <xdr:cNvPr id="837326" name="Line 78"/>
        <xdr:cNvSpPr>
          <a:spLocks noChangeShapeType="1"/>
        </xdr:cNvSpPr>
      </xdr:nvSpPr>
      <xdr:spPr bwMode="auto">
        <a:xfrm flipH="1">
          <a:off x="108585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12</xdr:row>
      <xdr:rowOff>76200</xdr:rowOff>
    </xdr:from>
    <xdr:to>
      <xdr:col>25</xdr:col>
      <xdr:colOff>123825</xdr:colOff>
      <xdr:row>13</xdr:row>
      <xdr:rowOff>142875</xdr:rowOff>
    </xdr:to>
    <xdr:sp macro="" textlink="">
      <xdr:nvSpPr>
        <xdr:cNvPr id="837327" name="Line 79"/>
        <xdr:cNvSpPr>
          <a:spLocks noChangeShapeType="1"/>
        </xdr:cNvSpPr>
      </xdr:nvSpPr>
      <xdr:spPr bwMode="auto">
        <a:xfrm>
          <a:off x="109823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76200</xdr:rowOff>
    </xdr:from>
    <xdr:to>
      <xdr:col>25</xdr:col>
      <xdr:colOff>123825</xdr:colOff>
      <xdr:row>12</xdr:row>
      <xdr:rowOff>76200</xdr:rowOff>
    </xdr:to>
    <xdr:sp macro="" textlink="">
      <xdr:nvSpPr>
        <xdr:cNvPr id="837328" name="Line 80"/>
        <xdr:cNvSpPr>
          <a:spLocks noChangeShapeType="1"/>
        </xdr:cNvSpPr>
      </xdr:nvSpPr>
      <xdr:spPr bwMode="auto">
        <a:xfrm flipH="1" flipV="1">
          <a:off x="108585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133350</xdr:rowOff>
    </xdr:from>
    <xdr:to>
      <xdr:col>25</xdr:col>
      <xdr:colOff>123825</xdr:colOff>
      <xdr:row>13</xdr:row>
      <xdr:rowOff>133350</xdr:rowOff>
    </xdr:to>
    <xdr:sp macro="" textlink="">
      <xdr:nvSpPr>
        <xdr:cNvPr id="837329" name="Line 81"/>
        <xdr:cNvSpPr>
          <a:spLocks noChangeShapeType="1"/>
        </xdr:cNvSpPr>
      </xdr:nvSpPr>
      <xdr:spPr bwMode="auto">
        <a:xfrm flipH="1">
          <a:off x="108585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14</xdr:row>
      <xdr:rowOff>76200</xdr:rowOff>
    </xdr:from>
    <xdr:to>
      <xdr:col>25</xdr:col>
      <xdr:colOff>123825</xdr:colOff>
      <xdr:row>15</xdr:row>
      <xdr:rowOff>142875</xdr:rowOff>
    </xdr:to>
    <xdr:sp macro="" textlink="">
      <xdr:nvSpPr>
        <xdr:cNvPr id="837330" name="Line 82"/>
        <xdr:cNvSpPr>
          <a:spLocks noChangeShapeType="1"/>
        </xdr:cNvSpPr>
      </xdr:nvSpPr>
      <xdr:spPr bwMode="auto">
        <a:xfrm>
          <a:off x="109823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14</xdr:row>
      <xdr:rowOff>76200</xdr:rowOff>
    </xdr:from>
    <xdr:to>
      <xdr:col>25</xdr:col>
      <xdr:colOff>123825</xdr:colOff>
      <xdr:row>14</xdr:row>
      <xdr:rowOff>76200</xdr:rowOff>
    </xdr:to>
    <xdr:sp macro="" textlink="">
      <xdr:nvSpPr>
        <xdr:cNvPr id="837331" name="Line 83"/>
        <xdr:cNvSpPr>
          <a:spLocks noChangeShapeType="1"/>
        </xdr:cNvSpPr>
      </xdr:nvSpPr>
      <xdr:spPr bwMode="auto">
        <a:xfrm flipH="1" flipV="1">
          <a:off x="108585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15</xdr:row>
      <xdr:rowOff>133350</xdr:rowOff>
    </xdr:from>
    <xdr:to>
      <xdr:col>25</xdr:col>
      <xdr:colOff>123825</xdr:colOff>
      <xdr:row>15</xdr:row>
      <xdr:rowOff>133350</xdr:rowOff>
    </xdr:to>
    <xdr:sp macro="" textlink="">
      <xdr:nvSpPr>
        <xdr:cNvPr id="837332" name="Line 84"/>
        <xdr:cNvSpPr>
          <a:spLocks noChangeShapeType="1"/>
        </xdr:cNvSpPr>
      </xdr:nvSpPr>
      <xdr:spPr bwMode="auto">
        <a:xfrm flipH="1">
          <a:off x="108585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333" name="Line 86"/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334" name="Line 87"/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335" name="Line 88"/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336" name="Line 89"/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337" name="Line 90"/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338" name="Line 91"/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339" name="Line 94"/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340" name="Line 95"/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341" name="Line 96"/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342" name="Line 97"/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343" name="Line 98"/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344" name="Line 99"/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8</xdr:row>
      <xdr:rowOff>76200</xdr:rowOff>
    </xdr:from>
    <xdr:to>
      <xdr:col>32</xdr:col>
      <xdr:colOff>123825</xdr:colOff>
      <xdr:row>9</xdr:row>
      <xdr:rowOff>142875</xdr:rowOff>
    </xdr:to>
    <xdr:sp macro="" textlink="">
      <xdr:nvSpPr>
        <xdr:cNvPr id="837345" name="Line 100"/>
        <xdr:cNvSpPr>
          <a:spLocks noChangeShapeType="1"/>
        </xdr:cNvSpPr>
      </xdr:nvSpPr>
      <xdr:spPr bwMode="auto">
        <a:xfrm>
          <a:off x="13754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</xdr:row>
      <xdr:rowOff>76200</xdr:rowOff>
    </xdr:from>
    <xdr:to>
      <xdr:col>32</xdr:col>
      <xdr:colOff>123825</xdr:colOff>
      <xdr:row>8</xdr:row>
      <xdr:rowOff>76200</xdr:rowOff>
    </xdr:to>
    <xdr:sp macro="" textlink="">
      <xdr:nvSpPr>
        <xdr:cNvPr id="837346" name="Line 101"/>
        <xdr:cNvSpPr>
          <a:spLocks noChangeShapeType="1"/>
        </xdr:cNvSpPr>
      </xdr:nvSpPr>
      <xdr:spPr bwMode="auto">
        <a:xfrm flipH="1" flipV="1">
          <a:off x="13630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9</xdr:row>
      <xdr:rowOff>133350</xdr:rowOff>
    </xdr:from>
    <xdr:to>
      <xdr:col>32</xdr:col>
      <xdr:colOff>123825</xdr:colOff>
      <xdr:row>9</xdr:row>
      <xdr:rowOff>133350</xdr:rowOff>
    </xdr:to>
    <xdr:sp macro="" textlink="">
      <xdr:nvSpPr>
        <xdr:cNvPr id="837347" name="Line 102"/>
        <xdr:cNvSpPr>
          <a:spLocks noChangeShapeType="1"/>
        </xdr:cNvSpPr>
      </xdr:nvSpPr>
      <xdr:spPr bwMode="auto">
        <a:xfrm flipH="1">
          <a:off x="13630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12</xdr:row>
      <xdr:rowOff>76200</xdr:rowOff>
    </xdr:from>
    <xdr:to>
      <xdr:col>32</xdr:col>
      <xdr:colOff>123825</xdr:colOff>
      <xdr:row>13</xdr:row>
      <xdr:rowOff>142875</xdr:rowOff>
    </xdr:to>
    <xdr:sp macro="" textlink="">
      <xdr:nvSpPr>
        <xdr:cNvPr id="837348" name="Line 103"/>
        <xdr:cNvSpPr>
          <a:spLocks noChangeShapeType="1"/>
        </xdr:cNvSpPr>
      </xdr:nvSpPr>
      <xdr:spPr bwMode="auto">
        <a:xfrm>
          <a:off x="13754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12</xdr:row>
      <xdr:rowOff>76200</xdr:rowOff>
    </xdr:from>
    <xdr:to>
      <xdr:col>32</xdr:col>
      <xdr:colOff>123825</xdr:colOff>
      <xdr:row>12</xdr:row>
      <xdr:rowOff>76200</xdr:rowOff>
    </xdr:to>
    <xdr:sp macro="" textlink="">
      <xdr:nvSpPr>
        <xdr:cNvPr id="837349" name="Line 104"/>
        <xdr:cNvSpPr>
          <a:spLocks noChangeShapeType="1"/>
        </xdr:cNvSpPr>
      </xdr:nvSpPr>
      <xdr:spPr bwMode="auto">
        <a:xfrm flipH="1" flipV="1">
          <a:off x="13630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123825</xdr:colOff>
      <xdr:row>13</xdr:row>
      <xdr:rowOff>133350</xdr:rowOff>
    </xdr:to>
    <xdr:sp macro="" textlink="">
      <xdr:nvSpPr>
        <xdr:cNvPr id="837350" name="Line 105"/>
        <xdr:cNvSpPr>
          <a:spLocks noChangeShapeType="1"/>
        </xdr:cNvSpPr>
      </xdr:nvSpPr>
      <xdr:spPr bwMode="auto">
        <a:xfrm flipH="1">
          <a:off x="13630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14</xdr:row>
      <xdr:rowOff>76200</xdr:rowOff>
    </xdr:from>
    <xdr:to>
      <xdr:col>32</xdr:col>
      <xdr:colOff>123825</xdr:colOff>
      <xdr:row>15</xdr:row>
      <xdr:rowOff>142875</xdr:rowOff>
    </xdr:to>
    <xdr:sp macro="" textlink="">
      <xdr:nvSpPr>
        <xdr:cNvPr id="837351" name="Line 106"/>
        <xdr:cNvSpPr>
          <a:spLocks noChangeShapeType="1"/>
        </xdr:cNvSpPr>
      </xdr:nvSpPr>
      <xdr:spPr bwMode="auto">
        <a:xfrm>
          <a:off x="13754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76200</xdr:rowOff>
    </xdr:from>
    <xdr:to>
      <xdr:col>32</xdr:col>
      <xdr:colOff>123825</xdr:colOff>
      <xdr:row>14</xdr:row>
      <xdr:rowOff>76200</xdr:rowOff>
    </xdr:to>
    <xdr:sp macro="" textlink="">
      <xdr:nvSpPr>
        <xdr:cNvPr id="837352" name="Line 107"/>
        <xdr:cNvSpPr>
          <a:spLocks noChangeShapeType="1"/>
        </xdr:cNvSpPr>
      </xdr:nvSpPr>
      <xdr:spPr bwMode="auto">
        <a:xfrm flipH="1" flipV="1">
          <a:off x="13630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133350</xdr:rowOff>
    </xdr:from>
    <xdr:to>
      <xdr:col>32</xdr:col>
      <xdr:colOff>123825</xdr:colOff>
      <xdr:row>15</xdr:row>
      <xdr:rowOff>133350</xdr:rowOff>
    </xdr:to>
    <xdr:sp macro="" textlink="">
      <xdr:nvSpPr>
        <xdr:cNvPr id="837353" name="Line 108"/>
        <xdr:cNvSpPr>
          <a:spLocks noChangeShapeType="1"/>
        </xdr:cNvSpPr>
      </xdr:nvSpPr>
      <xdr:spPr bwMode="auto">
        <a:xfrm flipH="1">
          <a:off x="13630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354" name="Line 110"/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355" name="Line 111"/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356" name="Line 112"/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357" name="Line 113"/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358" name="Line 114"/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359" name="Line 115"/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360" name="Line 118"/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361" name="Line 119"/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362" name="Line 120"/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363" name="Line 121"/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364" name="Line 122"/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365" name="Line 123"/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8</xdr:row>
      <xdr:rowOff>76200</xdr:rowOff>
    </xdr:from>
    <xdr:to>
      <xdr:col>44</xdr:col>
      <xdr:colOff>123825</xdr:colOff>
      <xdr:row>9</xdr:row>
      <xdr:rowOff>142875</xdr:rowOff>
    </xdr:to>
    <xdr:sp macro="" textlink="">
      <xdr:nvSpPr>
        <xdr:cNvPr id="837366" name="Line 124"/>
        <xdr:cNvSpPr>
          <a:spLocks noChangeShapeType="1"/>
        </xdr:cNvSpPr>
      </xdr:nvSpPr>
      <xdr:spPr bwMode="auto">
        <a:xfrm>
          <a:off x="200025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76200</xdr:rowOff>
    </xdr:from>
    <xdr:to>
      <xdr:col>44</xdr:col>
      <xdr:colOff>123825</xdr:colOff>
      <xdr:row>8</xdr:row>
      <xdr:rowOff>76200</xdr:rowOff>
    </xdr:to>
    <xdr:sp macro="" textlink="">
      <xdr:nvSpPr>
        <xdr:cNvPr id="837367" name="Line 125"/>
        <xdr:cNvSpPr>
          <a:spLocks noChangeShapeType="1"/>
        </xdr:cNvSpPr>
      </xdr:nvSpPr>
      <xdr:spPr bwMode="auto">
        <a:xfrm flipH="1" flipV="1">
          <a:off x="198786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133350</xdr:rowOff>
    </xdr:from>
    <xdr:to>
      <xdr:col>44</xdr:col>
      <xdr:colOff>123825</xdr:colOff>
      <xdr:row>9</xdr:row>
      <xdr:rowOff>133350</xdr:rowOff>
    </xdr:to>
    <xdr:sp macro="" textlink="">
      <xdr:nvSpPr>
        <xdr:cNvPr id="837368" name="Line 126"/>
        <xdr:cNvSpPr>
          <a:spLocks noChangeShapeType="1"/>
        </xdr:cNvSpPr>
      </xdr:nvSpPr>
      <xdr:spPr bwMode="auto">
        <a:xfrm flipH="1">
          <a:off x="198786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12</xdr:row>
      <xdr:rowOff>76200</xdr:rowOff>
    </xdr:from>
    <xdr:to>
      <xdr:col>44</xdr:col>
      <xdr:colOff>123825</xdr:colOff>
      <xdr:row>13</xdr:row>
      <xdr:rowOff>142875</xdr:rowOff>
    </xdr:to>
    <xdr:sp macro="" textlink="">
      <xdr:nvSpPr>
        <xdr:cNvPr id="837369" name="Line 127"/>
        <xdr:cNvSpPr>
          <a:spLocks noChangeShapeType="1"/>
        </xdr:cNvSpPr>
      </xdr:nvSpPr>
      <xdr:spPr bwMode="auto">
        <a:xfrm>
          <a:off x="200025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76200</xdr:rowOff>
    </xdr:from>
    <xdr:to>
      <xdr:col>44</xdr:col>
      <xdr:colOff>123825</xdr:colOff>
      <xdr:row>12</xdr:row>
      <xdr:rowOff>76200</xdr:rowOff>
    </xdr:to>
    <xdr:sp macro="" textlink="">
      <xdr:nvSpPr>
        <xdr:cNvPr id="837370" name="Line 128"/>
        <xdr:cNvSpPr>
          <a:spLocks noChangeShapeType="1"/>
        </xdr:cNvSpPr>
      </xdr:nvSpPr>
      <xdr:spPr bwMode="auto">
        <a:xfrm flipH="1" flipV="1">
          <a:off x="198786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13</xdr:row>
      <xdr:rowOff>133350</xdr:rowOff>
    </xdr:from>
    <xdr:to>
      <xdr:col>44</xdr:col>
      <xdr:colOff>123825</xdr:colOff>
      <xdr:row>13</xdr:row>
      <xdr:rowOff>133350</xdr:rowOff>
    </xdr:to>
    <xdr:sp macro="" textlink="">
      <xdr:nvSpPr>
        <xdr:cNvPr id="837371" name="Line 129"/>
        <xdr:cNvSpPr>
          <a:spLocks noChangeShapeType="1"/>
        </xdr:cNvSpPr>
      </xdr:nvSpPr>
      <xdr:spPr bwMode="auto">
        <a:xfrm flipH="1">
          <a:off x="198786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14</xdr:row>
      <xdr:rowOff>76200</xdr:rowOff>
    </xdr:from>
    <xdr:to>
      <xdr:col>44</xdr:col>
      <xdr:colOff>123825</xdr:colOff>
      <xdr:row>15</xdr:row>
      <xdr:rowOff>142875</xdr:rowOff>
    </xdr:to>
    <xdr:sp macro="" textlink="">
      <xdr:nvSpPr>
        <xdr:cNvPr id="837372" name="Line 130"/>
        <xdr:cNvSpPr>
          <a:spLocks noChangeShapeType="1"/>
        </xdr:cNvSpPr>
      </xdr:nvSpPr>
      <xdr:spPr bwMode="auto">
        <a:xfrm>
          <a:off x="200025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14</xdr:row>
      <xdr:rowOff>76200</xdr:rowOff>
    </xdr:from>
    <xdr:to>
      <xdr:col>44</xdr:col>
      <xdr:colOff>123825</xdr:colOff>
      <xdr:row>14</xdr:row>
      <xdr:rowOff>76200</xdr:rowOff>
    </xdr:to>
    <xdr:sp macro="" textlink="">
      <xdr:nvSpPr>
        <xdr:cNvPr id="837373" name="Line 131"/>
        <xdr:cNvSpPr>
          <a:spLocks noChangeShapeType="1"/>
        </xdr:cNvSpPr>
      </xdr:nvSpPr>
      <xdr:spPr bwMode="auto">
        <a:xfrm flipH="1" flipV="1">
          <a:off x="198786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15</xdr:row>
      <xdr:rowOff>133350</xdr:rowOff>
    </xdr:from>
    <xdr:to>
      <xdr:col>44</xdr:col>
      <xdr:colOff>123825</xdr:colOff>
      <xdr:row>15</xdr:row>
      <xdr:rowOff>133350</xdr:rowOff>
    </xdr:to>
    <xdr:sp macro="" textlink="">
      <xdr:nvSpPr>
        <xdr:cNvPr id="837374" name="Line 132"/>
        <xdr:cNvSpPr>
          <a:spLocks noChangeShapeType="1"/>
        </xdr:cNvSpPr>
      </xdr:nvSpPr>
      <xdr:spPr bwMode="auto">
        <a:xfrm flipH="1">
          <a:off x="198786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375" name="Line 134"/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376" name="Line 135"/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377" name="Line 136"/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378" name="Line 137"/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379" name="Line 138"/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380" name="Line 139"/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381" name="Line 142"/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382" name="Line 143"/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383" name="Line 144"/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384" name="Line 145"/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385" name="Line 146"/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386" name="Line 147"/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8</xdr:row>
      <xdr:rowOff>76200</xdr:rowOff>
    </xdr:from>
    <xdr:to>
      <xdr:col>38</xdr:col>
      <xdr:colOff>123825</xdr:colOff>
      <xdr:row>9</xdr:row>
      <xdr:rowOff>142875</xdr:rowOff>
    </xdr:to>
    <xdr:sp macro="" textlink="">
      <xdr:nvSpPr>
        <xdr:cNvPr id="837387" name="Line 148"/>
        <xdr:cNvSpPr>
          <a:spLocks noChangeShapeType="1"/>
        </xdr:cNvSpPr>
      </xdr:nvSpPr>
      <xdr:spPr bwMode="auto">
        <a:xfrm>
          <a:off x="16764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76200</xdr:rowOff>
    </xdr:from>
    <xdr:to>
      <xdr:col>38</xdr:col>
      <xdr:colOff>123825</xdr:colOff>
      <xdr:row>8</xdr:row>
      <xdr:rowOff>76200</xdr:rowOff>
    </xdr:to>
    <xdr:sp macro="" textlink="">
      <xdr:nvSpPr>
        <xdr:cNvPr id="837388" name="Line 149"/>
        <xdr:cNvSpPr>
          <a:spLocks noChangeShapeType="1"/>
        </xdr:cNvSpPr>
      </xdr:nvSpPr>
      <xdr:spPr bwMode="auto">
        <a:xfrm flipH="1" flipV="1">
          <a:off x="16640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</xdr:row>
      <xdr:rowOff>133350</xdr:rowOff>
    </xdr:from>
    <xdr:to>
      <xdr:col>38</xdr:col>
      <xdr:colOff>123825</xdr:colOff>
      <xdr:row>9</xdr:row>
      <xdr:rowOff>133350</xdr:rowOff>
    </xdr:to>
    <xdr:sp macro="" textlink="">
      <xdr:nvSpPr>
        <xdr:cNvPr id="837389" name="Line 150"/>
        <xdr:cNvSpPr>
          <a:spLocks noChangeShapeType="1"/>
        </xdr:cNvSpPr>
      </xdr:nvSpPr>
      <xdr:spPr bwMode="auto">
        <a:xfrm flipH="1">
          <a:off x="16640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12</xdr:row>
      <xdr:rowOff>76200</xdr:rowOff>
    </xdr:from>
    <xdr:to>
      <xdr:col>38</xdr:col>
      <xdr:colOff>123825</xdr:colOff>
      <xdr:row>13</xdr:row>
      <xdr:rowOff>142875</xdr:rowOff>
    </xdr:to>
    <xdr:sp macro="" textlink="">
      <xdr:nvSpPr>
        <xdr:cNvPr id="837390" name="Line 151"/>
        <xdr:cNvSpPr>
          <a:spLocks noChangeShapeType="1"/>
        </xdr:cNvSpPr>
      </xdr:nvSpPr>
      <xdr:spPr bwMode="auto">
        <a:xfrm>
          <a:off x="16764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12</xdr:row>
      <xdr:rowOff>76200</xdr:rowOff>
    </xdr:from>
    <xdr:to>
      <xdr:col>38</xdr:col>
      <xdr:colOff>123825</xdr:colOff>
      <xdr:row>12</xdr:row>
      <xdr:rowOff>76200</xdr:rowOff>
    </xdr:to>
    <xdr:sp macro="" textlink="">
      <xdr:nvSpPr>
        <xdr:cNvPr id="837391" name="Line 152"/>
        <xdr:cNvSpPr>
          <a:spLocks noChangeShapeType="1"/>
        </xdr:cNvSpPr>
      </xdr:nvSpPr>
      <xdr:spPr bwMode="auto">
        <a:xfrm flipH="1" flipV="1">
          <a:off x="16640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13</xdr:row>
      <xdr:rowOff>133350</xdr:rowOff>
    </xdr:from>
    <xdr:to>
      <xdr:col>38</xdr:col>
      <xdr:colOff>123825</xdr:colOff>
      <xdr:row>13</xdr:row>
      <xdr:rowOff>133350</xdr:rowOff>
    </xdr:to>
    <xdr:sp macro="" textlink="">
      <xdr:nvSpPr>
        <xdr:cNvPr id="837392" name="Line 153"/>
        <xdr:cNvSpPr>
          <a:spLocks noChangeShapeType="1"/>
        </xdr:cNvSpPr>
      </xdr:nvSpPr>
      <xdr:spPr bwMode="auto">
        <a:xfrm flipH="1">
          <a:off x="16640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14</xdr:row>
      <xdr:rowOff>76200</xdr:rowOff>
    </xdr:from>
    <xdr:to>
      <xdr:col>38</xdr:col>
      <xdr:colOff>123825</xdr:colOff>
      <xdr:row>15</xdr:row>
      <xdr:rowOff>142875</xdr:rowOff>
    </xdr:to>
    <xdr:sp macro="" textlink="">
      <xdr:nvSpPr>
        <xdr:cNvPr id="837393" name="Line 154"/>
        <xdr:cNvSpPr>
          <a:spLocks noChangeShapeType="1"/>
        </xdr:cNvSpPr>
      </xdr:nvSpPr>
      <xdr:spPr bwMode="auto">
        <a:xfrm>
          <a:off x="16764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14</xdr:row>
      <xdr:rowOff>76200</xdr:rowOff>
    </xdr:from>
    <xdr:to>
      <xdr:col>38</xdr:col>
      <xdr:colOff>123825</xdr:colOff>
      <xdr:row>14</xdr:row>
      <xdr:rowOff>76200</xdr:rowOff>
    </xdr:to>
    <xdr:sp macro="" textlink="">
      <xdr:nvSpPr>
        <xdr:cNvPr id="837394" name="Line 155"/>
        <xdr:cNvSpPr>
          <a:spLocks noChangeShapeType="1"/>
        </xdr:cNvSpPr>
      </xdr:nvSpPr>
      <xdr:spPr bwMode="auto">
        <a:xfrm flipH="1" flipV="1">
          <a:off x="16640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15</xdr:row>
      <xdr:rowOff>133350</xdr:rowOff>
    </xdr:from>
    <xdr:to>
      <xdr:col>38</xdr:col>
      <xdr:colOff>123825</xdr:colOff>
      <xdr:row>15</xdr:row>
      <xdr:rowOff>133350</xdr:rowOff>
    </xdr:to>
    <xdr:sp macro="" textlink="">
      <xdr:nvSpPr>
        <xdr:cNvPr id="837395" name="Line 156"/>
        <xdr:cNvSpPr>
          <a:spLocks noChangeShapeType="1"/>
        </xdr:cNvSpPr>
      </xdr:nvSpPr>
      <xdr:spPr bwMode="auto">
        <a:xfrm flipH="1">
          <a:off x="16640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396" name="Line 158"/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397" name="Line 159"/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398" name="Line 160"/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399" name="Line 161"/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400" name="Line 162"/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401" name="Line 163"/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402" name="Line 166"/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403" name="Line 167"/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404" name="Line 168"/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405" name="Line 169"/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406" name="Line 170"/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407" name="Line 171"/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8</xdr:row>
      <xdr:rowOff>76200</xdr:rowOff>
    </xdr:from>
    <xdr:to>
      <xdr:col>50</xdr:col>
      <xdr:colOff>123825</xdr:colOff>
      <xdr:row>9</xdr:row>
      <xdr:rowOff>142875</xdr:rowOff>
    </xdr:to>
    <xdr:sp macro="" textlink="">
      <xdr:nvSpPr>
        <xdr:cNvPr id="837408" name="Line 172"/>
        <xdr:cNvSpPr>
          <a:spLocks noChangeShapeType="1"/>
        </xdr:cNvSpPr>
      </xdr:nvSpPr>
      <xdr:spPr bwMode="auto">
        <a:xfrm>
          <a:off x="23145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76200</xdr:rowOff>
    </xdr:from>
    <xdr:to>
      <xdr:col>50</xdr:col>
      <xdr:colOff>123825</xdr:colOff>
      <xdr:row>8</xdr:row>
      <xdr:rowOff>76200</xdr:rowOff>
    </xdr:to>
    <xdr:sp macro="" textlink="">
      <xdr:nvSpPr>
        <xdr:cNvPr id="837409" name="Line 173"/>
        <xdr:cNvSpPr>
          <a:spLocks noChangeShapeType="1"/>
        </xdr:cNvSpPr>
      </xdr:nvSpPr>
      <xdr:spPr bwMode="auto">
        <a:xfrm flipH="1" flipV="1">
          <a:off x="23021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9</xdr:row>
      <xdr:rowOff>133350</xdr:rowOff>
    </xdr:from>
    <xdr:to>
      <xdr:col>50</xdr:col>
      <xdr:colOff>123825</xdr:colOff>
      <xdr:row>9</xdr:row>
      <xdr:rowOff>133350</xdr:rowOff>
    </xdr:to>
    <xdr:sp macro="" textlink="">
      <xdr:nvSpPr>
        <xdr:cNvPr id="837410" name="Line 174"/>
        <xdr:cNvSpPr>
          <a:spLocks noChangeShapeType="1"/>
        </xdr:cNvSpPr>
      </xdr:nvSpPr>
      <xdr:spPr bwMode="auto">
        <a:xfrm flipH="1">
          <a:off x="23021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12</xdr:row>
      <xdr:rowOff>76200</xdr:rowOff>
    </xdr:from>
    <xdr:to>
      <xdr:col>50</xdr:col>
      <xdr:colOff>123825</xdr:colOff>
      <xdr:row>13</xdr:row>
      <xdr:rowOff>142875</xdr:rowOff>
    </xdr:to>
    <xdr:sp macro="" textlink="">
      <xdr:nvSpPr>
        <xdr:cNvPr id="837411" name="Line 175"/>
        <xdr:cNvSpPr>
          <a:spLocks noChangeShapeType="1"/>
        </xdr:cNvSpPr>
      </xdr:nvSpPr>
      <xdr:spPr bwMode="auto">
        <a:xfrm>
          <a:off x="23145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12</xdr:row>
      <xdr:rowOff>76200</xdr:rowOff>
    </xdr:from>
    <xdr:to>
      <xdr:col>50</xdr:col>
      <xdr:colOff>123825</xdr:colOff>
      <xdr:row>12</xdr:row>
      <xdr:rowOff>76200</xdr:rowOff>
    </xdr:to>
    <xdr:sp macro="" textlink="">
      <xdr:nvSpPr>
        <xdr:cNvPr id="837412" name="Line 176"/>
        <xdr:cNvSpPr>
          <a:spLocks noChangeShapeType="1"/>
        </xdr:cNvSpPr>
      </xdr:nvSpPr>
      <xdr:spPr bwMode="auto">
        <a:xfrm flipH="1" flipV="1">
          <a:off x="23021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133350</xdr:rowOff>
    </xdr:from>
    <xdr:to>
      <xdr:col>50</xdr:col>
      <xdr:colOff>123825</xdr:colOff>
      <xdr:row>13</xdr:row>
      <xdr:rowOff>133350</xdr:rowOff>
    </xdr:to>
    <xdr:sp macro="" textlink="">
      <xdr:nvSpPr>
        <xdr:cNvPr id="837413" name="Line 177"/>
        <xdr:cNvSpPr>
          <a:spLocks noChangeShapeType="1"/>
        </xdr:cNvSpPr>
      </xdr:nvSpPr>
      <xdr:spPr bwMode="auto">
        <a:xfrm flipH="1">
          <a:off x="23021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14</xdr:row>
      <xdr:rowOff>76200</xdr:rowOff>
    </xdr:from>
    <xdr:to>
      <xdr:col>50</xdr:col>
      <xdr:colOff>123825</xdr:colOff>
      <xdr:row>15</xdr:row>
      <xdr:rowOff>142875</xdr:rowOff>
    </xdr:to>
    <xdr:sp macro="" textlink="">
      <xdr:nvSpPr>
        <xdr:cNvPr id="837414" name="Line 178"/>
        <xdr:cNvSpPr>
          <a:spLocks noChangeShapeType="1"/>
        </xdr:cNvSpPr>
      </xdr:nvSpPr>
      <xdr:spPr bwMode="auto">
        <a:xfrm>
          <a:off x="23145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14</xdr:row>
      <xdr:rowOff>76200</xdr:rowOff>
    </xdr:from>
    <xdr:to>
      <xdr:col>50</xdr:col>
      <xdr:colOff>123825</xdr:colOff>
      <xdr:row>14</xdr:row>
      <xdr:rowOff>76200</xdr:rowOff>
    </xdr:to>
    <xdr:sp macro="" textlink="">
      <xdr:nvSpPr>
        <xdr:cNvPr id="837415" name="Line 179"/>
        <xdr:cNvSpPr>
          <a:spLocks noChangeShapeType="1"/>
        </xdr:cNvSpPr>
      </xdr:nvSpPr>
      <xdr:spPr bwMode="auto">
        <a:xfrm flipH="1" flipV="1">
          <a:off x="23021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15</xdr:row>
      <xdr:rowOff>133350</xdr:rowOff>
    </xdr:from>
    <xdr:to>
      <xdr:col>50</xdr:col>
      <xdr:colOff>123825</xdr:colOff>
      <xdr:row>15</xdr:row>
      <xdr:rowOff>133350</xdr:rowOff>
    </xdr:to>
    <xdr:sp macro="" textlink="">
      <xdr:nvSpPr>
        <xdr:cNvPr id="837416" name="Line 180"/>
        <xdr:cNvSpPr>
          <a:spLocks noChangeShapeType="1"/>
        </xdr:cNvSpPr>
      </xdr:nvSpPr>
      <xdr:spPr bwMode="auto">
        <a:xfrm flipH="1">
          <a:off x="23021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417" name="Line 192"/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418" name="Line 193"/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419" name="Line 194"/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420" name="Line 195"/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421" name="Line 196"/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422" name="Line 197"/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423" name="Line 200"/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424" name="Line 201"/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425" name="Line 202"/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426" name="Line 203"/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427" name="Line 204"/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428" name="Line 205"/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8</xdr:row>
      <xdr:rowOff>76200</xdr:rowOff>
    </xdr:from>
    <xdr:to>
      <xdr:col>56</xdr:col>
      <xdr:colOff>123825</xdr:colOff>
      <xdr:row>9</xdr:row>
      <xdr:rowOff>142875</xdr:rowOff>
    </xdr:to>
    <xdr:sp macro="" textlink="">
      <xdr:nvSpPr>
        <xdr:cNvPr id="837429" name="Line 206"/>
        <xdr:cNvSpPr>
          <a:spLocks noChangeShapeType="1"/>
        </xdr:cNvSpPr>
      </xdr:nvSpPr>
      <xdr:spPr bwMode="auto">
        <a:xfrm>
          <a:off x="264318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8</xdr:row>
      <xdr:rowOff>76200</xdr:rowOff>
    </xdr:from>
    <xdr:to>
      <xdr:col>56</xdr:col>
      <xdr:colOff>123825</xdr:colOff>
      <xdr:row>8</xdr:row>
      <xdr:rowOff>76200</xdr:rowOff>
    </xdr:to>
    <xdr:sp macro="" textlink="">
      <xdr:nvSpPr>
        <xdr:cNvPr id="837430" name="Line 207"/>
        <xdr:cNvSpPr>
          <a:spLocks noChangeShapeType="1"/>
        </xdr:cNvSpPr>
      </xdr:nvSpPr>
      <xdr:spPr bwMode="auto">
        <a:xfrm flipH="1" flipV="1">
          <a:off x="263080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</xdr:row>
      <xdr:rowOff>133350</xdr:rowOff>
    </xdr:from>
    <xdr:to>
      <xdr:col>56</xdr:col>
      <xdr:colOff>123825</xdr:colOff>
      <xdr:row>9</xdr:row>
      <xdr:rowOff>133350</xdr:rowOff>
    </xdr:to>
    <xdr:sp macro="" textlink="">
      <xdr:nvSpPr>
        <xdr:cNvPr id="837431" name="Line 208"/>
        <xdr:cNvSpPr>
          <a:spLocks noChangeShapeType="1"/>
        </xdr:cNvSpPr>
      </xdr:nvSpPr>
      <xdr:spPr bwMode="auto">
        <a:xfrm flipH="1">
          <a:off x="263080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12</xdr:row>
      <xdr:rowOff>76200</xdr:rowOff>
    </xdr:from>
    <xdr:to>
      <xdr:col>56</xdr:col>
      <xdr:colOff>123825</xdr:colOff>
      <xdr:row>13</xdr:row>
      <xdr:rowOff>142875</xdr:rowOff>
    </xdr:to>
    <xdr:sp macro="" textlink="">
      <xdr:nvSpPr>
        <xdr:cNvPr id="837432" name="Line 209"/>
        <xdr:cNvSpPr>
          <a:spLocks noChangeShapeType="1"/>
        </xdr:cNvSpPr>
      </xdr:nvSpPr>
      <xdr:spPr bwMode="auto">
        <a:xfrm>
          <a:off x="264318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12</xdr:row>
      <xdr:rowOff>76200</xdr:rowOff>
    </xdr:from>
    <xdr:to>
      <xdr:col>56</xdr:col>
      <xdr:colOff>123825</xdr:colOff>
      <xdr:row>12</xdr:row>
      <xdr:rowOff>76200</xdr:rowOff>
    </xdr:to>
    <xdr:sp macro="" textlink="">
      <xdr:nvSpPr>
        <xdr:cNvPr id="837433" name="Line 210"/>
        <xdr:cNvSpPr>
          <a:spLocks noChangeShapeType="1"/>
        </xdr:cNvSpPr>
      </xdr:nvSpPr>
      <xdr:spPr bwMode="auto">
        <a:xfrm flipH="1" flipV="1">
          <a:off x="263080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13</xdr:row>
      <xdr:rowOff>133350</xdr:rowOff>
    </xdr:from>
    <xdr:to>
      <xdr:col>56</xdr:col>
      <xdr:colOff>123825</xdr:colOff>
      <xdr:row>13</xdr:row>
      <xdr:rowOff>133350</xdr:rowOff>
    </xdr:to>
    <xdr:sp macro="" textlink="">
      <xdr:nvSpPr>
        <xdr:cNvPr id="837434" name="Line 211"/>
        <xdr:cNvSpPr>
          <a:spLocks noChangeShapeType="1"/>
        </xdr:cNvSpPr>
      </xdr:nvSpPr>
      <xdr:spPr bwMode="auto">
        <a:xfrm flipH="1">
          <a:off x="263080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14</xdr:row>
      <xdr:rowOff>76200</xdr:rowOff>
    </xdr:from>
    <xdr:to>
      <xdr:col>56</xdr:col>
      <xdr:colOff>123825</xdr:colOff>
      <xdr:row>15</xdr:row>
      <xdr:rowOff>142875</xdr:rowOff>
    </xdr:to>
    <xdr:sp macro="" textlink="">
      <xdr:nvSpPr>
        <xdr:cNvPr id="837435" name="Line 212"/>
        <xdr:cNvSpPr>
          <a:spLocks noChangeShapeType="1"/>
        </xdr:cNvSpPr>
      </xdr:nvSpPr>
      <xdr:spPr bwMode="auto">
        <a:xfrm>
          <a:off x="264318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</xdr:row>
      <xdr:rowOff>76200</xdr:rowOff>
    </xdr:from>
    <xdr:to>
      <xdr:col>56</xdr:col>
      <xdr:colOff>123825</xdr:colOff>
      <xdr:row>14</xdr:row>
      <xdr:rowOff>76200</xdr:rowOff>
    </xdr:to>
    <xdr:sp macro="" textlink="">
      <xdr:nvSpPr>
        <xdr:cNvPr id="837436" name="Line 213"/>
        <xdr:cNvSpPr>
          <a:spLocks noChangeShapeType="1"/>
        </xdr:cNvSpPr>
      </xdr:nvSpPr>
      <xdr:spPr bwMode="auto">
        <a:xfrm flipH="1" flipV="1">
          <a:off x="263080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133350</xdr:rowOff>
    </xdr:from>
    <xdr:to>
      <xdr:col>56</xdr:col>
      <xdr:colOff>123825</xdr:colOff>
      <xdr:row>15</xdr:row>
      <xdr:rowOff>133350</xdr:rowOff>
    </xdr:to>
    <xdr:sp macro="" textlink="">
      <xdr:nvSpPr>
        <xdr:cNvPr id="837437" name="Line 214"/>
        <xdr:cNvSpPr>
          <a:spLocks noChangeShapeType="1"/>
        </xdr:cNvSpPr>
      </xdr:nvSpPr>
      <xdr:spPr bwMode="auto">
        <a:xfrm flipH="1">
          <a:off x="263080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438" name="Line 216"/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439" name="Line 217"/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440" name="Line 218"/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441" name="Line 219"/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442" name="Line 220"/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443" name="Line 221"/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444" name="Line 224"/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445" name="Line 225"/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446" name="Line 226"/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447" name="Line 227"/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448" name="Line 228"/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449" name="Line 229"/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8</xdr:row>
      <xdr:rowOff>76200</xdr:rowOff>
    </xdr:from>
    <xdr:to>
      <xdr:col>86</xdr:col>
      <xdr:colOff>123825</xdr:colOff>
      <xdr:row>9</xdr:row>
      <xdr:rowOff>142875</xdr:rowOff>
    </xdr:to>
    <xdr:sp macro="" textlink="">
      <xdr:nvSpPr>
        <xdr:cNvPr id="837450" name="Line 230"/>
        <xdr:cNvSpPr>
          <a:spLocks noChangeShapeType="1"/>
        </xdr:cNvSpPr>
      </xdr:nvSpPr>
      <xdr:spPr bwMode="auto">
        <a:xfrm>
          <a:off x="441674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8</xdr:row>
      <xdr:rowOff>76200</xdr:rowOff>
    </xdr:from>
    <xdr:to>
      <xdr:col>86</xdr:col>
      <xdr:colOff>123825</xdr:colOff>
      <xdr:row>8</xdr:row>
      <xdr:rowOff>76200</xdr:rowOff>
    </xdr:to>
    <xdr:sp macro="" textlink="">
      <xdr:nvSpPr>
        <xdr:cNvPr id="837451" name="Line 231"/>
        <xdr:cNvSpPr>
          <a:spLocks noChangeShapeType="1"/>
        </xdr:cNvSpPr>
      </xdr:nvSpPr>
      <xdr:spPr bwMode="auto">
        <a:xfrm flipH="1" flipV="1">
          <a:off x="440436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9</xdr:row>
      <xdr:rowOff>133350</xdr:rowOff>
    </xdr:from>
    <xdr:to>
      <xdr:col>86</xdr:col>
      <xdr:colOff>123825</xdr:colOff>
      <xdr:row>9</xdr:row>
      <xdr:rowOff>133350</xdr:rowOff>
    </xdr:to>
    <xdr:sp macro="" textlink="">
      <xdr:nvSpPr>
        <xdr:cNvPr id="837452" name="Line 232"/>
        <xdr:cNvSpPr>
          <a:spLocks noChangeShapeType="1"/>
        </xdr:cNvSpPr>
      </xdr:nvSpPr>
      <xdr:spPr bwMode="auto">
        <a:xfrm flipH="1">
          <a:off x="440436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12</xdr:row>
      <xdr:rowOff>76200</xdr:rowOff>
    </xdr:from>
    <xdr:to>
      <xdr:col>86</xdr:col>
      <xdr:colOff>123825</xdr:colOff>
      <xdr:row>13</xdr:row>
      <xdr:rowOff>142875</xdr:rowOff>
    </xdr:to>
    <xdr:sp macro="" textlink="">
      <xdr:nvSpPr>
        <xdr:cNvPr id="837453" name="Line 233"/>
        <xdr:cNvSpPr>
          <a:spLocks noChangeShapeType="1"/>
        </xdr:cNvSpPr>
      </xdr:nvSpPr>
      <xdr:spPr bwMode="auto">
        <a:xfrm>
          <a:off x="441674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12</xdr:row>
      <xdr:rowOff>76200</xdr:rowOff>
    </xdr:from>
    <xdr:to>
      <xdr:col>86</xdr:col>
      <xdr:colOff>123825</xdr:colOff>
      <xdr:row>12</xdr:row>
      <xdr:rowOff>76200</xdr:rowOff>
    </xdr:to>
    <xdr:sp macro="" textlink="">
      <xdr:nvSpPr>
        <xdr:cNvPr id="837454" name="Line 234"/>
        <xdr:cNvSpPr>
          <a:spLocks noChangeShapeType="1"/>
        </xdr:cNvSpPr>
      </xdr:nvSpPr>
      <xdr:spPr bwMode="auto">
        <a:xfrm flipH="1" flipV="1">
          <a:off x="440436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13</xdr:row>
      <xdr:rowOff>133350</xdr:rowOff>
    </xdr:from>
    <xdr:to>
      <xdr:col>86</xdr:col>
      <xdr:colOff>123825</xdr:colOff>
      <xdr:row>13</xdr:row>
      <xdr:rowOff>133350</xdr:rowOff>
    </xdr:to>
    <xdr:sp macro="" textlink="">
      <xdr:nvSpPr>
        <xdr:cNvPr id="837455" name="Line 235"/>
        <xdr:cNvSpPr>
          <a:spLocks noChangeShapeType="1"/>
        </xdr:cNvSpPr>
      </xdr:nvSpPr>
      <xdr:spPr bwMode="auto">
        <a:xfrm flipH="1">
          <a:off x="440436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14</xdr:row>
      <xdr:rowOff>76200</xdr:rowOff>
    </xdr:from>
    <xdr:to>
      <xdr:col>86</xdr:col>
      <xdr:colOff>123825</xdr:colOff>
      <xdr:row>15</xdr:row>
      <xdr:rowOff>142875</xdr:rowOff>
    </xdr:to>
    <xdr:sp macro="" textlink="">
      <xdr:nvSpPr>
        <xdr:cNvPr id="837456" name="Line 236"/>
        <xdr:cNvSpPr>
          <a:spLocks noChangeShapeType="1"/>
        </xdr:cNvSpPr>
      </xdr:nvSpPr>
      <xdr:spPr bwMode="auto">
        <a:xfrm>
          <a:off x="441674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14</xdr:row>
      <xdr:rowOff>76200</xdr:rowOff>
    </xdr:from>
    <xdr:to>
      <xdr:col>86</xdr:col>
      <xdr:colOff>123825</xdr:colOff>
      <xdr:row>14</xdr:row>
      <xdr:rowOff>76200</xdr:rowOff>
    </xdr:to>
    <xdr:sp macro="" textlink="">
      <xdr:nvSpPr>
        <xdr:cNvPr id="837457" name="Line 237"/>
        <xdr:cNvSpPr>
          <a:spLocks noChangeShapeType="1"/>
        </xdr:cNvSpPr>
      </xdr:nvSpPr>
      <xdr:spPr bwMode="auto">
        <a:xfrm flipH="1" flipV="1">
          <a:off x="440436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15</xdr:row>
      <xdr:rowOff>133350</xdr:rowOff>
    </xdr:from>
    <xdr:to>
      <xdr:col>86</xdr:col>
      <xdr:colOff>123825</xdr:colOff>
      <xdr:row>15</xdr:row>
      <xdr:rowOff>133350</xdr:rowOff>
    </xdr:to>
    <xdr:sp macro="" textlink="">
      <xdr:nvSpPr>
        <xdr:cNvPr id="837458" name="Line 238"/>
        <xdr:cNvSpPr>
          <a:spLocks noChangeShapeType="1"/>
        </xdr:cNvSpPr>
      </xdr:nvSpPr>
      <xdr:spPr bwMode="auto">
        <a:xfrm flipH="1">
          <a:off x="440436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10</xdr:row>
      <xdr:rowOff>76200</xdr:rowOff>
    </xdr:from>
    <xdr:to>
      <xdr:col>86</xdr:col>
      <xdr:colOff>123825</xdr:colOff>
      <xdr:row>11</xdr:row>
      <xdr:rowOff>142875</xdr:rowOff>
    </xdr:to>
    <xdr:sp macro="" textlink="">
      <xdr:nvSpPr>
        <xdr:cNvPr id="837459" name="Line 240"/>
        <xdr:cNvSpPr>
          <a:spLocks noChangeShapeType="1"/>
        </xdr:cNvSpPr>
      </xdr:nvSpPr>
      <xdr:spPr bwMode="auto">
        <a:xfrm>
          <a:off x="441674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10</xdr:row>
      <xdr:rowOff>76200</xdr:rowOff>
    </xdr:from>
    <xdr:to>
      <xdr:col>86</xdr:col>
      <xdr:colOff>123825</xdr:colOff>
      <xdr:row>10</xdr:row>
      <xdr:rowOff>76200</xdr:rowOff>
    </xdr:to>
    <xdr:sp macro="" textlink="">
      <xdr:nvSpPr>
        <xdr:cNvPr id="837460" name="Line 241"/>
        <xdr:cNvSpPr>
          <a:spLocks noChangeShapeType="1"/>
        </xdr:cNvSpPr>
      </xdr:nvSpPr>
      <xdr:spPr bwMode="auto">
        <a:xfrm flipH="1" flipV="1">
          <a:off x="440436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133350</xdr:rowOff>
    </xdr:from>
    <xdr:to>
      <xdr:col>86</xdr:col>
      <xdr:colOff>123825</xdr:colOff>
      <xdr:row>11</xdr:row>
      <xdr:rowOff>133350</xdr:rowOff>
    </xdr:to>
    <xdr:sp macro="" textlink="">
      <xdr:nvSpPr>
        <xdr:cNvPr id="837461" name="Line 242"/>
        <xdr:cNvSpPr>
          <a:spLocks noChangeShapeType="1"/>
        </xdr:cNvSpPr>
      </xdr:nvSpPr>
      <xdr:spPr bwMode="auto">
        <a:xfrm flipH="1">
          <a:off x="440436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10</xdr:row>
      <xdr:rowOff>76200</xdr:rowOff>
    </xdr:from>
    <xdr:to>
      <xdr:col>56</xdr:col>
      <xdr:colOff>123825</xdr:colOff>
      <xdr:row>11</xdr:row>
      <xdr:rowOff>142875</xdr:rowOff>
    </xdr:to>
    <xdr:sp macro="" textlink="">
      <xdr:nvSpPr>
        <xdr:cNvPr id="837462" name="Line 243"/>
        <xdr:cNvSpPr>
          <a:spLocks noChangeShapeType="1"/>
        </xdr:cNvSpPr>
      </xdr:nvSpPr>
      <xdr:spPr bwMode="auto">
        <a:xfrm>
          <a:off x="264318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10</xdr:row>
      <xdr:rowOff>76200</xdr:rowOff>
    </xdr:from>
    <xdr:to>
      <xdr:col>56</xdr:col>
      <xdr:colOff>123825</xdr:colOff>
      <xdr:row>10</xdr:row>
      <xdr:rowOff>76200</xdr:rowOff>
    </xdr:to>
    <xdr:sp macro="" textlink="">
      <xdr:nvSpPr>
        <xdr:cNvPr id="837463" name="Line 244"/>
        <xdr:cNvSpPr>
          <a:spLocks noChangeShapeType="1"/>
        </xdr:cNvSpPr>
      </xdr:nvSpPr>
      <xdr:spPr bwMode="auto">
        <a:xfrm flipH="1" flipV="1">
          <a:off x="263080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11</xdr:row>
      <xdr:rowOff>133350</xdr:rowOff>
    </xdr:from>
    <xdr:to>
      <xdr:col>56</xdr:col>
      <xdr:colOff>123825</xdr:colOff>
      <xdr:row>11</xdr:row>
      <xdr:rowOff>133350</xdr:rowOff>
    </xdr:to>
    <xdr:sp macro="" textlink="">
      <xdr:nvSpPr>
        <xdr:cNvPr id="837464" name="Line 245"/>
        <xdr:cNvSpPr>
          <a:spLocks noChangeShapeType="1"/>
        </xdr:cNvSpPr>
      </xdr:nvSpPr>
      <xdr:spPr bwMode="auto">
        <a:xfrm flipH="1">
          <a:off x="263080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10</xdr:row>
      <xdr:rowOff>76200</xdr:rowOff>
    </xdr:from>
    <xdr:to>
      <xdr:col>50</xdr:col>
      <xdr:colOff>123825</xdr:colOff>
      <xdr:row>11</xdr:row>
      <xdr:rowOff>142875</xdr:rowOff>
    </xdr:to>
    <xdr:sp macro="" textlink="">
      <xdr:nvSpPr>
        <xdr:cNvPr id="837465" name="Line 246"/>
        <xdr:cNvSpPr>
          <a:spLocks noChangeShapeType="1"/>
        </xdr:cNvSpPr>
      </xdr:nvSpPr>
      <xdr:spPr bwMode="auto">
        <a:xfrm>
          <a:off x="23145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10</xdr:row>
      <xdr:rowOff>76200</xdr:rowOff>
    </xdr:from>
    <xdr:to>
      <xdr:col>50</xdr:col>
      <xdr:colOff>123825</xdr:colOff>
      <xdr:row>10</xdr:row>
      <xdr:rowOff>76200</xdr:rowOff>
    </xdr:to>
    <xdr:sp macro="" textlink="">
      <xdr:nvSpPr>
        <xdr:cNvPr id="837466" name="Line 247"/>
        <xdr:cNvSpPr>
          <a:spLocks noChangeShapeType="1"/>
        </xdr:cNvSpPr>
      </xdr:nvSpPr>
      <xdr:spPr bwMode="auto">
        <a:xfrm flipH="1" flipV="1">
          <a:off x="23021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133350</xdr:rowOff>
    </xdr:from>
    <xdr:to>
      <xdr:col>50</xdr:col>
      <xdr:colOff>123825</xdr:colOff>
      <xdr:row>11</xdr:row>
      <xdr:rowOff>133350</xdr:rowOff>
    </xdr:to>
    <xdr:sp macro="" textlink="">
      <xdr:nvSpPr>
        <xdr:cNvPr id="837467" name="Line 248"/>
        <xdr:cNvSpPr>
          <a:spLocks noChangeShapeType="1"/>
        </xdr:cNvSpPr>
      </xdr:nvSpPr>
      <xdr:spPr bwMode="auto">
        <a:xfrm flipH="1">
          <a:off x="23021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10</xdr:row>
      <xdr:rowOff>76200</xdr:rowOff>
    </xdr:from>
    <xdr:to>
      <xdr:col>44</xdr:col>
      <xdr:colOff>123825</xdr:colOff>
      <xdr:row>11</xdr:row>
      <xdr:rowOff>142875</xdr:rowOff>
    </xdr:to>
    <xdr:sp macro="" textlink="">
      <xdr:nvSpPr>
        <xdr:cNvPr id="837468" name="Line 249"/>
        <xdr:cNvSpPr>
          <a:spLocks noChangeShapeType="1"/>
        </xdr:cNvSpPr>
      </xdr:nvSpPr>
      <xdr:spPr bwMode="auto">
        <a:xfrm>
          <a:off x="200025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10</xdr:row>
      <xdr:rowOff>76200</xdr:rowOff>
    </xdr:from>
    <xdr:to>
      <xdr:col>44</xdr:col>
      <xdr:colOff>123825</xdr:colOff>
      <xdr:row>10</xdr:row>
      <xdr:rowOff>76200</xdr:rowOff>
    </xdr:to>
    <xdr:sp macro="" textlink="">
      <xdr:nvSpPr>
        <xdr:cNvPr id="837469" name="Line 250"/>
        <xdr:cNvSpPr>
          <a:spLocks noChangeShapeType="1"/>
        </xdr:cNvSpPr>
      </xdr:nvSpPr>
      <xdr:spPr bwMode="auto">
        <a:xfrm flipH="1" flipV="1">
          <a:off x="198786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11</xdr:row>
      <xdr:rowOff>133350</xdr:rowOff>
    </xdr:from>
    <xdr:to>
      <xdr:col>44</xdr:col>
      <xdr:colOff>123825</xdr:colOff>
      <xdr:row>11</xdr:row>
      <xdr:rowOff>133350</xdr:rowOff>
    </xdr:to>
    <xdr:sp macro="" textlink="">
      <xdr:nvSpPr>
        <xdr:cNvPr id="837470" name="Line 251"/>
        <xdr:cNvSpPr>
          <a:spLocks noChangeShapeType="1"/>
        </xdr:cNvSpPr>
      </xdr:nvSpPr>
      <xdr:spPr bwMode="auto">
        <a:xfrm flipH="1">
          <a:off x="198786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471" name="Line 264"/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472" name="Line 265"/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473" name="Line 266"/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474" name="Line 267"/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475" name="Line 268"/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476" name="Line 269"/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477" name="Line 272"/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478" name="Line 273"/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479" name="Line 274"/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480" name="Line 275"/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481" name="Line 276"/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482" name="Line 277"/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8</xdr:row>
      <xdr:rowOff>76200</xdr:rowOff>
    </xdr:from>
    <xdr:to>
      <xdr:col>62</xdr:col>
      <xdr:colOff>123825</xdr:colOff>
      <xdr:row>9</xdr:row>
      <xdr:rowOff>142875</xdr:rowOff>
    </xdr:to>
    <xdr:sp macro="" textlink="">
      <xdr:nvSpPr>
        <xdr:cNvPr id="837483" name="Line 278"/>
        <xdr:cNvSpPr>
          <a:spLocks noChangeShapeType="1"/>
        </xdr:cNvSpPr>
      </xdr:nvSpPr>
      <xdr:spPr bwMode="auto">
        <a:xfrm>
          <a:off x="297275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8</xdr:row>
      <xdr:rowOff>76200</xdr:rowOff>
    </xdr:from>
    <xdr:to>
      <xdr:col>62</xdr:col>
      <xdr:colOff>123825</xdr:colOff>
      <xdr:row>8</xdr:row>
      <xdr:rowOff>76200</xdr:rowOff>
    </xdr:to>
    <xdr:sp macro="" textlink="">
      <xdr:nvSpPr>
        <xdr:cNvPr id="837484" name="Line 279"/>
        <xdr:cNvSpPr>
          <a:spLocks noChangeShapeType="1"/>
        </xdr:cNvSpPr>
      </xdr:nvSpPr>
      <xdr:spPr bwMode="auto">
        <a:xfrm flipH="1" flipV="1">
          <a:off x="296037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9</xdr:row>
      <xdr:rowOff>133350</xdr:rowOff>
    </xdr:from>
    <xdr:to>
      <xdr:col>62</xdr:col>
      <xdr:colOff>123825</xdr:colOff>
      <xdr:row>9</xdr:row>
      <xdr:rowOff>133350</xdr:rowOff>
    </xdr:to>
    <xdr:sp macro="" textlink="">
      <xdr:nvSpPr>
        <xdr:cNvPr id="837485" name="Line 280"/>
        <xdr:cNvSpPr>
          <a:spLocks noChangeShapeType="1"/>
        </xdr:cNvSpPr>
      </xdr:nvSpPr>
      <xdr:spPr bwMode="auto">
        <a:xfrm flipH="1">
          <a:off x="296037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12</xdr:row>
      <xdr:rowOff>76200</xdr:rowOff>
    </xdr:from>
    <xdr:to>
      <xdr:col>62</xdr:col>
      <xdr:colOff>123825</xdr:colOff>
      <xdr:row>13</xdr:row>
      <xdr:rowOff>142875</xdr:rowOff>
    </xdr:to>
    <xdr:sp macro="" textlink="">
      <xdr:nvSpPr>
        <xdr:cNvPr id="837486" name="Line 281"/>
        <xdr:cNvSpPr>
          <a:spLocks noChangeShapeType="1"/>
        </xdr:cNvSpPr>
      </xdr:nvSpPr>
      <xdr:spPr bwMode="auto">
        <a:xfrm>
          <a:off x="297275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12</xdr:row>
      <xdr:rowOff>76200</xdr:rowOff>
    </xdr:from>
    <xdr:to>
      <xdr:col>62</xdr:col>
      <xdr:colOff>123825</xdr:colOff>
      <xdr:row>12</xdr:row>
      <xdr:rowOff>76200</xdr:rowOff>
    </xdr:to>
    <xdr:sp macro="" textlink="">
      <xdr:nvSpPr>
        <xdr:cNvPr id="837487" name="Line 282"/>
        <xdr:cNvSpPr>
          <a:spLocks noChangeShapeType="1"/>
        </xdr:cNvSpPr>
      </xdr:nvSpPr>
      <xdr:spPr bwMode="auto">
        <a:xfrm flipH="1" flipV="1">
          <a:off x="296037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13</xdr:row>
      <xdr:rowOff>133350</xdr:rowOff>
    </xdr:from>
    <xdr:to>
      <xdr:col>62</xdr:col>
      <xdr:colOff>123825</xdr:colOff>
      <xdr:row>13</xdr:row>
      <xdr:rowOff>133350</xdr:rowOff>
    </xdr:to>
    <xdr:sp macro="" textlink="">
      <xdr:nvSpPr>
        <xdr:cNvPr id="837488" name="Line 283"/>
        <xdr:cNvSpPr>
          <a:spLocks noChangeShapeType="1"/>
        </xdr:cNvSpPr>
      </xdr:nvSpPr>
      <xdr:spPr bwMode="auto">
        <a:xfrm flipH="1">
          <a:off x="296037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14</xdr:row>
      <xdr:rowOff>76200</xdr:rowOff>
    </xdr:from>
    <xdr:to>
      <xdr:col>62</xdr:col>
      <xdr:colOff>123825</xdr:colOff>
      <xdr:row>15</xdr:row>
      <xdr:rowOff>142875</xdr:rowOff>
    </xdr:to>
    <xdr:sp macro="" textlink="">
      <xdr:nvSpPr>
        <xdr:cNvPr id="837489" name="Line 284"/>
        <xdr:cNvSpPr>
          <a:spLocks noChangeShapeType="1"/>
        </xdr:cNvSpPr>
      </xdr:nvSpPr>
      <xdr:spPr bwMode="auto">
        <a:xfrm>
          <a:off x="297275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14</xdr:row>
      <xdr:rowOff>76200</xdr:rowOff>
    </xdr:from>
    <xdr:to>
      <xdr:col>62</xdr:col>
      <xdr:colOff>123825</xdr:colOff>
      <xdr:row>14</xdr:row>
      <xdr:rowOff>76200</xdr:rowOff>
    </xdr:to>
    <xdr:sp macro="" textlink="">
      <xdr:nvSpPr>
        <xdr:cNvPr id="837490" name="Line 285"/>
        <xdr:cNvSpPr>
          <a:spLocks noChangeShapeType="1"/>
        </xdr:cNvSpPr>
      </xdr:nvSpPr>
      <xdr:spPr bwMode="auto">
        <a:xfrm flipH="1" flipV="1">
          <a:off x="296037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15</xdr:row>
      <xdr:rowOff>133350</xdr:rowOff>
    </xdr:from>
    <xdr:to>
      <xdr:col>62</xdr:col>
      <xdr:colOff>123825</xdr:colOff>
      <xdr:row>15</xdr:row>
      <xdr:rowOff>133350</xdr:rowOff>
    </xdr:to>
    <xdr:sp macro="" textlink="">
      <xdr:nvSpPr>
        <xdr:cNvPr id="837491" name="Line 286"/>
        <xdr:cNvSpPr>
          <a:spLocks noChangeShapeType="1"/>
        </xdr:cNvSpPr>
      </xdr:nvSpPr>
      <xdr:spPr bwMode="auto">
        <a:xfrm flipH="1">
          <a:off x="296037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10</xdr:row>
      <xdr:rowOff>76200</xdr:rowOff>
    </xdr:from>
    <xdr:to>
      <xdr:col>62</xdr:col>
      <xdr:colOff>123825</xdr:colOff>
      <xdr:row>11</xdr:row>
      <xdr:rowOff>142875</xdr:rowOff>
    </xdr:to>
    <xdr:sp macro="" textlink="">
      <xdr:nvSpPr>
        <xdr:cNvPr id="837492" name="Line 288"/>
        <xdr:cNvSpPr>
          <a:spLocks noChangeShapeType="1"/>
        </xdr:cNvSpPr>
      </xdr:nvSpPr>
      <xdr:spPr bwMode="auto">
        <a:xfrm>
          <a:off x="297275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10</xdr:row>
      <xdr:rowOff>76200</xdr:rowOff>
    </xdr:from>
    <xdr:to>
      <xdr:col>62</xdr:col>
      <xdr:colOff>123825</xdr:colOff>
      <xdr:row>10</xdr:row>
      <xdr:rowOff>76200</xdr:rowOff>
    </xdr:to>
    <xdr:sp macro="" textlink="">
      <xdr:nvSpPr>
        <xdr:cNvPr id="837493" name="Line 289"/>
        <xdr:cNvSpPr>
          <a:spLocks noChangeShapeType="1"/>
        </xdr:cNvSpPr>
      </xdr:nvSpPr>
      <xdr:spPr bwMode="auto">
        <a:xfrm flipH="1" flipV="1">
          <a:off x="296037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11</xdr:row>
      <xdr:rowOff>133350</xdr:rowOff>
    </xdr:from>
    <xdr:to>
      <xdr:col>62</xdr:col>
      <xdr:colOff>123825</xdr:colOff>
      <xdr:row>11</xdr:row>
      <xdr:rowOff>133350</xdr:rowOff>
    </xdr:to>
    <xdr:sp macro="" textlink="">
      <xdr:nvSpPr>
        <xdr:cNvPr id="837494" name="Line 290"/>
        <xdr:cNvSpPr>
          <a:spLocks noChangeShapeType="1"/>
        </xdr:cNvSpPr>
      </xdr:nvSpPr>
      <xdr:spPr bwMode="auto">
        <a:xfrm flipH="1">
          <a:off x="296037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495" name="Line 291"/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496" name="Line 292"/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497" name="Line 293"/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498" name="Line 294"/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499" name="Line 295"/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500" name="Line 296"/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501" name="Line 299"/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502" name="Line 300"/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503" name="Line 301"/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504" name="Line 302"/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505" name="Line 303"/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506" name="Line 304"/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8</xdr:row>
      <xdr:rowOff>76200</xdr:rowOff>
    </xdr:from>
    <xdr:to>
      <xdr:col>68</xdr:col>
      <xdr:colOff>123825</xdr:colOff>
      <xdr:row>9</xdr:row>
      <xdr:rowOff>142875</xdr:rowOff>
    </xdr:to>
    <xdr:sp macro="" textlink="">
      <xdr:nvSpPr>
        <xdr:cNvPr id="837507" name="Line 305"/>
        <xdr:cNvSpPr>
          <a:spLocks noChangeShapeType="1"/>
        </xdr:cNvSpPr>
      </xdr:nvSpPr>
      <xdr:spPr bwMode="auto">
        <a:xfrm>
          <a:off x="332041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8</xdr:row>
      <xdr:rowOff>76200</xdr:rowOff>
    </xdr:from>
    <xdr:to>
      <xdr:col>68</xdr:col>
      <xdr:colOff>123825</xdr:colOff>
      <xdr:row>8</xdr:row>
      <xdr:rowOff>76200</xdr:rowOff>
    </xdr:to>
    <xdr:sp macro="" textlink="">
      <xdr:nvSpPr>
        <xdr:cNvPr id="837508" name="Line 306"/>
        <xdr:cNvSpPr>
          <a:spLocks noChangeShapeType="1"/>
        </xdr:cNvSpPr>
      </xdr:nvSpPr>
      <xdr:spPr bwMode="auto">
        <a:xfrm flipH="1" flipV="1">
          <a:off x="330803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9</xdr:row>
      <xdr:rowOff>133350</xdr:rowOff>
    </xdr:from>
    <xdr:to>
      <xdr:col>68</xdr:col>
      <xdr:colOff>123825</xdr:colOff>
      <xdr:row>9</xdr:row>
      <xdr:rowOff>133350</xdr:rowOff>
    </xdr:to>
    <xdr:sp macro="" textlink="">
      <xdr:nvSpPr>
        <xdr:cNvPr id="837509" name="Line 307"/>
        <xdr:cNvSpPr>
          <a:spLocks noChangeShapeType="1"/>
        </xdr:cNvSpPr>
      </xdr:nvSpPr>
      <xdr:spPr bwMode="auto">
        <a:xfrm flipH="1">
          <a:off x="330803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12</xdr:row>
      <xdr:rowOff>76200</xdr:rowOff>
    </xdr:from>
    <xdr:to>
      <xdr:col>68</xdr:col>
      <xdr:colOff>123825</xdr:colOff>
      <xdr:row>13</xdr:row>
      <xdr:rowOff>142875</xdr:rowOff>
    </xdr:to>
    <xdr:sp macro="" textlink="">
      <xdr:nvSpPr>
        <xdr:cNvPr id="837510" name="Line 308"/>
        <xdr:cNvSpPr>
          <a:spLocks noChangeShapeType="1"/>
        </xdr:cNvSpPr>
      </xdr:nvSpPr>
      <xdr:spPr bwMode="auto">
        <a:xfrm>
          <a:off x="332041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76200</xdr:rowOff>
    </xdr:from>
    <xdr:to>
      <xdr:col>68</xdr:col>
      <xdr:colOff>123825</xdr:colOff>
      <xdr:row>12</xdr:row>
      <xdr:rowOff>76200</xdr:rowOff>
    </xdr:to>
    <xdr:sp macro="" textlink="">
      <xdr:nvSpPr>
        <xdr:cNvPr id="837511" name="Line 309"/>
        <xdr:cNvSpPr>
          <a:spLocks noChangeShapeType="1"/>
        </xdr:cNvSpPr>
      </xdr:nvSpPr>
      <xdr:spPr bwMode="auto">
        <a:xfrm flipH="1" flipV="1">
          <a:off x="330803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13</xdr:row>
      <xdr:rowOff>133350</xdr:rowOff>
    </xdr:from>
    <xdr:to>
      <xdr:col>68</xdr:col>
      <xdr:colOff>123825</xdr:colOff>
      <xdr:row>13</xdr:row>
      <xdr:rowOff>133350</xdr:rowOff>
    </xdr:to>
    <xdr:sp macro="" textlink="">
      <xdr:nvSpPr>
        <xdr:cNvPr id="837512" name="Line 310"/>
        <xdr:cNvSpPr>
          <a:spLocks noChangeShapeType="1"/>
        </xdr:cNvSpPr>
      </xdr:nvSpPr>
      <xdr:spPr bwMode="auto">
        <a:xfrm flipH="1">
          <a:off x="330803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14</xdr:row>
      <xdr:rowOff>76200</xdr:rowOff>
    </xdr:from>
    <xdr:to>
      <xdr:col>68</xdr:col>
      <xdr:colOff>123825</xdr:colOff>
      <xdr:row>15</xdr:row>
      <xdr:rowOff>142875</xdr:rowOff>
    </xdr:to>
    <xdr:sp macro="" textlink="">
      <xdr:nvSpPr>
        <xdr:cNvPr id="837513" name="Line 311"/>
        <xdr:cNvSpPr>
          <a:spLocks noChangeShapeType="1"/>
        </xdr:cNvSpPr>
      </xdr:nvSpPr>
      <xdr:spPr bwMode="auto">
        <a:xfrm>
          <a:off x="332041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76200</xdr:rowOff>
    </xdr:from>
    <xdr:to>
      <xdr:col>68</xdr:col>
      <xdr:colOff>123825</xdr:colOff>
      <xdr:row>14</xdr:row>
      <xdr:rowOff>76200</xdr:rowOff>
    </xdr:to>
    <xdr:sp macro="" textlink="">
      <xdr:nvSpPr>
        <xdr:cNvPr id="837514" name="Line 312"/>
        <xdr:cNvSpPr>
          <a:spLocks noChangeShapeType="1"/>
        </xdr:cNvSpPr>
      </xdr:nvSpPr>
      <xdr:spPr bwMode="auto">
        <a:xfrm flipH="1" flipV="1">
          <a:off x="330803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15</xdr:row>
      <xdr:rowOff>133350</xdr:rowOff>
    </xdr:from>
    <xdr:to>
      <xdr:col>68</xdr:col>
      <xdr:colOff>123825</xdr:colOff>
      <xdr:row>15</xdr:row>
      <xdr:rowOff>133350</xdr:rowOff>
    </xdr:to>
    <xdr:sp macro="" textlink="">
      <xdr:nvSpPr>
        <xdr:cNvPr id="837515" name="Line 313"/>
        <xdr:cNvSpPr>
          <a:spLocks noChangeShapeType="1"/>
        </xdr:cNvSpPr>
      </xdr:nvSpPr>
      <xdr:spPr bwMode="auto">
        <a:xfrm flipH="1">
          <a:off x="330803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10</xdr:row>
      <xdr:rowOff>76200</xdr:rowOff>
    </xdr:from>
    <xdr:to>
      <xdr:col>68</xdr:col>
      <xdr:colOff>123825</xdr:colOff>
      <xdr:row>11</xdr:row>
      <xdr:rowOff>142875</xdr:rowOff>
    </xdr:to>
    <xdr:sp macro="" textlink="">
      <xdr:nvSpPr>
        <xdr:cNvPr id="837516" name="Line 315"/>
        <xdr:cNvSpPr>
          <a:spLocks noChangeShapeType="1"/>
        </xdr:cNvSpPr>
      </xdr:nvSpPr>
      <xdr:spPr bwMode="auto">
        <a:xfrm>
          <a:off x="332041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10</xdr:row>
      <xdr:rowOff>76200</xdr:rowOff>
    </xdr:from>
    <xdr:to>
      <xdr:col>68</xdr:col>
      <xdr:colOff>123825</xdr:colOff>
      <xdr:row>10</xdr:row>
      <xdr:rowOff>76200</xdr:rowOff>
    </xdr:to>
    <xdr:sp macro="" textlink="">
      <xdr:nvSpPr>
        <xdr:cNvPr id="837517" name="Line 316"/>
        <xdr:cNvSpPr>
          <a:spLocks noChangeShapeType="1"/>
        </xdr:cNvSpPr>
      </xdr:nvSpPr>
      <xdr:spPr bwMode="auto">
        <a:xfrm flipH="1" flipV="1">
          <a:off x="330803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11</xdr:row>
      <xdr:rowOff>133350</xdr:rowOff>
    </xdr:from>
    <xdr:to>
      <xdr:col>68</xdr:col>
      <xdr:colOff>123825</xdr:colOff>
      <xdr:row>11</xdr:row>
      <xdr:rowOff>133350</xdr:rowOff>
    </xdr:to>
    <xdr:sp macro="" textlink="">
      <xdr:nvSpPr>
        <xdr:cNvPr id="837518" name="Line 317"/>
        <xdr:cNvSpPr>
          <a:spLocks noChangeShapeType="1"/>
        </xdr:cNvSpPr>
      </xdr:nvSpPr>
      <xdr:spPr bwMode="auto">
        <a:xfrm flipH="1">
          <a:off x="330803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519" name="Line 318"/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520" name="Line 319"/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521" name="Line 320"/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522" name="Line 321"/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523" name="Line 322"/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524" name="Line 323"/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525" name="Line 326"/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526" name="Line 327"/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527" name="Line 328"/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528" name="Line 329"/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529" name="Line 330"/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530" name="Line 331"/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8</xdr:row>
      <xdr:rowOff>76200</xdr:rowOff>
    </xdr:from>
    <xdr:to>
      <xdr:col>74</xdr:col>
      <xdr:colOff>123825</xdr:colOff>
      <xdr:row>9</xdr:row>
      <xdr:rowOff>142875</xdr:rowOff>
    </xdr:to>
    <xdr:sp macro="" textlink="">
      <xdr:nvSpPr>
        <xdr:cNvPr id="837531" name="Line 332"/>
        <xdr:cNvSpPr>
          <a:spLocks noChangeShapeType="1"/>
        </xdr:cNvSpPr>
      </xdr:nvSpPr>
      <xdr:spPr bwMode="auto">
        <a:xfrm>
          <a:off x="366426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8</xdr:row>
      <xdr:rowOff>76200</xdr:rowOff>
    </xdr:from>
    <xdr:to>
      <xdr:col>74</xdr:col>
      <xdr:colOff>123825</xdr:colOff>
      <xdr:row>8</xdr:row>
      <xdr:rowOff>76200</xdr:rowOff>
    </xdr:to>
    <xdr:sp macro="" textlink="">
      <xdr:nvSpPr>
        <xdr:cNvPr id="837532" name="Line 333"/>
        <xdr:cNvSpPr>
          <a:spLocks noChangeShapeType="1"/>
        </xdr:cNvSpPr>
      </xdr:nvSpPr>
      <xdr:spPr bwMode="auto">
        <a:xfrm flipH="1" flipV="1">
          <a:off x="365188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9</xdr:row>
      <xdr:rowOff>133350</xdr:rowOff>
    </xdr:from>
    <xdr:to>
      <xdr:col>74</xdr:col>
      <xdr:colOff>123825</xdr:colOff>
      <xdr:row>9</xdr:row>
      <xdr:rowOff>133350</xdr:rowOff>
    </xdr:to>
    <xdr:sp macro="" textlink="">
      <xdr:nvSpPr>
        <xdr:cNvPr id="837533" name="Line 334"/>
        <xdr:cNvSpPr>
          <a:spLocks noChangeShapeType="1"/>
        </xdr:cNvSpPr>
      </xdr:nvSpPr>
      <xdr:spPr bwMode="auto">
        <a:xfrm flipH="1">
          <a:off x="365188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12</xdr:row>
      <xdr:rowOff>76200</xdr:rowOff>
    </xdr:from>
    <xdr:to>
      <xdr:col>74</xdr:col>
      <xdr:colOff>123825</xdr:colOff>
      <xdr:row>13</xdr:row>
      <xdr:rowOff>142875</xdr:rowOff>
    </xdr:to>
    <xdr:sp macro="" textlink="">
      <xdr:nvSpPr>
        <xdr:cNvPr id="837534" name="Line 335"/>
        <xdr:cNvSpPr>
          <a:spLocks noChangeShapeType="1"/>
        </xdr:cNvSpPr>
      </xdr:nvSpPr>
      <xdr:spPr bwMode="auto">
        <a:xfrm>
          <a:off x="366426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12</xdr:row>
      <xdr:rowOff>76200</xdr:rowOff>
    </xdr:from>
    <xdr:to>
      <xdr:col>74</xdr:col>
      <xdr:colOff>123825</xdr:colOff>
      <xdr:row>12</xdr:row>
      <xdr:rowOff>76200</xdr:rowOff>
    </xdr:to>
    <xdr:sp macro="" textlink="">
      <xdr:nvSpPr>
        <xdr:cNvPr id="837535" name="Line 336"/>
        <xdr:cNvSpPr>
          <a:spLocks noChangeShapeType="1"/>
        </xdr:cNvSpPr>
      </xdr:nvSpPr>
      <xdr:spPr bwMode="auto">
        <a:xfrm flipH="1" flipV="1">
          <a:off x="365188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13</xdr:row>
      <xdr:rowOff>133350</xdr:rowOff>
    </xdr:from>
    <xdr:to>
      <xdr:col>74</xdr:col>
      <xdr:colOff>123825</xdr:colOff>
      <xdr:row>13</xdr:row>
      <xdr:rowOff>133350</xdr:rowOff>
    </xdr:to>
    <xdr:sp macro="" textlink="">
      <xdr:nvSpPr>
        <xdr:cNvPr id="837536" name="Line 337"/>
        <xdr:cNvSpPr>
          <a:spLocks noChangeShapeType="1"/>
        </xdr:cNvSpPr>
      </xdr:nvSpPr>
      <xdr:spPr bwMode="auto">
        <a:xfrm flipH="1">
          <a:off x="365188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14</xdr:row>
      <xdr:rowOff>76200</xdr:rowOff>
    </xdr:from>
    <xdr:to>
      <xdr:col>74</xdr:col>
      <xdr:colOff>123825</xdr:colOff>
      <xdr:row>15</xdr:row>
      <xdr:rowOff>142875</xdr:rowOff>
    </xdr:to>
    <xdr:sp macro="" textlink="">
      <xdr:nvSpPr>
        <xdr:cNvPr id="837537" name="Line 338"/>
        <xdr:cNvSpPr>
          <a:spLocks noChangeShapeType="1"/>
        </xdr:cNvSpPr>
      </xdr:nvSpPr>
      <xdr:spPr bwMode="auto">
        <a:xfrm>
          <a:off x="366426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14</xdr:row>
      <xdr:rowOff>76200</xdr:rowOff>
    </xdr:from>
    <xdr:to>
      <xdr:col>74</xdr:col>
      <xdr:colOff>123825</xdr:colOff>
      <xdr:row>14</xdr:row>
      <xdr:rowOff>76200</xdr:rowOff>
    </xdr:to>
    <xdr:sp macro="" textlink="">
      <xdr:nvSpPr>
        <xdr:cNvPr id="837538" name="Line 339"/>
        <xdr:cNvSpPr>
          <a:spLocks noChangeShapeType="1"/>
        </xdr:cNvSpPr>
      </xdr:nvSpPr>
      <xdr:spPr bwMode="auto">
        <a:xfrm flipH="1" flipV="1">
          <a:off x="365188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15</xdr:row>
      <xdr:rowOff>133350</xdr:rowOff>
    </xdr:from>
    <xdr:to>
      <xdr:col>74</xdr:col>
      <xdr:colOff>123825</xdr:colOff>
      <xdr:row>15</xdr:row>
      <xdr:rowOff>133350</xdr:rowOff>
    </xdr:to>
    <xdr:sp macro="" textlink="">
      <xdr:nvSpPr>
        <xdr:cNvPr id="837539" name="Line 340"/>
        <xdr:cNvSpPr>
          <a:spLocks noChangeShapeType="1"/>
        </xdr:cNvSpPr>
      </xdr:nvSpPr>
      <xdr:spPr bwMode="auto">
        <a:xfrm flipH="1">
          <a:off x="365188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10</xdr:row>
      <xdr:rowOff>76200</xdr:rowOff>
    </xdr:from>
    <xdr:to>
      <xdr:col>74</xdr:col>
      <xdr:colOff>123825</xdr:colOff>
      <xdr:row>11</xdr:row>
      <xdr:rowOff>142875</xdr:rowOff>
    </xdr:to>
    <xdr:sp macro="" textlink="">
      <xdr:nvSpPr>
        <xdr:cNvPr id="837540" name="Line 342"/>
        <xdr:cNvSpPr>
          <a:spLocks noChangeShapeType="1"/>
        </xdr:cNvSpPr>
      </xdr:nvSpPr>
      <xdr:spPr bwMode="auto">
        <a:xfrm>
          <a:off x="366426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10</xdr:row>
      <xdr:rowOff>76200</xdr:rowOff>
    </xdr:from>
    <xdr:to>
      <xdr:col>74</xdr:col>
      <xdr:colOff>123825</xdr:colOff>
      <xdr:row>10</xdr:row>
      <xdr:rowOff>76200</xdr:rowOff>
    </xdr:to>
    <xdr:sp macro="" textlink="">
      <xdr:nvSpPr>
        <xdr:cNvPr id="837541" name="Line 343"/>
        <xdr:cNvSpPr>
          <a:spLocks noChangeShapeType="1"/>
        </xdr:cNvSpPr>
      </xdr:nvSpPr>
      <xdr:spPr bwMode="auto">
        <a:xfrm flipH="1" flipV="1">
          <a:off x="365188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11</xdr:row>
      <xdr:rowOff>133350</xdr:rowOff>
    </xdr:from>
    <xdr:to>
      <xdr:col>74</xdr:col>
      <xdr:colOff>123825</xdr:colOff>
      <xdr:row>11</xdr:row>
      <xdr:rowOff>133350</xdr:rowOff>
    </xdr:to>
    <xdr:sp macro="" textlink="">
      <xdr:nvSpPr>
        <xdr:cNvPr id="837542" name="Line 344"/>
        <xdr:cNvSpPr>
          <a:spLocks noChangeShapeType="1"/>
        </xdr:cNvSpPr>
      </xdr:nvSpPr>
      <xdr:spPr bwMode="auto">
        <a:xfrm flipH="1">
          <a:off x="365188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543" name="Line 345"/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544" name="Line 346"/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545" name="Line 347"/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546" name="Line 348"/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547" name="Line 349"/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548" name="Line 350"/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549" name="Line 353"/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550" name="Line 354"/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551" name="Line 355"/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552" name="Line 356"/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553" name="Line 357"/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554" name="Line 358"/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8</xdr:row>
      <xdr:rowOff>76200</xdr:rowOff>
    </xdr:from>
    <xdr:to>
      <xdr:col>80</xdr:col>
      <xdr:colOff>123825</xdr:colOff>
      <xdr:row>9</xdr:row>
      <xdr:rowOff>142875</xdr:rowOff>
    </xdr:to>
    <xdr:sp macro="" textlink="">
      <xdr:nvSpPr>
        <xdr:cNvPr id="837555" name="Line 359"/>
        <xdr:cNvSpPr>
          <a:spLocks noChangeShapeType="1"/>
        </xdr:cNvSpPr>
      </xdr:nvSpPr>
      <xdr:spPr bwMode="auto">
        <a:xfrm>
          <a:off x="404145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8</xdr:row>
      <xdr:rowOff>76200</xdr:rowOff>
    </xdr:from>
    <xdr:to>
      <xdr:col>80</xdr:col>
      <xdr:colOff>123825</xdr:colOff>
      <xdr:row>8</xdr:row>
      <xdr:rowOff>76200</xdr:rowOff>
    </xdr:to>
    <xdr:sp macro="" textlink="">
      <xdr:nvSpPr>
        <xdr:cNvPr id="837556" name="Line 360"/>
        <xdr:cNvSpPr>
          <a:spLocks noChangeShapeType="1"/>
        </xdr:cNvSpPr>
      </xdr:nvSpPr>
      <xdr:spPr bwMode="auto">
        <a:xfrm flipH="1" flipV="1">
          <a:off x="402907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9</xdr:row>
      <xdr:rowOff>133350</xdr:rowOff>
    </xdr:from>
    <xdr:to>
      <xdr:col>80</xdr:col>
      <xdr:colOff>123825</xdr:colOff>
      <xdr:row>9</xdr:row>
      <xdr:rowOff>133350</xdr:rowOff>
    </xdr:to>
    <xdr:sp macro="" textlink="">
      <xdr:nvSpPr>
        <xdr:cNvPr id="837557" name="Line 361"/>
        <xdr:cNvSpPr>
          <a:spLocks noChangeShapeType="1"/>
        </xdr:cNvSpPr>
      </xdr:nvSpPr>
      <xdr:spPr bwMode="auto">
        <a:xfrm flipH="1">
          <a:off x="402907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12</xdr:row>
      <xdr:rowOff>76200</xdr:rowOff>
    </xdr:from>
    <xdr:to>
      <xdr:col>80</xdr:col>
      <xdr:colOff>123825</xdr:colOff>
      <xdr:row>13</xdr:row>
      <xdr:rowOff>142875</xdr:rowOff>
    </xdr:to>
    <xdr:sp macro="" textlink="">
      <xdr:nvSpPr>
        <xdr:cNvPr id="837558" name="Line 362"/>
        <xdr:cNvSpPr>
          <a:spLocks noChangeShapeType="1"/>
        </xdr:cNvSpPr>
      </xdr:nvSpPr>
      <xdr:spPr bwMode="auto">
        <a:xfrm>
          <a:off x="404145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12</xdr:row>
      <xdr:rowOff>76200</xdr:rowOff>
    </xdr:from>
    <xdr:to>
      <xdr:col>80</xdr:col>
      <xdr:colOff>123825</xdr:colOff>
      <xdr:row>12</xdr:row>
      <xdr:rowOff>76200</xdr:rowOff>
    </xdr:to>
    <xdr:sp macro="" textlink="">
      <xdr:nvSpPr>
        <xdr:cNvPr id="837559" name="Line 363"/>
        <xdr:cNvSpPr>
          <a:spLocks noChangeShapeType="1"/>
        </xdr:cNvSpPr>
      </xdr:nvSpPr>
      <xdr:spPr bwMode="auto">
        <a:xfrm flipH="1" flipV="1">
          <a:off x="402907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13</xdr:row>
      <xdr:rowOff>133350</xdr:rowOff>
    </xdr:from>
    <xdr:to>
      <xdr:col>80</xdr:col>
      <xdr:colOff>123825</xdr:colOff>
      <xdr:row>13</xdr:row>
      <xdr:rowOff>133350</xdr:rowOff>
    </xdr:to>
    <xdr:sp macro="" textlink="">
      <xdr:nvSpPr>
        <xdr:cNvPr id="837560" name="Line 364"/>
        <xdr:cNvSpPr>
          <a:spLocks noChangeShapeType="1"/>
        </xdr:cNvSpPr>
      </xdr:nvSpPr>
      <xdr:spPr bwMode="auto">
        <a:xfrm flipH="1">
          <a:off x="402907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14</xdr:row>
      <xdr:rowOff>76200</xdr:rowOff>
    </xdr:from>
    <xdr:to>
      <xdr:col>80</xdr:col>
      <xdr:colOff>123825</xdr:colOff>
      <xdr:row>15</xdr:row>
      <xdr:rowOff>142875</xdr:rowOff>
    </xdr:to>
    <xdr:sp macro="" textlink="">
      <xdr:nvSpPr>
        <xdr:cNvPr id="837561" name="Line 365"/>
        <xdr:cNvSpPr>
          <a:spLocks noChangeShapeType="1"/>
        </xdr:cNvSpPr>
      </xdr:nvSpPr>
      <xdr:spPr bwMode="auto">
        <a:xfrm>
          <a:off x="404145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14</xdr:row>
      <xdr:rowOff>76200</xdr:rowOff>
    </xdr:from>
    <xdr:to>
      <xdr:col>80</xdr:col>
      <xdr:colOff>123825</xdr:colOff>
      <xdr:row>14</xdr:row>
      <xdr:rowOff>76200</xdr:rowOff>
    </xdr:to>
    <xdr:sp macro="" textlink="">
      <xdr:nvSpPr>
        <xdr:cNvPr id="837562" name="Line 366"/>
        <xdr:cNvSpPr>
          <a:spLocks noChangeShapeType="1"/>
        </xdr:cNvSpPr>
      </xdr:nvSpPr>
      <xdr:spPr bwMode="auto">
        <a:xfrm flipH="1" flipV="1">
          <a:off x="402907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15</xdr:row>
      <xdr:rowOff>133350</xdr:rowOff>
    </xdr:from>
    <xdr:to>
      <xdr:col>80</xdr:col>
      <xdr:colOff>123825</xdr:colOff>
      <xdr:row>15</xdr:row>
      <xdr:rowOff>133350</xdr:rowOff>
    </xdr:to>
    <xdr:sp macro="" textlink="">
      <xdr:nvSpPr>
        <xdr:cNvPr id="837563" name="Line 367"/>
        <xdr:cNvSpPr>
          <a:spLocks noChangeShapeType="1"/>
        </xdr:cNvSpPr>
      </xdr:nvSpPr>
      <xdr:spPr bwMode="auto">
        <a:xfrm flipH="1">
          <a:off x="402907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10</xdr:row>
      <xdr:rowOff>76200</xdr:rowOff>
    </xdr:from>
    <xdr:to>
      <xdr:col>80</xdr:col>
      <xdr:colOff>123825</xdr:colOff>
      <xdr:row>11</xdr:row>
      <xdr:rowOff>142875</xdr:rowOff>
    </xdr:to>
    <xdr:sp macro="" textlink="">
      <xdr:nvSpPr>
        <xdr:cNvPr id="837564" name="Line 369"/>
        <xdr:cNvSpPr>
          <a:spLocks noChangeShapeType="1"/>
        </xdr:cNvSpPr>
      </xdr:nvSpPr>
      <xdr:spPr bwMode="auto">
        <a:xfrm>
          <a:off x="404145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10</xdr:row>
      <xdr:rowOff>76200</xdr:rowOff>
    </xdr:from>
    <xdr:to>
      <xdr:col>80</xdr:col>
      <xdr:colOff>123825</xdr:colOff>
      <xdr:row>10</xdr:row>
      <xdr:rowOff>76200</xdr:rowOff>
    </xdr:to>
    <xdr:sp macro="" textlink="">
      <xdr:nvSpPr>
        <xdr:cNvPr id="837565" name="Line 370"/>
        <xdr:cNvSpPr>
          <a:spLocks noChangeShapeType="1"/>
        </xdr:cNvSpPr>
      </xdr:nvSpPr>
      <xdr:spPr bwMode="auto">
        <a:xfrm flipH="1" flipV="1">
          <a:off x="402907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11</xdr:row>
      <xdr:rowOff>133350</xdr:rowOff>
    </xdr:from>
    <xdr:to>
      <xdr:col>80</xdr:col>
      <xdr:colOff>123825</xdr:colOff>
      <xdr:row>11</xdr:row>
      <xdr:rowOff>133350</xdr:rowOff>
    </xdr:to>
    <xdr:sp macro="" textlink="">
      <xdr:nvSpPr>
        <xdr:cNvPr id="837566" name="Line 371"/>
        <xdr:cNvSpPr>
          <a:spLocks noChangeShapeType="1"/>
        </xdr:cNvSpPr>
      </xdr:nvSpPr>
      <xdr:spPr bwMode="auto">
        <a:xfrm flipH="1">
          <a:off x="402907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7567" name="Line 216"/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7568" name="Line 217"/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7569" name="Line 218"/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7570" name="Line 219"/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7571" name="Line 220"/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7572" name="Line 221"/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7573" name="Line 224"/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7574" name="Line 225"/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7575" name="Line 226"/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7576" name="Line 227"/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7577" name="Line 228"/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7578" name="Line 229"/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8</xdr:row>
      <xdr:rowOff>76200</xdr:rowOff>
    </xdr:from>
    <xdr:to>
      <xdr:col>98</xdr:col>
      <xdr:colOff>123825</xdr:colOff>
      <xdr:row>9</xdr:row>
      <xdr:rowOff>142875</xdr:rowOff>
    </xdr:to>
    <xdr:sp macro="" textlink="">
      <xdr:nvSpPr>
        <xdr:cNvPr id="837579" name="Line 230"/>
        <xdr:cNvSpPr>
          <a:spLocks noChangeShapeType="1"/>
        </xdr:cNvSpPr>
      </xdr:nvSpPr>
      <xdr:spPr bwMode="auto">
        <a:xfrm>
          <a:off x="51092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8</xdr:row>
      <xdr:rowOff>76200</xdr:rowOff>
    </xdr:from>
    <xdr:to>
      <xdr:col>98</xdr:col>
      <xdr:colOff>123825</xdr:colOff>
      <xdr:row>8</xdr:row>
      <xdr:rowOff>76200</xdr:rowOff>
    </xdr:to>
    <xdr:sp macro="" textlink="">
      <xdr:nvSpPr>
        <xdr:cNvPr id="837580" name="Line 231"/>
        <xdr:cNvSpPr>
          <a:spLocks noChangeShapeType="1"/>
        </xdr:cNvSpPr>
      </xdr:nvSpPr>
      <xdr:spPr bwMode="auto">
        <a:xfrm flipH="1" flipV="1">
          <a:off x="50968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9</xdr:row>
      <xdr:rowOff>133350</xdr:rowOff>
    </xdr:from>
    <xdr:to>
      <xdr:col>98</xdr:col>
      <xdr:colOff>123825</xdr:colOff>
      <xdr:row>9</xdr:row>
      <xdr:rowOff>133350</xdr:rowOff>
    </xdr:to>
    <xdr:sp macro="" textlink="">
      <xdr:nvSpPr>
        <xdr:cNvPr id="837581" name="Line 232"/>
        <xdr:cNvSpPr>
          <a:spLocks noChangeShapeType="1"/>
        </xdr:cNvSpPr>
      </xdr:nvSpPr>
      <xdr:spPr bwMode="auto">
        <a:xfrm flipH="1">
          <a:off x="50968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12</xdr:row>
      <xdr:rowOff>76200</xdr:rowOff>
    </xdr:from>
    <xdr:to>
      <xdr:col>98</xdr:col>
      <xdr:colOff>123825</xdr:colOff>
      <xdr:row>13</xdr:row>
      <xdr:rowOff>142875</xdr:rowOff>
    </xdr:to>
    <xdr:sp macro="" textlink="">
      <xdr:nvSpPr>
        <xdr:cNvPr id="837582" name="Line 233"/>
        <xdr:cNvSpPr>
          <a:spLocks noChangeShapeType="1"/>
        </xdr:cNvSpPr>
      </xdr:nvSpPr>
      <xdr:spPr bwMode="auto">
        <a:xfrm>
          <a:off x="51092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12</xdr:row>
      <xdr:rowOff>76200</xdr:rowOff>
    </xdr:from>
    <xdr:to>
      <xdr:col>98</xdr:col>
      <xdr:colOff>123825</xdr:colOff>
      <xdr:row>12</xdr:row>
      <xdr:rowOff>76200</xdr:rowOff>
    </xdr:to>
    <xdr:sp macro="" textlink="">
      <xdr:nvSpPr>
        <xdr:cNvPr id="837583" name="Line 234"/>
        <xdr:cNvSpPr>
          <a:spLocks noChangeShapeType="1"/>
        </xdr:cNvSpPr>
      </xdr:nvSpPr>
      <xdr:spPr bwMode="auto">
        <a:xfrm flipH="1" flipV="1">
          <a:off x="50968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13</xdr:row>
      <xdr:rowOff>133350</xdr:rowOff>
    </xdr:from>
    <xdr:to>
      <xdr:col>98</xdr:col>
      <xdr:colOff>123825</xdr:colOff>
      <xdr:row>13</xdr:row>
      <xdr:rowOff>133350</xdr:rowOff>
    </xdr:to>
    <xdr:sp macro="" textlink="">
      <xdr:nvSpPr>
        <xdr:cNvPr id="837584" name="Line 235"/>
        <xdr:cNvSpPr>
          <a:spLocks noChangeShapeType="1"/>
        </xdr:cNvSpPr>
      </xdr:nvSpPr>
      <xdr:spPr bwMode="auto">
        <a:xfrm flipH="1">
          <a:off x="50968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14</xdr:row>
      <xdr:rowOff>76200</xdr:rowOff>
    </xdr:from>
    <xdr:to>
      <xdr:col>98</xdr:col>
      <xdr:colOff>123825</xdr:colOff>
      <xdr:row>15</xdr:row>
      <xdr:rowOff>142875</xdr:rowOff>
    </xdr:to>
    <xdr:sp macro="" textlink="">
      <xdr:nvSpPr>
        <xdr:cNvPr id="837585" name="Line 236"/>
        <xdr:cNvSpPr>
          <a:spLocks noChangeShapeType="1"/>
        </xdr:cNvSpPr>
      </xdr:nvSpPr>
      <xdr:spPr bwMode="auto">
        <a:xfrm>
          <a:off x="51092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14</xdr:row>
      <xdr:rowOff>76200</xdr:rowOff>
    </xdr:from>
    <xdr:to>
      <xdr:col>98</xdr:col>
      <xdr:colOff>123825</xdr:colOff>
      <xdr:row>14</xdr:row>
      <xdr:rowOff>76200</xdr:rowOff>
    </xdr:to>
    <xdr:sp macro="" textlink="">
      <xdr:nvSpPr>
        <xdr:cNvPr id="837586" name="Line 237"/>
        <xdr:cNvSpPr>
          <a:spLocks noChangeShapeType="1"/>
        </xdr:cNvSpPr>
      </xdr:nvSpPr>
      <xdr:spPr bwMode="auto">
        <a:xfrm flipH="1" flipV="1">
          <a:off x="50968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15</xdr:row>
      <xdr:rowOff>133350</xdr:rowOff>
    </xdr:from>
    <xdr:to>
      <xdr:col>98</xdr:col>
      <xdr:colOff>123825</xdr:colOff>
      <xdr:row>15</xdr:row>
      <xdr:rowOff>133350</xdr:rowOff>
    </xdr:to>
    <xdr:sp macro="" textlink="">
      <xdr:nvSpPr>
        <xdr:cNvPr id="837587" name="Line 238"/>
        <xdr:cNvSpPr>
          <a:spLocks noChangeShapeType="1"/>
        </xdr:cNvSpPr>
      </xdr:nvSpPr>
      <xdr:spPr bwMode="auto">
        <a:xfrm flipH="1">
          <a:off x="50968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10</xdr:row>
      <xdr:rowOff>76200</xdr:rowOff>
    </xdr:from>
    <xdr:to>
      <xdr:col>98</xdr:col>
      <xdr:colOff>123825</xdr:colOff>
      <xdr:row>11</xdr:row>
      <xdr:rowOff>142875</xdr:rowOff>
    </xdr:to>
    <xdr:sp macro="" textlink="">
      <xdr:nvSpPr>
        <xdr:cNvPr id="837588" name="Line 240"/>
        <xdr:cNvSpPr>
          <a:spLocks noChangeShapeType="1"/>
        </xdr:cNvSpPr>
      </xdr:nvSpPr>
      <xdr:spPr bwMode="auto">
        <a:xfrm>
          <a:off x="510921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10</xdr:row>
      <xdr:rowOff>76200</xdr:rowOff>
    </xdr:from>
    <xdr:to>
      <xdr:col>98</xdr:col>
      <xdr:colOff>123825</xdr:colOff>
      <xdr:row>10</xdr:row>
      <xdr:rowOff>76200</xdr:rowOff>
    </xdr:to>
    <xdr:sp macro="" textlink="">
      <xdr:nvSpPr>
        <xdr:cNvPr id="837589" name="Line 241"/>
        <xdr:cNvSpPr>
          <a:spLocks noChangeShapeType="1"/>
        </xdr:cNvSpPr>
      </xdr:nvSpPr>
      <xdr:spPr bwMode="auto">
        <a:xfrm flipH="1" flipV="1">
          <a:off x="509682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11</xdr:row>
      <xdr:rowOff>133350</xdr:rowOff>
    </xdr:from>
    <xdr:to>
      <xdr:col>98</xdr:col>
      <xdr:colOff>123825</xdr:colOff>
      <xdr:row>11</xdr:row>
      <xdr:rowOff>133350</xdr:rowOff>
    </xdr:to>
    <xdr:sp macro="" textlink="">
      <xdr:nvSpPr>
        <xdr:cNvPr id="837590" name="Line 242"/>
        <xdr:cNvSpPr>
          <a:spLocks noChangeShapeType="1"/>
        </xdr:cNvSpPr>
      </xdr:nvSpPr>
      <xdr:spPr bwMode="auto">
        <a:xfrm flipH="1">
          <a:off x="509682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7591" name="Line 216"/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7592" name="Line 217"/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7593" name="Line 218"/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7594" name="Line 219"/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7595" name="Line 220"/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7596" name="Line 221"/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7597" name="Line 224"/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7598" name="Line 225"/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7599" name="Line 226"/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7600" name="Line 227"/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7601" name="Line 228"/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7602" name="Line 229"/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8</xdr:row>
      <xdr:rowOff>76200</xdr:rowOff>
    </xdr:from>
    <xdr:to>
      <xdr:col>92</xdr:col>
      <xdr:colOff>123825</xdr:colOff>
      <xdr:row>9</xdr:row>
      <xdr:rowOff>142875</xdr:rowOff>
    </xdr:to>
    <xdr:sp macro="" textlink="">
      <xdr:nvSpPr>
        <xdr:cNvPr id="837603" name="Line 230"/>
        <xdr:cNvSpPr>
          <a:spLocks noChangeShapeType="1"/>
        </xdr:cNvSpPr>
      </xdr:nvSpPr>
      <xdr:spPr bwMode="auto">
        <a:xfrm>
          <a:off x="479583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8</xdr:row>
      <xdr:rowOff>76200</xdr:rowOff>
    </xdr:from>
    <xdr:to>
      <xdr:col>92</xdr:col>
      <xdr:colOff>123825</xdr:colOff>
      <xdr:row>8</xdr:row>
      <xdr:rowOff>76200</xdr:rowOff>
    </xdr:to>
    <xdr:sp macro="" textlink="">
      <xdr:nvSpPr>
        <xdr:cNvPr id="837604" name="Line 231"/>
        <xdr:cNvSpPr>
          <a:spLocks noChangeShapeType="1"/>
        </xdr:cNvSpPr>
      </xdr:nvSpPr>
      <xdr:spPr bwMode="auto">
        <a:xfrm flipH="1" flipV="1">
          <a:off x="478345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9</xdr:row>
      <xdr:rowOff>133350</xdr:rowOff>
    </xdr:from>
    <xdr:to>
      <xdr:col>92</xdr:col>
      <xdr:colOff>123825</xdr:colOff>
      <xdr:row>9</xdr:row>
      <xdr:rowOff>133350</xdr:rowOff>
    </xdr:to>
    <xdr:sp macro="" textlink="">
      <xdr:nvSpPr>
        <xdr:cNvPr id="837605" name="Line 232"/>
        <xdr:cNvSpPr>
          <a:spLocks noChangeShapeType="1"/>
        </xdr:cNvSpPr>
      </xdr:nvSpPr>
      <xdr:spPr bwMode="auto">
        <a:xfrm flipH="1">
          <a:off x="478345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12</xdr:row>
      <xdr:rowOff>76200</xdr:rowOff>
    </xdr:from>
    <xdr:to>
      <xdr:col>92</xdr:col>
      <xdr:colOff>123825</xdr:colOff>
      <xdr:row>13</xdr:row>
      <xdr:rowOff>142875</xdr:rowOff>
    </xdr:to>
    <xdr:sp macro="" textlink="">
      <xdr:nvSpPr>
        <xdr:cNvPr id="837606" name="Line 233"/>
        <xdr:cNvSpPr>
          <a:spLocks noChangeShapeType="1"/>
        </xdr:cNvSpPr>
      </xdr:nvSpPr>
      <xdr:spPr bwMode="auto">
        <a:xfrm>
          <a:off x="479583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12</xdr:row>
      <xdr:rowOff>76200</xdr:rowOff>
    </xdr:from>
    <xdr:to>
      <xdr:col>92</xdr:col>
      <xdr:colOff>123825</xdr:colOff>
      <xdr:row>12</xdr:row>
      <xdr:rowOff>76200</xdr:rowOff>
    </xdr:to>
    <xdr:sp macro="" textlink="">
      <xdr:nvSpPr>
        <xdr:cNvPr id="837607" name="Line 234"/>
        <xdr:cNvSpPr>
          <a:spLocks noChangeShapeType="1"/>
        </xdr:cNvSpPr>
      </xdr:nvSpPr>
      <xdr:spPr bwMode="auto">
        <a:xfrm flipH="1" flipV="1">
          <a:off x="478345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13</xdr:row>
      <xdr:rowOff>133350</xdr:rowOff>
    </xdr:from>
    <xdr:to>
      <xdr:col>92</xdr:col>
      <xdr:colOff>123825</xdr:colOff>
      <xdr:row>13</xdr:row>
      <xdr:rowOff>133350</xdr:rowOff>
    </xdr:to>
    <xdr:sp macro="" textlink="">
      <xdr:nvSpPr>
        <xdr:cNvPr id="837608" name="Line 235"/>
        <xdr:cNvSpPr>
          <a:spLocks noChangeShapeType="1"/>
        </xdr:cNvSpPr>
      </xdr:nvSpPr>
      <xdr:spPr bwMode="auto">
        <a:xfrm flipH="1">
          <a:off x="478345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14</xdr:row>
      <xdr:rowOff>76200</xdr:rowOff>
    </xdr:from>
    <xdr:to>
      <xdr:col>92</xdr:col>
      <xdr:colOff>123825</xdr:colOff>
      <xdr:row>15</xdr:row>
      <xdr:rowOff>142875</xdr:rowOff>
    </xdr:to>
    <xdr:sp macro="" textlink="">
      <xdr:nvSpPr>
        <xdr:cNvPr id="837609" name="Line 236"/>
        <xdr:cNvSpPr>
          <a:spLocks noChangeShapeType="1"/>
        </xdr:cNvSpPr>
      </xdr:nvSpPr>
      <xdr:spPr bwMode="auto">
        <a:xfrm>
          <a:off x="479583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14</xdr:row>
      <xdr:rowOff>76200</xdr:rowOff>
    </xdr:from>
    <xdr:to>
      <xdr:col>92</xdr:col>
      <xdr:colOff>123825</xdr:colOff>
      <xdr:row>14</xdr:row>
      <xdr:rowOff>76200</xdr:rowOff>
    </xdr:to>
    <xdr:sp macro="" textlink="">
      <xdr:nvSpPr>
        <xdr:cNvPr id="837610" name="Line 237"/>
        <xdr:cNvSpPr>
          <a:spLocks noChangeShapeType="1"/>
        </xdr:cNvSpPr>
      </xdr:nvSpPr>
      <xdr:spPr bwMode="auto">
        <a:xfrm flipH="1" flipV="1">
          <a:off x="478345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15</xdr:row>
      <xdr:rowOff>133350</xdr:rowOff>
    </xdr:from>
    <xdr:to>
      <xdr:col>92</xdr:col>
      <xdr:colOff>123825</xdr:colOff>
      <xdr:row>15</xdr:row>
      <xdr:rowOff>133350</xdr:rowOff>
    </xdr:to>
    <xdr:sp macro="" textlink="">
      <xdr:nvSpPr>
        <xdr:cNvPr id="837611" name="Line 238"/>
        <xdr:cNvSpPr>
          <a:spLocks noChangeShapeType="1"/>
        </xdr:cNvSpPr>
      </xdr:nvSpPr>
      <xdr:spPr bwMode="auto">
        <a:xfrm flipH="1">
          <a:off x="478345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10</xdr:row>
      <xdr:rowOff>76200</xdr:rowOff>
    </xdr:from>
    <xdr:to>
      <xdr:col>92</xdr:col>
      <xdr:colOff>123825</xdr:colOff>
      <xdr:row>11</xdr:row>
      <xdr:rowOff>142875</xdr:rowOff>
    </xdr:to>
    <xdr:sp macro="" textlink="">
      <xdr:nvSpPr>
        <xdr:cNvPr id="837612" name="Line 240"/>
        <xdr:cNvSpPr>
          <a:spLocks noChangeShapeType="1"/>
        </xdr:cNvSpPr>
      </xdr:nvSpPr>
      <xdr:spPr bwMode="auto">
        <a:xfrm>
          <a:off x="479583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10</xdr:row>
      <xdr:rowOff>76200</xdr:rowOff>
    </xdr:from>
    <xdr:to>
      <xdr:col>92</xdr:col>
      <xdr:colOff>123825</xdr:colOff>
      <xdr:row>10</xdr:row>
      <xdr:rowOff>76200</xdr:rowOff>
    </xdr:to>
    <xdr:sp macro="" textlink="">
      <xdr:nvSpPr>
        <xdr:cNvPr id="837613" name="Line 241"/>
        <xdr:cNvSpPr>
          <a:spLocks noChangeShapeType="1"/>
        </xdr:cNvSpPr>
      </xdr:nvSpPr>
      <xdr:spPr bwMode="auto">
        <a:xfrm flipH="1" flipV="1">
          <a:off x="478345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11</xdr:row>
      <xdr:rowOff>133350</xdr:rowOff>
    </xdr:from>
    <xdr:to>
      <xdr:col>92</xdr:col>
      <xdr:colOff>123825</xdr:colOff>
      <xdr:row>11</xdr:row>
      <xdr:rowOff>133350</xdr:rowOff>
    </xdr:to>
    <xdr:sp macro="" textlink="">
      <xdr:nvSpPr>
        <xdr:cNvPr id="837614" name="Line 242"/>
        <xdr:cNvSpPr>
          <a:spLocks noChangeShapeType="1"/>
        </xdr:cNvSpPr>
      </xdr:nvSpPr>
      <xdr:spPr bwMode="auto">
        <a:xfrm flipH="1">
          <a:off x="478345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7615" name="Line 216"/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7616" name="Line 217"/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7617" name="Line 218"/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7618" name="Line 219"/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7619" name="Line 220"/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7620" name="Line 221"/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7621" name="Line 224"/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7622" name="Line 225"/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7623" name="Line 226"/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7624" name="Line 227"/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7625" name="Line 228"/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7626" name="Line 229"/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8</xdr:row>
      <xdr:rowOff>76200</xdr:rowOff>
    </xdr:from>
    <xdr:to>
      <xdr:col>104</xdr:col>
      <xdr:colOff>123825</xdr:colOff>
      <xdr:row>9</xdr:row>
      <xdr:rowOff>142875</xdr:rowOff>
    </xdr:to>
    <xdr:sp macro="" textlink="">
      <xdr:nvSpPr>
        <xdr:cNvPr id="837627" name="Line 230"/>
        <xdr:cNvSpPr>
          <a:spLocks noChangeShapeType="1"/>
        </xdr:cNvSpPr>
      </xdr:nvSpPr>
      <xdr:spPr bwMode="auto">
        <a:xfrm>
          <a:off x="54483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8</xdr:row>
      <xdr:rowOff>76200</xdr:rowOff>
    </xdr:from>
    <xdr:to>
      <xdr:col>104</xdr:col>
      <xdr:colOff>123825</xdr:colOff>
      <xdr:row>8</xdr:row>
      <xdr:rowOff>76200</xdr:rowOff>
    </xdr:to>
    <xdr:sp macro="" textlink="">
      <xdr:nvSpPr>
        <xdr:cNvPr id="837628" name="Line 231"/>
        <xdr:cNvSpPr>
          <a:spLocks noChangeShapeType="1"/>
        </xdr:cNvSpPr>
      </xdr:nvSpPr>
      <xdr:spPr bwMode="auto">
        <a:xfrm flipH="1" flipV="1">
          <a:off x="54359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9</xdr:row>
      <xdr:rowOff>133350</xdr:rowOff>
    </xdr:from>
    <xdr:to>
      <xdr:col>104</xdr:col>
      <xdr:colOff>123825</xdr:colOff>
      <xdr:row>9</xdr:row>
      <xdr:rowOff>133350</xdr:rowOff>
    </xdr:to>
    <xdr:sp macro="" textlink="">
      <xdr:nvSpPr>
        <xdr:cNvPr id="837629" name="Line 232"/>
        <xdr:cNvSpPr>
          <a:spLocks noChangeShapeType="1"/>
        </xdr:cNvSpPr>
      </xdr:nvSpPr>
      <xdr:spPr bwMode="auto">
        <a:xfrm flipH="1">
          <a:off x="54359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12</xdr:row>
      <xdr:rowOff>76200</xdr:rowOff>
    </xdr:from>
    <xdr:to>
      <xdr:col>104</xdr:col>
      <xdr:colOff>123825</xdr:colOff>
      <xdr:row>13</xdr:row>
      <xdr:rowOff>142875</xdr:rowOff>
    </xdr:to>
    <xdr:sp macro="" textlink="">
      <xdr:nvSpPr>
        <xdr:cNvPr id="837630" name="Line 233"/>
        <xdr:cNvSpPr>
          <a:spLocks noChangeShapeType="1"/>
        </xdr:cNvSpPr>
      </xdr:nvSpPr>
      <xdr:spPr bwMode="auto">
        <a:xfrm>
          <a:off x="54483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12</xdr:row>
      <xdr:rowOff>76200</xdr:rowOff>
    </xdr:from>
    <xdr:to>
      <xdr:col>104</xdr:col>
      <xdr:colOff>123825</xdr:colOff>
      <xdr:row>12</xdr:row>
      <xdr:rowOff>76200</xdr:rowOff>
    </xdr:to>
    <xdr:sp macro="" textlink="">
      <xdr:nvSpPr>
        <xdr:cNvPr id="837631" name="Line 234"/>
        <xdr:cNvSpPr>
          <a:spLocks noChangeShapeType="1"/>
        </xdr:cNvSpPr>
      </xdr:nvSpPr>
      <xdr:spPr bwMode="auto">
        <a:xfrm flipH="1" flipV="1">
          <a:off x="54359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13</xdr:row>
      <xdr:rowOff>133350</xdr:rowOff>
    </xdr:from>
    <xdr:to>
      <xdr:col>104</xdr:col>
      <xdr:colOff>123825</xdr:colOff>
      <xdr:row>13</xdr:row>
      <xdr:rowOff>133350</xdr:rowOff>
    </xdr:to>
    <xdr:sp macro="" textlink="">
      <xdr:nvSpPr>
        <xdr:cNvPr id="837632" name="Line 235"/>
        <xdr:cNvSpPr>
          <a:spLocks noChangeShapeType="1"/>
        </xdr:cNvSpPr>
      </xdr:nvSpPr>
      <xdr:spPr bwMode="auto">
        <a:xfrm flipH="1">
          <a:off x="54359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14</xdr:row>
      <xdr:rowOff>76200</xdr:rowOff>
    </xdr:from>
    <xdr:to>
      <xdr:col>104</xdr:col>
      <xdr:colOff>123825</xdr:colOff>
      <xdr:row>15</xdr:row>
      <xdr:rowOff>142875</xdr:rowOff>
    </xdr:to>
    <xdr:sp macro="" textlink="">
      <xdr:nvSpPr>
        <xdr:cNvPr id="837633" name="Line 236"/>
        <xdr:cNvSpPr>
          <a:spLocks noChangeShapeType="1"/>
        </xdr:cNvSpPr>
      </xdr:nvSpPr>
      <xdr:spPr bwMode="auto">
        <a:xfrm>
          <a:off x="54483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14</xdr:row>
      <xdr:rowOff>76200</xdr:rowOff>
    </xdr:from>
    <xdr:to>
      <xdr:col>104</xdr:col>
      <xdr:colOff>123825</xdr:colOff>
      <xdr:row>14</xdr:row>
      <xdr:rowOff>76200</xdr:rowOff>
    </xdr:to>
    <xdr:sp macro="" textlink="">
      <xdr:nvSpPr>
        <xdr:cNvPr id="837634" name="Line 237"/>
        <xdr:cNvSpPr>
          <a:spLocks noChangeShapeType="1"/>
        </xdr:cNvSpPr>
      </xdr:nvSpPr>
      <xdr:spPr bwMode="auto">
        <a:xfrm flipH="1" flipV="1">
          <a:off x="54359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15</xdr:row>
      <xdr:rowOff>133350</xdr:rowOff>
    </xdr:from>
    <xdr:to>
      <xdr:col>104</xdr:col>
      <xdr:colOff>123825</xdr:colOff>
      <xdr:row>15</xdr:row>
      <xdr:rowOff>133350</xdr:rowOff>
    </xdr:to>
    <xdr:sp macro="" textlink="">
      <xdr:nvSpPr>
        <xdr:cNvPr id="837635" name="Line 238"/>
        <xdr:cNvSpPr>
          <a:spLocks noChangeShapeType="1"/>
        </xdr:cNvSpPr>
      </xdr:nvSpPr>
      <xdr:spPr bwMode="auto">
        <a:xfrm flipH="1">
          <a:off x="54359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10</xdr:row>
      <xdr:rowOff>76200</xdr:rowOff>
    </xdr:from>
    <xdr:to>
      <xdr:col>104</xdr:col>
      <xdr:colOff>123825</xdr:colOff>
      <xdr:row>11</xdr:row>
      <xdr:rowOff>142875</xdr:rowOff>
    </xdr:to>
    <xdr:sp macro="" textlink="">
      <xdr:nvSpPr>
        <xdr:cNvPr id="837636" name="Line 240"/>
        <xdr:cNvSpPr>
          <a:spLocks noChangeShapeType="1"/>
        </xdr:cNvSpPr>
      </xdr:nvSpPr>
      <xdr:spPr bwMode="auto">
        <a:xfrm>
          <a:off x="544830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10</xdr:row>
      <xdr:rowOff>76200</xdr:rowOff>
    </xdr:from>
    <xdr:to>
      <xdr:col>104</xdr:col>
      <xdr:colOff>123825</xdr:colOff>
      <xdr:row>10</xdr:row>
      <xdr:rowOff>76200</xdr:rowOff>
    </xdr:to>
    <xdr:sp macro="" textlink="">
      <xdr:nvSpPr>
        <xdr:cNvPr id="837637" name="Line 241"/>
        <xdr:cNvSpPr>
          <a:spLocks noChangeShapeType="1"/>
        </xdr:cNvSpPr>
      </xdr:nvSpPr>
      <xdr:spPr bwMode="auto">
        <a:xfrm flipH="1" flipV="1">
          <a:off x="543591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11</xdr:row>
      <xdr:rowOff>133350</xdr:rowOff>
    </xdr:from>
    <xdr:to>
      <xdr:col>104</xdr:col>
      <xdr:colOff>123825</xdr:colOff>
      <xdr:row>11</xdr:row>
      <xdr:rowOff>133350</xdr:rowOff>
    </xdr:to>
    <xdr:sp macro="" textlink="">
      <xdr:nvSpPr>
        <xdr:cNvPr id="837638" name="Line 242"/>
        <xdr:cNvSpPr>
          <a:spLocks noChangeShapeType="1"/>
        </xdr:cNvSpPr>
      </xdr:nvSpPr>
      <xdr:spPr bwMode="auto">
        <a:xfrm flipH="1">
          <a:off x="543591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7639" name="Line 216"/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7640" name="Line 217"/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7641" name="Line 218"/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7642" name="Line 219"/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7643" name="Line 220"/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7644" name="Line 221"/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7645" name="Line 224"/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7646" name="Line 225"/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7647" name="Line 226"/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7648" name="Line 227"/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7649" name="Line 228"/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7650" name="Line 229"/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8</xdr:row>
      <xdr:rowOff>76200</xdr:rowOff>
    </xdr:from>
    <xdr:to>
      <xdr:col>110</xdr:col>
      <xdr:colOff>123825</xdr:colOff>
      <xdr:row>9</xdr:row>
      <xdr:rowOff>142875</xdr:rowOff>
    </xdr:to>
    <xdr:sp macro="" textlink="">
      <xdr:nvSpPr>
        <xdr:cNvPr id="837651" name="Line 230"/>
        <xdr:cNvSpPr>
          <a:spLocks noChangeShapeType="1"/>
        </xdr:cNvSpPr>
      </xdr:nvSpPr>
      <xdr:spPr bwMode="auto">
        <a:xfrm>
          <a:off x="578739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8</xdr:row>
      <xdr:rowOff>76200</xdr:rowOff>
    </xdr:from>
    <xdr:to>
      <xdr:col>110</xdr:col>
      <xdr:colOff>123825</xdr:colOff>
      <xdr:row>8</xdr:row>
      <xdr:rowOff>76200</xdr:rowOff>
    </xdr:to>
    <xdr:sp macro="" textlink="">
      <xdr:nvSpPr>
        <xdr:cNvPr id="837652" name="Line 231"/>
        <xdr:cNvSpPr>
          <a:spLocks noChangeShapeType="1"/>
        </xdr:cNvSpPr>
      </xdr:nvSpPr>
      <xdr:spPr bwMode="auto">
        <a:xfrm flipH="1" flipV="1">
          <a:off x="577500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9</xdr:row>
      <xdr:rowOff>133350</xdr:rowOff>
    </xdr:from>
    <xdr:to>
      <xdr:col>110</xdr:col>
      <xdr:colOff>123825</xdr:colOff>
      <xdr:row>9</xdr:row>
      <xdr:rowOff>133350</xdr:rowOff>
    </xdr:to>
    <xdr:sp macro="" textlink="">
      <xdr:nvSpPr>
        <xdr:cNvPr id="837653" name="Line 232"/>
        <xdr:cNvSpPr>
          <a:spLocks noChangeShapeType="1"/>
        </xdr:cNvSpPr>
      </xdr:nvSpPr>
      <xdr:spPr bwMode="auto">
        <a:xfrm flipH="1">
          <a:off x="577500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12</xdr:row>
      <xdr:rowOff>76200</xdr:rowOff>
    </xdr:from>
    <xdr:to>
      <xdr:col>110</xdr:col>
      <xdr:colOff>123825</xdr:colOff>
      <xdr:row>13</xdr:row>
      <xdr:rowOff>142875</xdr:rowOff>
    </xdr:to>
    <xdr:sp macro="" textlink="">
      <xdr:nvSpPr>
        <xdr:cNvPr id="837654" name="Line 233"/>
        <xdr:cNvSpPr>
          <a:spLocks noChangeShapeType="1"/>
        </xdr:cNvSpPr>
      </xdr:nvSpPr>
      <xdr:spPr bwMode="auto">
        <a:xfrm>
          <a:off x="578739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12</xdr:row>
      <xdr:rowOff>76200</xdr:rowOff>
    </xdr:from>
    <xdr:to>
      <xdr:col>110</xdr:col>
      <xdr:colOff>123825</xdr:colOff>
      <xdr:row>12</xdr:row>
      <xdr:rowOff>76200</xdr:rowOff>
    </xdr:to>
    <xdr:sp macro="" textlink="">
      <xdr:nvSpPr>
        <xdr:cNvPr id="837655" name="Line 234"/>
        <xdr:cNvSpPr>
          <a:spLocks noChangeShapeType="1"/>
        </xdr:cNvSpPr>
      </xdr:nvSpPr>
      <xdr:spPr bwMode="auto">
        <a:xfrm flipH="1" flipV="1">
          <a:off x="577500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13</xdr:row>
      <xdr:rowOff>133350</xdr:rowOff>
    </xdr:from>
    <xdr:to>
      <xdr:col>110</xdr:col>
      <xdr:colOff>123825</xdr:colOff>
      <xdr:row>13</xdr:row>
      <xdr:rowOff>133350</xdr:rowOff>
    </xdr:to>
    <xdr:sp macro="" textlink="">
      <xdr:nvSpPr>
        <xdr:cNvPr id="837656" name="Line 235"/>
        <xdr:cNvSpPr>
          <a:spLocks noChangeShapeType="1"/>
        </xdr:cNvSpPr>
      </xdr:nvSpPr>
      <xdr:spPr bwMode="auto">
        <a:xfrm flipH="1">
          <a:off x="577500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14</xdr:row>
      <xdr:rowOff>76200</xdr:rowOff>
    </xdr:from>
    <xdr:to>
      <xdr:col>110</xdr:col>
      <xdr:colOff>123825</xdr:colOff>
      <xdr:row>15</xdr:row>
      <xdr:rowOff>142875</xdr:rowOff>
    </xdr:to>
    <xdr:sp macro="" textlink="">
      <xdr:nvSpPr>
        <xdr:cNvPr id="837657" name="Line 236"/>
        <xdr:cNvSpPr>
          <a:spLocks noChangeShapeType="1"/>
        </xdr:cNvSpPr>
      </xdr:nvSpPr>
      <xdr:spPr bwMode="auto">
        <a:xfrm>
          <a:off x="578739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14</xdr:row>
      <xdr:rowOff>76200</xdr:rowOff>
    </xdr:from>
    <xdr:to>
      <xdr:col>110</xdr:col>
      <xdr:colOff>123825</xdr:colOff>
      <xdr:row>14</xdr:row>
      <xdr:rowOff>76200</xdr:rowOff>
    </xdr:to>
    <xdr:sp macro="" textlink="">
      <xdr:nvSpPr>
        <xdr:cNvPr id="837658" name="Line 237"/>
        <xdr:cNvSpPr>
          <a:spLocks noChangeShapeType="1"/>
        </xdr:cNvSpPr>
      </xdr:nvSpPr>
      <xdr:spPr bwMode="auto">
        <a:xfrm flipH="1" flipV="1">
          <a:off x="577500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15</xdr:row>
      <xdr:rowOff>133350</xdr:rowOff>
    </xdr:from>
    <xdr:to>
      <xdr:col>110</xdr:col>
      <xdr:colOff>123825</xdr:colOff>
      <xdr:row>15</xdr:row>
      <xdr:rowOff>133350</xdr:rowOff>
    </xdr:to>
    <xdr:sp macro="" textlink="">
      <xdr:nvSpPr>
        <xdr:cNvPr id="837659" name="Line 238"/>
        <xdr:cNvSpPr>
          <a:spLocks noChangeShapeType="1"/>
        </xdr:cNvSpPr>
      </xdr:nvSpPr>
      <xdr:spPr bwMode="auto">
        <a:xfrm flipH="1">
          <a:off x="577500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10</xdr:row>
      <xdr:rowOff>76200</xdr:rowOff>
    </xdr:from>
    <xdr:to>
      <xdr:col>110</xdr:col>
      <xdr:colOff>123825</xdr:colOff>
      <xdr:row>11</xdr:row>
      <xdr:rowOff>142875</xdr:rowOff>
    </xdr:to>
    <xdr:sp macro="" textlink="">
      <xdr:nvSpPr>
        <xdr:cNvPr id="837660" name="Line 240"/>
        <xdr:cNvSpPr>
          <a:spLocks noChangeShapeType="1"/>
        </xdr:cNvSpPr>
      </xdr:nvSpPr>
      <xdr:spPr bwMode="auto">
        <a:xfrm>
          <a:off x="578739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10</xdr:row>
      <xdr:rowOff>76200</xdr:rowOff>
    </xdr:from>
    <xdr:to>
      <xdr:col>110</xdr:col>
      <xdr:colOff>123825</xdr:colOff>
      <xdr:row>10</xdr:row>
      <xdr:rowOff>76200</xdr:rowOff>
    </xdr:to>
    <xdr:sp macro="" textlink="">
      <xdr:nvSpPr>
        <xdr:cNvPr id="837661" name="Line 241"/>
        <xdr:cNvSpPr>
          <a:spLocks noChangeShapeType="1"/>
        </xdr:cNvSpPr>
      </xdr:nvSpPr>
      <xdr:spPr bwMode="auto">
        <a:xfrm flipH="1" flipV="1">
          <a:off x="577500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11</xdr:row>
      <xdr:rowOff>133350</xdr:rowOff>
    </xdr:from>
    <xdr:to>
      <xdr:col>110</xdr:col>
      <xdr:colOff>123825</xdr:colOff>
      <xdr:row>11</xdr:row>
      <xdr:rowOff>133350</xdr:rowOff>
    </xdr:to>
    <xdr:sp macro="" textlink="">
      <xdr:nvSpPr>
        <xdr:cNvPr id="837662" name="Line 242"/>
        <xdr:cNvSpPr>
          <a:spLocks noChangeShapeType="1"/>
        </xdr:cNvSpPr>
      </xdr:nvSpPr>
      <xdr:spPr bwMode="auto">
        <a:xfrm flipH="1">
          <a:off x="577500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6</xdr:row>
      <xdr:rowOff>76200</xdr:rowOff>
    </xdr:from>
    <xdr:to>
      <xdr:col>121</xdr:col>
      <xdr:colOff>123825</xdr:colOff>
      <xdr:row>7</xdr:row>
      <xdr:rowOff>142875</xdr:rowOff>
    </xdr:to>
    <xdr:sp macro="" textlink="">
      <xdr:nvSpPr>
        <xdr:cNvPr id="837663" name="Line 216"/>
        <xdr:cNvSpPr>
          <a:spLocks noChangeShapeType="1"/>
        </xdr:cNvSpPr>
      </xdr:nvSpPr>
      <xdr:spPr bwMode="auto">
        <a:xfrm>
          <a:off x="646842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6</xdr:row>
      <xdr:rowOff>76200</xdr:rowOff>
    </xdr:from>
    <xdr:to>
      <xdr:col>121</xdr:col>
      <xdr:colOff>123825</xdr:colOff>
      <xdr:row>6</xdr:row>
      <xdr:rowOff>76200</xdr:rowOff>
    </xdr:to>
    <xdr:sp macro="" textlink="">
      <xdr:nvSpPr>
        <xdr:cNvPr id="837664" name="Line 217"/>
        <xdr:cNvSpPr>
          <a:spLocks noChangeShapeType="1"/>
        </xdr:cNvSpPr>
      </xdr:nvSpPr>
      <xdr:spPr bwMode="auto">
        <a:xfrm flipH="1" flipV="1">
          <a:off x="645604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7</xdr:row>
      <xdr:rowOff>133350</xdr:rowOff>
    </xdr:from>
    <xdr:to>
      <xdr:col>121</xdr:col>
      <xdr:colOff>123825</xdr:colOff>
      <xdr:row>7</xdr:row>
      <xdr:rowOff>133350</xdr:rowOff>
    </xdr:to>
    <xdr:sp macro="" textlink="">
      <xdr:nvSpPr>
        <xdr:cNvPr id="837665" name="Line 218"/>
        <xdr:cNvSpPr>
          <a:spLocks noChangeShapeType="1"/>
        </xdr:cNvSpPr>
      </xdr:nvSpPr>
      <xdr:spPr bwMode="auto">
        <a:xfrm flipH="1">
          <a:off x="645604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114300</xdr:colOff>
      <xdr:row>16</xdr:row>
      <xdr:rowOff>66675</xdr:rowOff>
    </xdr:from>
    <xdr:to>
      <xdr:col>121</xdr:col>
      <xdr:colOff>114300</xdr:colOff>
      <xdr:row>19</xdr:row>
      <xdr:rowOff>85725</xdr:rowOff>
    </xdr:to>
    <xdr:sp macro="" textlink="">
      <xdr:nvSpPr>
        <xdr:cNvPr id="837666" name="Line 219"/>
        <xdr:cNvSpPr>
          <a:spLocks noChangeShapeType="1"/>
        </xdr:cNvSpPr>
      </xdr:nvSpPr>
      <xdr:spPr bwMode="auto">
        <a:xfrm>
          <a:off x="646747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16</xdr:row>
      <xdr:rowOff>57150</xdr:rowOff>
    </xdr:from>
    <xdr:to>
      <xdr:col>121</xdr:col>
      <xdr:colOff>123825</xdr:colOff>
      <xdr:row>16</xdr:row>
      <xdr:rowOff>57150</xdr:rowOff>
    </xdr:to>
    <xdr:sp macro="" textlink="">
      <xdr:nvSpPr>
        <xdr:cNvPr id="837667" name="Line 220"/>
        <xdr:cNvSpPr>
          <a:spLocks noChangeShapeType="1"/>
        </xdr:cNvSpPr>
      </xdr:nvSpPr>
      <xdr:spPr bwMode="auto">
        <a:xfrm flipH="1">
          <a:off x="645604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9525</xdr:colOff>
      <xdr:row>19</xdr:row>
      <xdr:rowOff>95250</xdr:rowOff>
    </xdr:from>
    <xdr:to>
      <xdr:col>121</xdr:col>
      <xdr:colOff>114300</xdr:colOff>
      <xdr:row>19</xdr:row>
      <xdr:rowOff>95250</xdr:rowOff>
    </xdr:to>
    <xdr:sp macro="" textlink="">
      <xdr:nvSpPr>
        <xdr:cNvPr id="837668" name="Line 221"/>
        <xdr:cNvSpPr>
          <a:spLocks noChangeShapeType="1"/>
        </xdr:cNvSpPr>
      </xdr:nvSpPr>
      <xdr:spPr bwMode="auto">
        <a:xfrm flipH="1">
          <a:off x="645699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114300</xdr:colOff>
      <xdr:row>16</xdr:row>
      <xdr:rowOff>66675</xdr:rowOff>
    </xdr:from>
    <xdr:to>
      <xdr:col>121</xdr:col>
      <xdr:colOff>114300</xdr:colOff>
      <xdr:row>19</xdr:row>
      <xdr:rowOff>85725</xdr:rowOff>
    </xdr:to>
    <xdr:sp macro="" textlink="">
      <xdr:nvSpPr>
        <xdr:cNvPr id="837669" name="Line 224"/>
        <xdr:cNvSpPr>
          <a:spLocks noChangeShapeType="1"/>
        </xdr:cNvSpPr>
      </xdr:nvSpPr>
      <xdr:spPr bwMode="auto">
        <a:xfrm>
          <a:off x="646747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16</xdr:row>
      <xdr:rowOff>57150</xdr:rowOff>
    </xdr:from>
    <xdr:to>
      <xdr:col>121</xdr:col>
      <xdr:colOff>123825</xdr:colOff>
      <xdr:row>16</xdr:row>
      <xdr:rowOff>57150</xdr:rowOff>
    </xdr:to>
    <xdr:sp macro="" textlink="">
      <xdr:nvSpPr>
        <xdr:cNvPr id="837670" name="Line 225"/>
        <xdr:cNvSpPr>
          <a:spLocks noChangeShapeType="1"/>
        </xdr:cNvSpPr>
      </xdr:nvSpPr>
      <xdr:spPr bwMode="auto">
        <a:xfrm flipH="1">
          <a:off x="645604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9525</xdr:colOff>
      <xdr:row>19</xdr:row>
      <xdr:rowOff>95250</xdr:rowOff>
    </xdr:from>
    <xdr:to>
      <xdr:col>121</xdr:col>
      <xdr:colOff>114300</xdr:colOff>
      <xdr:row>19</xdr:row>
      <xdr:rowOff>95250</xdr:rowOff>
    </xdr:to>
    <xdr:sp macro="" textlink="">
      <xdr:nvSpPr>
        <xdr:cNvPr id="837671" name="Line 226"/>
        <xdr:cNvSpPr>
          <a:spLocks noChangeShapeType="1"/>
        </xdr:cNvSpPr>
      </xdr:nvSpPr>
      <xdr:spPr bwMode="auto">
        <a:xfrm flipH="1">
          <a:off x="645699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6</xdr:row>
      <xdr:rowOff>76200</xdr:rowOff>
    </xdr:from>
    <xdr:to>
      <xdr:col>121</xdr:col>
      <xdr:colOff>123825</xdr:colOff>
      <xdr:row>7</xdr:row>
      <xdr:rowOff>142875</xdr:rowOff>
    </xdr:to>
    <xdr:sp macro="" textlink="">
      <xdr:nvSpPr>
        <xdr:cNvPr id="837672" name="Line 227"/>
        <xdr:cNvSpPr>
          <a:spLocks noChangeShapeType="1"/>
        </xdr:cNvSpPr>
      </xdr:nvSpPr>
      <xdr:spPr bwMode="auto">
        <a:xfrm>
          <a:off x="646842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6</xdr:row>
      <xdr:rowOff>76200</xdr:rowOff>
    </xdr:from>
    <xdr:to>
      <xdr:col>121</xdr:col>
      <xdr:colOff>123825</xdr:colOff>
      <xdr:row>6</xdr:row>
      <xdr:rowOff>76200</xdr:rowOff>
    </xdr:to>
    <xdr:sp macro="" textlink="">
      <xdr:nvSpPr>
        <xdr:cNvPr id="837673" name="Line 228"/>
        <xdr:cNvSpPr>
          <a:spLocks noChangeShapeType="1"/>
        </xdr:cNvSpPr>
      </xdr:nvSpPr>
      <xdr:spPr bwMode="auto">
        <a:xfrm flipH="1" flipV="1">
          <a:off x="645604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7</xdr:row>
      <xdr:rowOff>133350</xdr:rowOff>
    </xdr:from>
    <xdr:to>
      <xdr:col>121</xdr:col>
      <xdr:colOff>123825</xdr:colOff>
      <xdr:row>7</xdr:row>
      <xdr:rowOff>133350</xdr:rowOff>
    </xdr:to>
    <xdr:sp macro="" textlink="">
      <xdr:nvSpPr>
        <xdr:cNvPr id="837674" name="Line 229"/>
        <xdr:cNvSpPr>
          <a:spLocks noChangeShapeType="1"/>
        </xdr:cNvSpPr>
      </xdr:nvSpPr>
      <xdr:spPr bwMode="auto">
        <a:xfrm flipH="1">
          <a:off x="645604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8</xdr:row>
      <xdr:rowOff>76200</xdr:rowOff>
    </xdr:from>
    <xdr:to>
      <xdr:col>121</xdr:col>
      <xdr:colOff>123825</xdr:colOff>
      <xdr:row>9</xdr:row>
      <xdr:rowOff>142875</xdr:rowOff>
    </xdr:to>
    <xdr:sp macro="" textlink="">
      <xdr:nvSpPr>
        <xdr:cNvPr id="837675" name="Line 230"/>
        <xdr:cNvSpPr>
          <a:spLocks noChangeShapeType="1"/>
        </xdr:cNvSpPr>
      </xdr:nvSpPr>
      <xdr:spPr bwMode="auto">
        <a:xfrm>
          <a:off x="646842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8</xdr:row>
      <xdr:rowOff>76200</xdr:rowOff>
    </xdr:from>
    <xdr:to>
      <xdr:col>121</xdr:col>
      <xdr:colOff>123825</xdr:colOff>
      <xdr:row>8</xdr:row>
      <xdr:rowOff>76200</xdr:rowOff>
    </xdr:to>
    <xdr:sp macro="" textlink="">
      <xdr:nvSpPr>
        <xdr:cNvPr id="837676" name="Line 231"/>
        <xdr:cNvSpPr>
          <a:spLocks noChangeShapeType="1"/>
        </xdr:cNvSpPr>
      </xdr:nvSpPr>
      <xdr:spPr bwMode="auto">
        <a:xfrm flipH="1" flipV="1">
          <a:off x="645604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9</xdr:row>
      <xdr:rowOff>133350</xdr:rowOff>
    </xdr:from>
    <xdr:to>
      <xdr:col>121</xdr:col>
      <xdr:colOff>123825</xdr:colOff>
      <xdr:row>9</xdr:row>
      <xdr:rowOff>133350</xdr:rowOff>
    </xdr:to>
    <xdr:sp macro="" textlink="">
      <xdr:nvSpPr>
        <xdr:cNvPr id="837677" name="Line 232"/>
        <xdr:cNvSpPr>
          <a:spLocks noChangeShapeType="1"/>
        </xdr:cNvSpPr>
      </xdr:nvSpPr>
      <xdr:spPr bwMode="auto">
        <a:xfrm flipH="1">
          <a:off x="645604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12</xdr:row>
      <xdr:rowOff>76200</xdr:rowOff>
    </xdr:from>
    <xdr:to>
      <xdr:col>121</xdr:col>
      <xdr:colOff>123825</xdr:colOff>
      <xdr:row>13</xdr:row>
      <xdr:rowOff>142875</xdr:rowOff>
    </xdr:to>
    <xdr:sp macro="" textlink="">
      <xdr:nvSpPr>
        <xdr:cNvPr id="837678" name="Line 233"/>
        <xdr:cNvSpPr>
          <a:spLocks noChangeShapeType="1"/>
        </xdr:cNvSpPr>
      </xdr:nvSpPr>
      <xdr:spPr bwMode="auto">
        <a:xfrm>
          <a:off x="646842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12</xdr:row>
      <xdr:rowOff>76200</xdr:rowOff>
    </xdr:from>
    <xdr:to>
      <xdr:col>121</xdr:col>
      <xdr:colOff>123825</xdr:colOff>
      <xdr:row>12</xdr:row>
      <xdr:rowOff>76200</xdr:rowOff>
    </xdr:to>
    <xdr:sp macro="" textlink="">
      <xdr:nvSpPr>
        <xdr:cNvPr id="837679" name="Line 234"/>
        <xdr:cNvSpPr>
          <a:spLocks noChangeShapeType="1"/>
        </xdr:cNvSpPr>
      </xdr:nvSpPr>
      <xdr:spPr bwMode="auto">
        <a:xfrm flipH="1" flipV="1">
          <a:off x="645604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13</xdr:row>
      <xdr:rowOff>133350</xdr:rowOff>
    </xdr:from>
    <xdr:to>
      <xdr:col>121</xdr:col>
      <xdr:colOff>123825</xdr:colOff>
      <xdr:row>13</xdr:row>
      <xdr:rowOff>133350</xdr:rowOff>
    </xdr:to>
    <xdr:sp macro="" textlink="">
      <xdr:nvSpPr>
        <xdr:cNvPr id="837680" name="Line 235"/>
        <xdr:cNvSpPr>
          <a:spLocks noChangeShapeType="1"/>
        </xdr:cNvSpPr>
      </xdr:nvSpPr>
      <xdr:spPr bwMode="auto">
        <a:xfrm flipH="1">
          <a:off x="645604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14</xdr:row>
      <xdr:rowOff>76200</xdr:rowOff>
    </xdr:from>
    <xdr:to>
      <xdr:col>121</xdr:col>
      <xdr:colOff>123825</xdr:colOff>
      <xdr:row>15</xdr:row>
      <xdr:rowOff>142875</xdr:rowOff>
    </xdr:to>
    <xdr:sp macro="" textlink="">
      <xdr:nvSpPr>
        <xdr:cNvPr id="837681" name="Line 236"/>
        <xdr:cNvSpPr>
          <a:spLocks noChangeShapeType="1"/>
        </xdr:cNvSpPr>
      </xdr:nvSpPr>
      <xdr:spPr bwMode="auto">
        <a:xfrm>
          <a:off x="646842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14</xdr:row>
      <xdr:rowOff>76200</xdr:rowOff>
    </xdr:from>
    <xdr:to>
      <xdr:col>121</xdr:col>
      <xdr:colOff>123825</xdr:colOff>
      <xdr:row>14</xdr:row>
      <xdr:rowOff>76200</xdr:rowOff>
    </xdr:to>
    <xdr:sp macro="" textlink="">
      <xdr:nvSpPr>
        <xdr:cNvPr id="837682" name="Line 237"/>
        <xdr:cNvSpPr>
          <a:spLocks noChangeShapeType="1"/>
        </xdr:cNvSpPr>
      </xdr:nvSpPr>
      <xdr:spPr bwMode="auto">
        <a:xfrm flipH="1" flipV="1">
          <a:off x="645604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15</xdr:row>
      <xdr:rowOff>133350</xdr:rowOff>
    </xdr:from>
    <xdr:to>
      <xdr:col>121</xdr:col>
      <xdr:colOff>123825</xdr:colOff>
      <xdr:row>15</xdr:row>
      <xdr:rowOff>133350</xdr:rowOff>
    </xdr:to>
    <xdr:sp macro="" textlink="">
      <xdr:nvSpPr>
        <xdr:cNvPr id="837683" name="Line 238"/>
        <xdr:cNvSpPr>
          <a:spLocks noChangeShapeType="1"/>
        </xdr:cNvSpPr>
      </xdr:nvSpPr>
      <xdr:spPr bwMode="auto">
        <a:xfrm flipH="1">
          <a:off x="645604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123825</xdr:colOff>
      <xdr:row>10</xdr:row>
      <xdr:rowOff>76200</xdr:rowOff>
    </xdr:from>
    <xdr:to>
      <xdr:col>121</xdr:col>
      <xdr:colOff>123825</xdr:colOff>
      <xdr:row>11</xdr:row>
      <xdr:rowOff>142875</xdr:rowOff>
    </xdr:to>
    <xdr:sp macro="" textlink="">
      <xdr:nvSpPr>
        <xdr:cNvPr id="837684" name="Line 240"/>
        <xdr:cNvSpPr>
          <a:spLocks noChangeShapeType="1"/>
        </xdr:cNvSpPr>
      </xdr:nvSpPr>
      <xdr:spPr bwMode="auto">
        <a:xfrm>
          <a:off x="646842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10</xdr:row>
      <xdr:rowOff>76200</xdr:rowOff>
    </xdr:from>
    <xdr:to>
      <xdr:col>121</xdr:col>
      <xdr:colOff>123825</xdr:colOff>
      <xdr:row>10</xdr:row>
      <xdr:rowOff>76200</xdr:rowOff>
    </xdr:to>
    <xdr:sp macro="" textlink="">
      <xdr:nvSpPr>
        <xdr:cNvPr id="837685" name="Line 241"/>
        <xdr:cNvSpPr>
          <a:spLocks noChangeShapeType="1"/>
        </xdr:cNvSpPr>
      </xdr:nvSpPr>
      <xdr:spPr bwMode="auto">
        <a:xfrm flipH="1" flipV="1">
          <a:off x="645604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11</xdr:row>
      <xdr:rowOff>133350</xdr:rowOff>
    </xdr:from>
    <xdr:to>
      <xdr:col>121</xdr:col>
      <xdr:colOff>123825</xdr:colOff>
      <xdr:row>11</xdr:row>
      <xdr:rowOff>133350</xdr:rowOff>
    </xdr:to>
    <xdr:sp macro="" textlink="">
      <xdr:nvSpPr>
        <xdr:cNvPr id="837686" name="Line 242"/>
        <xdr:cNvSpPr>
          <a:spLocks noChangeShapeType="1"/>
        </xdr:cNvSpPr>
      </xdr:nvSpPr>
      <xdr:spPr bwMode="auto">
        <a:xfrm flipH="1">
          <a:off x="645604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7687" name="Line 216"/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7688" name="Line 217"/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7689" name="Line 218"/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7690" name="Line 219"/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7691" name="Line 220"/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7692" name="Line 221"/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7693" name="Line 224"/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7694" name="Line 225"/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7695" name="Line 226"/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7696" name="Line 227"/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7697" name="Line 228"/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7698" name="Line 229"/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8</xdr:row>
      <xdr:rowOff>76200</xdr:rowOff>
    </xdr:from>
    <xdr:to>
      <xdr:col>116</xdr:col>
      <xdr:colOff>123825</xdr:colOff>
      <xdr:row>9</xdr:row>
      <xdr:rowOff>142875</xdr:rowOff>
    </xdr:to>
    <xdr:sp macro="" textlink="">
      <xdr:nvSpPr>
        <xdr:cNvPr id="837699" name="Line 230"/>
        <xdr:cNvSpPr>
          <a:spLocks noChangeShapeType="1"/>
        </xdr:cNvSpPr>
      </xdr:nvSpPr>
      <xdr:spPr bwMode="auto">
        <a:xfrm>
          <a:off x="612648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8</xdr:row>
      <xdr:rowOff>76200</xdr:rowOff>
    </xdr:from>
    <xdr:to>
      <xdr:col>116</xdr:col>
      <xdr:colOff>123825</xdr:colOff>
      <xdr:row>8</xdr:row>
      <xdr:rowOff>76200</xdr:rowOff>
    </xdr:to>
    <xdr:sp macro="" textlink="">
      <xdr:nvSpPr>
        <xdr:cNvPr id="837700" name="Line 231"/>
        <xdr:cNvSpPr>
          <a:spLocks noChangeShapeType="1"/>
        </xdr:cNvSpPr>
      </xdr:nvSpPr>
      <xdr:spPr bwMode="auto">
        <a:xfrm flipH="1" flipV="1">
          <a:off x="611409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9</xdr:row>
      <xdr:rowOff>133350</xdr:rowOff>
    </xdr:from>
    <xdr:to>
      <xdr:col>116</xdr:col>
      <xdr:colOff>123825</xdr:colOff>
      <xdr:row>9</xdr:row>
      <xdr:rowOff>133350</xdr:rowOff>
    </xdr:to>
    <xdr:sp macro="" textlink="">
      <xdr:nvSpPr>
        <xdr:cNvPr id="837701" name="Line 232"/>
        <xdr:cNvSpPr>
          <a:spLocks noChangeShapeType="1"/>
        </xdr:cNvSpPr>
      </xdr:nvSpPr>
      <xdr:spPr bwMode="auto">
        <a:xfrm flipH="1">
          <a:off x="611409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12</xdr:row>
      <xdr:rowOff>76200</xdr:rowOff>
    </xdr:from>
    <xdr:to>
      <xdr:col>116</xdr:col>
      <xdr:colOff>123825</xdr:colOff>
      <xdr:row>13</xdr:row>
      <xdr:rowOff>142875</xdr:rowOff>
    </xdr:to>
    <xdr:sp macro="" textlink="">
      <xdr:nvSpPr>
        <xdr:cNvPr id="837702" name="Line 233"/>
        <xdr:cNvSpPr>
          <a:spLocks noChangeShapeType="1"/>
        </xdr:cNvSpPr>
      </xdr:nvSpPr>
      <xdr:spPr bwMode="auto">
        <a:xfrm>
          <a:off x="612648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12</xdr:row>
      <xdr:rowOff>76200</xdr:rowOff>
    </xdr:from>
    <xdr:to>
      <xdr:col>116</xdr:col>
      <xdr:colOff>123825</xdr:colOff>
      <xdr:row>12</xdr:row>
      <xdr:rowOff>76200</xdr:rowOff>
    </xdr:to>
    <xdr:sp macro="" textlink="">
      <xdr:nvSpPr>
        <xdr:cNvPr id="837703" name="Line 234"/>
        <xdr:cNvSpPr>
          <a:spLocks noChangeShapeType="1"/>
        </xdr:cNvSpPr>
      </xdr:nvSpPr>
      <xdr:spPr bwMode="auto">
        <a:xfrm flipH="1" flipV="1">
          <a:off x="611409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13</xdr:row>
      <xdr:rowOff>133350</xdr:rowOff>
    </xdr:from>
    <xdr:to>
      <xdr:col>116</xdr:col>
      <xdr:colOff>123825</xdr:colOff>
      <xdr:row>13</xdr:row>
      <xdr:rowOff>133350</xdr:rowOff>
    </xdr:to>
    <xdr:sp macro="" textlink="">
      <xdr:nvSpPr>
        <xdr:cNvPr id="837704" name="Line 235"/>
        <xdr:cNvSpPr>
          <a:spLocks noChangeShapeType="1"/>
        </xdr:cNvSpPr>
      </xdr:nvSpPr>
      <xdr:spPr bwMode="auto">
        <a:xfrm flipH="1">
          <a:off x="611409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14</xdr:row>
      <xdr:rowOff>76200</xdr:rowOff>
    </xdr:from>
    <xdr:to>
      <xdr:col>116</xdr:col>
      <xdr:colOff>123825</xdr:colOff>
      <xdr:row>15</xdr:row>
      <xdr:rowOff>142875</xdr:rowOff>
    </xdr:to>
    <xdr:sp macro="" textlink="">
      <xdr:nvSpPr>
        <xdr:cNvPr id="837705" name="Line 236"/>
        <xdr:cNvSpPr>
          <a:spLocks noChangeShapeType="1"/>
        </xdr:cNvSpPr>
      </xdr:nvSpPr>
      <xdr:spPr bwMode="auto">
        <a:xfrm>
          <a:off x="612648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14</xdr:row>
      <xdr:rowOff>76200</xdr:rowOff>
    </xdr:from>
    <xdr:to>
      <xdr:col>116</xdr:col>
      <xdr:colOff>123825</xdr:colOff>
      <xdr:row>14</xdr:row>
      <xdr:rowOff>76200</xdr:rowOff>
    </xdr:to>
    <xdr:sp macro="" textlink="">
      <xdr:nvSpPr>
        <xdr:cNvPr id="837706" name="Line 237"/>
        <xdr:cNvSpPr>
          <a:spLocks noChangeShapeType="1"/>
        </xdr:cNvSpPr>
      </xdr:nvSpPr>
      <xdr:spPr bwMode="auto">
        <a:xfrm flipH="1" flipV="1">
          <a:off x="611409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15</xdr:row>
      <xdr:rowOff>133350</xdr:rowOff>
    </xdr:from>
    <xdr:to>
      <xdr:col>116</xdr:col>
      <xdr:colOff>123825</xdr:colOff>
      <xdr:row>15</xdr:row>
      <xdr:rowOff>133350</xdr:rowOff>
    </xdr:to>
    <xdr:sp macro="" textlink="">
      <xdr:nvSpPr>
        <xdr:cNvPr id="837707" name="Line 238"/>
        <xdr:cNvSpPr>
          <a:spLocks noChangeShapeType="1"/>
        </xdr:cNvSpPr>
      </xdr:nvSpPr>
      <xdr:spPr bwMode="auto">
        <a:xfrm flipH="1">
          <a:off x="611409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10</xdr:row>
      <xdr:rowOff>76200</xdr:rowOff>
    </xdr:from>
    <xdr:to>
      <xdr:col>116</xdr:col>
      <xdr:colOff>123825</xdr:colOff>
      <xdr:row>11</xdr:row>
      <xdr:rowOff>142875</xdr:rowOff>
    </xdr:to>
    <xdr:sp macro="" textlink="">
      <xdr:nvSpPr>
        <xdr:cNvPr id="837708" name="Line 240"/>
        <xdr:cNvSpPr>
          <a:spLocks noChangeShapeType="1"/>
        </xdr:cNvSpPr>
      </xdr:nvSpPr>
      <xdr:spPr bwMode="auto">
        <a:xfrm>
          <a:off x="612648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10</xdr:row>
      <xdr:rowOff>76200</xdr:rowOff>
    </xdr:from>
    <xdr:to>
      <xdr:col>116</xdr:col>
      <xdr:colOff>123825</xdr:colOff>
      <xdr:row>10</xdr:row>
      <xdr:rowOff>76200</xdr:rowOff>
    </xdr:to>
    <xdr:sp macro="" textlink="">
      <xdr:nvSpPr>
        <xdr:cNvPr id="837709" name="Line 241"/>
        <xdr:cNvSpPr>
          <a:spLocks noChangeShapeType="1"/>
        </xdr:cNvSpPr>
      </xdr:nvSpPr>
      <xdr:spPr bwMode="auto">
        <a:xfrm flipH="1" flipV="1">
          <a:off x="611409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11</xdr:row>
      <xdr:rowOff>133350</xdr:rowOff>
    </xdr:from>
    <xdr:to>
      <xdr:col>116</xdr:col>
      <xdr:colOff>123825</xdr:colOff>
      <xdr:row>11</xdr:row>
      <xdr:rowOff>133350</xdr:rowOff>
    </xdr:to>
    <xdr:sp macro="" textlink="">
      <xdr:nvSpPr>
        <xdr:cNvPr id="837710" name="Line 242"/>
        <xdr:cNvSpPr>
          <a:spLocks noChangeShapeType="1"/>
        </xdr:cNvSpPr>
      </xdr:nvSpPr>
      <xdr:spPr bwMode="auto">
        <a:xfrm flipH="1">
          <a:off x="611409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</xdr:row>
      <xdr:rowOff>66675</xdr:rowOff>
    </xdr:from>
    <xdr:to>
      <xdr:col>11</xdr:col>
      <xdr:colOff>114300</xdr:colOff>
      <xdr:row>19</xdr:row>
      <xdr:rowOff>85725</xdr:rowOff>
    </xdr:to>
    <xdr:sp macro="" textlink="">
      <xdr:nvSpPr>
        <xdr:cNvPr id="837711" name="Line 15"/>
        <xdr:cNvSpPr>
          <a:spLocks noChangeShapeType="1"/>
        </xdr:cNvSpPr>
      </xdr:nvSpPr>
      <xdr:spPr bwMode="auto">
        <a:xfrm>
          <a:off x="54006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57150</xdr:rowOff>
    </xdr:from>
    <xdr:to>
      <xdr:col>11</xdr:col>
      <xdr:colOff>123825</xdr:colOff>
      <xdr:row>16</xdr:row>
      <xdr:rowOff>57150</xdr:rowOff>
    </xdr:to>
    <xdr:sp macro="" textlink="">
      <xdr:nvSpPr>
        <xdr:cNvPr id="837712" name="Line 16"/>
        <xdr:cNvSpPr>
          <a:spLocks noChangeShapeType="1"/>
        </xdr:cNvSpPr>
      </xdr:nvSpPr>
      <xdr:spPr bwMode="auto">
        <a:xfrm flipH="1">
          <a:off x="52863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114300</xdr:colOff>
      <xdr:row>19</xdr:row>
      <xdr:rowOff>95250</xdr:rowOff>
    </xdr:to>
    <xdr:sp macro="" textlink="">
      <xdr:nvSpPr>
        <xdr:cNvPr id="837713" name="Line 17"/>
        <xdr:cNvSpPr>
          <a:spLocks noChangeShapeType="1"/>
        </xdr:cNvSpPr>
      </xdr:nvSpPr>
      <xdr:spPr bwMode="auto">
        <a:xfrm flipH="1">
          <a:off x="52959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6</xdr:row>
      <xdr:rowOff>76200</xdr:rowOff>
    </xdr:from>
    <xdr:to>
      <xdr:col>11</xdr:col>
      <xdr:colOff>123825</xdr:colOff>
      <xdr:row>7</xdr:row>
      <xdr:rowOff>142875</xdr:rowOff>
    </xdr:to>
    <xdr:sp macro="" textlink="">
      <xdr:nvSpPr>
        <xdr:cNvPr id="837714" name="Line 18"/>
        <xdr:cNvSpPr>
          <a:spLocks noChangeShapeType="1"/>
        </xdr:cNvSpPr>
      </xdr:nvSpPr>
      <xdr:spPr bwMode="auto">
        <a:xfrm>
          <a:off x="54102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123825</xdr:colOff>
      <xdr:row>6</xdr:row>
      <xdr:rowOff>76200</xdr:rowOff>
    </xdr:to>
    <xdr:sp macro="" textlink="">
      <xdr:nvSpPr>
        <xdr:cNvPr id="837715" name="Line 19"/>
        <xdr:cNvSpPr>
          <a:spLocks noChangeShapeType="1"/>
        </xdr:cNvSpPr>
      </xdr:nvSpPr>
      <xdr:spPr bwMode="auto">
        <a:xfrm flipH="1" flipV="1">
          <a:off x="52863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123825</xdr:colOff>
      <xdr:row>7</xdr:row>
      <xdr:rowOff>133350</xdr:rowOff>
    </xdr:to>
    <xdr:sp macro="" textlink="">
      <xdr:nvSpPr>
        <xdr:cNvPr id="837716" name="Line 20"/>
        <xdr:cNvSpPr>
          <a:spLocks noChangeShapeType="1"/>
        </xdr:cNvSpPr>
      </xdr:nvSpPr>
      <xdr:spPr bwMode="auto">
        <a:xfrm flipH="1">
          <a:off x="52863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717" name="Line 21"/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718" name="Line 22"/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719" name="Line 23"/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720" name="Line 24"/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721" name="Line 25"/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722" name="Line 26"/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16</xdr:row>
      <xdr:rowOff>66675</xdr:rowOff>
    </xdr:from>
    <xdr:to>
      <xdr:col>4</xdr:col>
      <xdr:colOff>114300</xdr:colOff>
      <xdr:row>19</xdr:row>
      <xdr:rowOff>85725</xdr:rowOff>
    </xdr:to>
    <xdr:sp macro="" textlink="">
      <xdr:nvSpPr>
        <xdr:cNvPr id="837723" name="Line 27"/>
        <xdr:cNvSpPr>
          <a:spLocks noChangeShapeType="1"/>
        </xdr:cNvSpPr>
      </xdr:nvSpPr>
      <xdr:spPr bwMode="auto">
        <a:xfrm>
          <a:off x="26003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123825</xdr:colOff>
      <xdr:row>16</xdr:row>
      <xdr:rowOff>57150</xdr:rowOff>
    </xdr:to>
    <xdr:sp macro="" textlink="">
      <xdr:nvSpPr>
        <xdr:cNvPr id="837724" name="Line 28"/>
        <xdr:cNvSpPr>
          <a:spLocks noChangeShapeType="1"/>
        </xdr:cNvSpPr>
      </xdr:nvSpPr>
      <xdr:spPr bwMode="auto">
        <a:xfrm flipH="1">
          <a:off x="24860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19</xdr:row>
      <xdr:rowOff>95250</xdr:rowOff>
    </xdr:from>
    <xdr:to>
      <xdr:col>4</xdr:col>
      <xdr:colOff>114300</xdr:colOff>
      <xdr:row>19</xdr:row>
      <xdr:rowOff>95250</xdr:rowOff>
    </xdr:to>
    <xdr:sp macro="" textlink="">
      <xdr:nvSpPr>
        <xdr:cNvPr id="837725" name="Line 29"/>
        <xdr:cNvSpPr>
          <a:spLocks noChangeShapeType="1"/>
        </xdr:cNvSpPr>
      </xdr:nvSpPr>
      <xdr:spPr bwMode="auto">
        <a:xfrm flipH="1">
          <a:off x="24955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6</xdr:row>
      <xdr:rowOff>76200</xdr:rowOff>
    </xdr:from>
    <xdr:to>
      <xdr:col>4</xdr:col>
      <xdr:colOff>123825</xdr:colOff>
      <xdr:row>7</xdr:row>
      <xdr:rowOff>142875</xdr:rowOff>
    </xdr:to>
    <xdr:sp macro="" textlink="">
      <xdr:nvSpPr>
        <xdr:cNvPr id="837726" name="Line 30"/>
        <xdr:cNvSpPr>
          <a:spLocks noChangeShapeType="1"/>
        </xdr:cNvSpPr>
      </xdr:nvSpPr>
      <xdr:spPr bwMode="auto">
        <a:xfrm>
          <a:off x="26098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76200</xdr:rowOff>
    </xdr:from>
    <xdr:to>
      <xdr:col>4</xdr:col>
      <xdr:colOff>123825</xdr:colOff>
      <xdr:row>6</xdr:row>
      <xdr:rowOff>76200</xdr:rowOff>
    </xdr:to>
    <xdr:sp macro="" textlink="">
      <xdr:nvSpPr>
        <xdr:cNvPr id="837727" name="Line 31"/>
        <xdr:cNvSpPr>
          <a:spLocks noChangeShapeType="1"/>
        </xdr:cNvSpPr>
      </xdr:nvSpPr>
      <xdr:spPr bwMode="auto">
        <a:xfrm flipH="1" flipV="1">
          <a:off x="24860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123825</xdr:colOff>
      <xdr:row>7</xdr:row>
      <xdr:rowOff>133350</xdr:rowOff>
    </xdr:to>
    <xdr:sp macro="" textlink="">
      <xdr:nvSpPr>
        <xdr:cNvPr id="837728" name="Line 32"/>
        <xdr:cNvSpPr>
          <a:spLocks noChangeShapeType="1"/>
        </xdr:cNvSpPr>
      </xdr:nvSpPr>
      <xdr:spPr bwMode="auto">
        <a:xfrm flipH="1">
          <a:off x="24860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8</xdr:row>
      <xdr:rowOff>76200</xdr:rowOff>
    </xdr:from>
    <xdr:to>
      <xdr:col>11</xdr:col>
      <xdr:colOff>123825</xdr:colOff>
      <xdr:row>9</xdr:row>
      <xdr:rowOff>142875</xdr:rowOff>
    </xdr:to>
    <xdr:sp macro="" textlink="">
      <xdr:nvSpPr>
        <xdr:cNvPr id="837729" name="Line 37"/>
        <xdr:cNvSpPr>
          <a:spLocks noChangeShapeType="1"/>
        </xdr:cNvSpPr>
      </xdr:nvSpPr>
      <xdr:spPr bwMode="auto">
        <a:xfrm>
          <a:off x="54102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76200</xdr:rowOff>
    </xdr:from>
    <xdr:to>
      <xdr:col>11</xdr:col>
      <xdr:colOff>123825</xdr:colOff>
      <xdr:row>8</xdr:row>
      <xdr:rowOff>76200</xdr:rowOff>
    </xdr:to>
    <xdr:sp macro="" textlink="">
      <xdr:nvSpPr>
        <xdr:cNvPr id="837730" name="Line 38"/>
        <xdr:cNvSpPr>
          <a:spLocks noChangeShapeType="1"/>
        </xdr:cNvSpPr>
      </xdr:nvSpPr>
      <xdr:spPr bwMode="auto">
        <a:xfrm flipH="1" flipV="1">
          <a:off x="52863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133350</xdr:rowOff>
    </xdr:from>
    <xdr:to>
      <xdr:col>11</xdr:col>
      <xdr:colOff>123825</xdr:colOff>
      <xdr:row>9</xdr:row>
      <xdr:rowOff>133350</xdr:rowOff>
    </xdr:to>
    <xdr:sp macro="" textlink="">
      <xdr:nvSpPr>
        <xdr:cNvPr id="837731" name="Line 39"/>
        <xdr:cNvSpPr>
          <a:spLocks noChangeShapeType="1"/>
        </xdr:cNvSpPr>
      </xdr:nvSpPr>
      <xdr:spPr bwMode="auto">
        <a:xfrm flipH="1">
          <a:off x="52863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12</xdr:row>
      <xdr:rowOff>76200</xdr:rowOff>
    </xdr:from>
    <xdr:to>
      <xdr:col>11</xdr:col>
      <xdr:colOff>123825</xdr:colOff>
      <xdr:row>13</xdr:row>
      <xdr:rowOff>142875</xdr:rowOff>
    </xdr:to>
    <xdr:sp macro="" textlink="">
      <xdr:nvSpPr>
        <xdr:cNvPr id="837732" name="Line 40"/>
        <xdr:cNvSpPr>
          <a:spLocks noChangeShapeType="1"/>
        </xdr:cNvSpPr>
      </xdr:nvSpPr>
      <xdr:spPr bwMode="auto">
        <a:xfrm>
          <a:off x="54102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76200</xdr:rowOff>
    </xdr:from>
    <xdr:to>
      <xdr:col>11</xdr:col>
      <xdr:colOff>123825</xdr:colOff>
      <xdr:row>12</xdr:row>
      <xdr:rowOff>76200</xdr:rowOff>
    </xdr:to>
    <xdr:sp macro="" textlink="">
      <xdr:nvSpPr>
        <xdr:cNvPr id="837733" name="Line 41"/>
        <xdr:cNvSpPr>
          <a:spLocks noChangeShapeType="1"/>
        </xdr:cNvSpPr>
      </xdr:nvSpPr>
      <xdr:spPr bwMode="auto">
        <a:xfrm flipH="1" flipV="1">
          <a:off x="52863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133350</xdr:rowOff>
    </xdr:from>
    <xdr:to>
      <xdr:col>11</xdr:col>
      <xdr:colOff>123825</xdr:colOff>
      <xdr:row>13</xdr:row>
      <xdr:rowOff>133350</xdr:rowOff>
    </xdr:to>
    <xdr:sp macro="" textlink="">
      <xdr:nvSpPr>
        <xdr:cNvPr id="837734" name="Line 42"/>
        <xdr:cNvSpPr>
          <a:spLocks noChangeShapeType="1"/>
        </xdr:cNvSpPr>
      </xdr:nvSpPr>
      <xdr:spPr bwMode="auto">
        <a:xfrm flipH="1">
          <a:off x="52863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14</xdr:row>
      <xdr:rowOff>76200</xdr:rowOff>
    </xdr:from>
    <xdr:to>
      <xdr:col>11</xdr:col>
      <xdr:colOff>123825</xdr:colOff>
      <xdr:row>15</xdr:row>
      <xdr:rowOff>142875</xdr:rowOff>
    </xdr:to>
    <xdr:sp macro="" textlink="">
      <xdr:nvSpPr>
        <xdr:cNvPr id="837735" name="Line 43"/>
        <xdr:cNvSpPr>
          <a:spLocks noChangeShapeType="1"/>
        </xdr:cNvSpPr>
      </xdr:nvSpPr>
      <xdr:spPr bwMode="auto">
        <a:xfrm>
          <a:off x="54102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76200</xdr:rowOff>
    </xdr:from>
    <xdr:to>
      <xdr:col>11</xdr:col>
      <xdr:colOff>123825</xdr:colOff>
      <xdr:row>14</xdr:row>
      <xdr:rowOff>76200</xdr:rowOff>
    </xdr:to>
    <xdr:sp macro="" textlink="">
      <xdr:nvSpPr>
        <xdr:cNvPr id="837736" name="Line 44"/>
        <xdr:cNvSpPr>
          <a:spLocks noChangeShapeType="1"/>
        </xdr:cNvSpPr>
      </xdr:nvSpPr>
      <xdr:spPr bwMode="auto">
        <a:xfrm flipH="1" flipV="1">
          <a:off x="52863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133350</xdr:rowOff>
    </xdr:from>
    <xdr:to>
      <xdr:col>11</xdr:col>
      <xdr:colOff>123825</xdr:colOff>
      <xdr:row>15</xdr:row>
      <xdr:rowOff>133350</xdr:rowOff>
    </xdr:to>
    <xdr:sp macro="" textlink="">
      <xdr:nvSpPr>
        <xdr:cNvPr id="837737" name="Line 45"/>
        <xdr:cNvSpPr>
          <a:spLocks noChangeShapeType="1"/>
        </xdr:cNvSpPr>
      </xdr:nvSpPr>
      <xdr:spPr bwMode="auto">
        <a:xfrm flipH="1">
          <a:off x="52863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16</xdr:row>
      <xdr:rowOff>66675</xdr:rowOff>
    </xdr:from>
    <xdr:to>
      <xdr:col>18</xdr:col>
      <xdr:colOff>114300</xdr:colOff>
      <xdr:row>19</xdr:row>
      <xdr:rowOff>85725</xdr:rowOff>
    </xdr:to>
    <xdr:sp macro="" textlink="">
      <xdr:nvSpPr>
        <xdr:cNvPr id="837738" name="Line 46"/>
        <xdr:cNvSpPr>
          <a:spLocks noChangeShapeType="1"/>
        </xdr:cNvSpPr>
      </xdr:nvSpPr>
      <xdr:spPr bwMode="auto">
        <a:xfrm>
          <a:off x="82010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57150</xdr:rowOff>
    </xdr:from>
    <xdr:to>
      <xdr:col>18</xdr:col>
      <xdr:colOff>123825</xdr:colOff>
      <xdr:row>16</xdr:row>
      <xdr:rowOff>57150</xdr:rowOff>
    </xdr:to>
    <xdr:sp macro="" textlink="">
      <xdr:nvSpPr>
        <xdr:cNvPr id="837739" name="Line 47"/>
        <xdr:cNvSpPr>
          <a:spLocks noChangeShapeType="1"/>
        </xdr:cNvSpPr>
      </xdr:nvSpPr>
      <xdr:spPr bwMode="auto">
        <a:xfrm flipH="1">
          <a:off x="80867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19</xdr:row>
      <xdr:rowOff>95250</xdr:rowOff>
    </xdr:from>
    <xdr:to>
      <xdr:col>18</xdr:col>
      <xdr:colOff>114300</xdr:colOff>
      <xdr:row>19</xdr:row>
      <xdr:rowOff>95250</xdr:rowOff>
    </xdr:to>
    <xdr:sp macro="" textlink="">
      <xdr:nvSpPr>
        <xdr:cNvPr id="837740" name="Line 48"/>
        <xdr:cNvSpPr>
          <a:spLocks noChangeShapeType="1"/>
        </xdr:cNvSpPr>
      </xdr:nvSpPr>
      <xdr:spPr bwMode="auto">
        <a:xfrm flipH="1">
          <a:off x="80962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6</xdr:row>
      <xdr:rowOff>76200</xdr:rowOff>
    </xdr:from>
    <xdr:to>
      <xdr:col>18</xdr:col>
      <xdr:colOff>123825</xdr:colOff>
      <xdr:row>7</xdr:row>
      <xdr:rowOff>142875</xdr:rowOff>
    </xdr:to>
    <xdr:sp macro="" textlink="">
      <xdr:nvSpPr>
        <xdr:cNvPr id="837741" name="Line 49"/>
        <xdr:cNvSpPr>
          <a:spLocks noChangeShapeType="1"/>
        </xdr:cNvSpPr>
      </xdr:nvSpPr>
      <xdr:spPr bwMode="auto">
        <a:xfrm>
          <a:off x="82105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123825</xdr:colOff>
      <xdr:row>6</xdr:row>
      <xdr:rowOff>76200</xdr:rowOff>
    </xdr:to>
    <xdr:sp macro="" textlink="">
      <xdr:nvSpPr>
        <xdr:cNvPr id="837742" name="Line 50"/>
        <xdr:cNvSpPr>
          <a:spLocks noChangeShapeType="1"/>
        </xdr:cNvSpPr>
      </xdr:nvSpPr>
      <xdr:spPr bwMode="auto">
        <a:xfrm flipH="1" flipV="1">
          <a:off x="80867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133350</xdr:rowOff>
    </xdr:from>
    <xdr:to>
      <xdr:col>18</xdr:col>
      <xdr:colOff>123825</xdr:colOff>
      <xdr:row>7</xdr:row>
      <xdr:rowOff>133350</xdr:rowOff>
    </xdr:to>
    <xdr:sp macro="" textlink="">
      <xdr:nvSpPr>
        <xdr:cNvPr id="837743" name="Line 51"/>
        <xdr:cNvSpPr>
          <a:spLocks noChangeShapeType="1"/>
        </xdr:cNvSpPr>
      </xdr:nvSpPr>
      <xdr:spPr bwMode="auto">
        <a:xfrm flipH="1">
          <a:off x="80867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76200</xdr:rowOff>
    </xdr:from>
    <xdr:to>
      <xdr:col>18</xdr:col>
      <xdr:colOff>123825</xdr:colOff>
      <xdr:row>9</xdr:row>
      <xdr:rowOff>142875</xdr:rowOff>
    </xdr:to>
    <xdr:sp macro="" textlink="">
      <xdr:nvSpPr>
        <xdr:cNvPr id="837744" name="Line 52"/>
        <xdr:cNvSpPr>
          <a:spLocks noChangeShapeType="1"/>
        </xdr:cNvSpPr>
      </xdr:nvSpPr>
      <xdr:spPr bwMode="auto">
        <a:xfrm>
          <a:off x="82105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76200</xdr:rowOff>
    </xdr:from>
    <xdr:to>
      <xdr:col>18</xdr:col>
      <xdr:colOff>123825</xdr:colOff>
      <xdr:row>8</xdr:row>
      <xdr:rowOff>76200</xdr:rowOff>
    </xdr:to>
    <xdr:sp macro="" textlink="">
      <xdr:nvSpPr>
        <xdr:cNvPr id="837745" name="Line 53"/>
        <xdr:cNvSpPr>
          <a:spLocks noChangeShapeType="1"/>
        </xdr:cNvSpPr>
      </xdr:nvSpPr>
      <xdr:spPr bwMode="auto">
        <a:xfrm flipH="1" flipV="1">
          <a:off x="80867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123825</xdr:colOff>
      <xdr:row>9</xdr:row>
      <xdr:rowOff>133350</xdr:rowOff>
    </xdr:to>
    <xdr:sp macro="" textlink="">
      <xdr:nvSpPr>
        <xdr:cNvPr id="837746" name="Line 54"/>
        <xdr:cNvSpPr>
          <a:spLocks noChangeShapeType="1"/>
        </xdr:cNvSpPr>
      </xdr:nvSpPr>
      <xdr:spPr bwMode="auto">
        <a:xfrm flipH="1">
          <a:off x="80867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12</xdr:row>
      <xdr:rowOff>76200</xdr:rowOff>
    </xdr:from>
    <xdr:to>
      <xdr:col>18</xdr:col>
      <xdr:colOff>123825</xdr:colOff>
      <xdr:row>13</xdr:row>
      <xdr:rowOff>142875</xdr:rowOff>
    </xdr:to>
    <xdr:sp macro="" textlink="">
      <xdr:nvSpPr>
        <xdr:cNvPr id="837747" name="Line 55"/>
        <xdr:cNvSpPr>
          <a:spLocks noChangeShapeType="1"/>
        </xdr:cNvSpPr>
      </xdr:nvSpPr>
      <xdr:spPr bwMode="auto">
        <a:xfrm>
          <a:off x="82105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123825</xdr:colOff>
      <xdr:row>12</xdr:row>
      <xdr:rowOff>76200</xdr:rowOff>
    </xdr:to>
    <xdr:sp macro="" textlink="">
      <xdr:nvSpPr>
        <xdr:cNvPr id="837748" name="Line 56"/>
        <xdr:cNvSpPr>
          <a:spLocks noChangeShapeType="1"/>
        </xdr:cNvSpPr>
      </xdr:nvSpPr>
      <xdr:spPr bwMode="auto">
        <a:xfrm flipH="1" flipV="1">
          <a:off x="80867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13</xdr:row>
      <xdr:rowOff>133350</xdr:rowOff>
    </xdr:from>
    <xdr:to>
      <xdr:col>18</xdr:col>
      <xdr:colOff>123825</xdr:colOff>
      <xdr:row>13</xdr:row>
      <xdr:rowOff>133350</xdr:rowOff>
    </xdr:to>
    <xdr:sp macro="" textlink="">
      <xdr:nvSpPr>
        <xdr:cNvPr id="837749" name="Line 57"/>
        <xdr:cNvSpPr>
          <a:spLocks noChangeShapeType="1"/>
        </xdr:cNvSpPr>
      </xdr:nvSpPr>
      <xdr:spPr bwMode="auto">
        <a:xfrm flipH="1">
          <a:off x="80867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14</xdr:row>
      <xdr:rowOff>76200</xdr:rowOff>
    </xdr:from>
    <xdr:to>
      <xdr:col>18</xdr:col>
      <xdr:colOff>123825</xdr:colOff>
      <xdr:row>15</xdr:row>
      <xdr:rowOff>142875</xdr:rowOff>
    </xdr:to>
    <xdr:sp macro="" textlink="">
      <xdr:nvSpPr>
        <xdr:cNvPr id="837750" name="Line 58"/>
        <xdr:cNvSpPr>
          <a:spLocks noChangeShapeType="1"/>
        </xdr:cNvSpPr>
      </xdr:nvSpPr>
      <xdr:spPr bwMode="auto">
        <a:xfrm>
          <a:off x="82105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76200</xdr:rowOff>
    </xdr:from>
    <xdr:to>
      <xdr:col>18</xdr:col>
      <xdr:colOff>123825</xdr:colOff>
      <xdr:row>14</xdr:row>
      <xdr:rowOff>76200</xdr:rowOff>
    </xdr:to>
    <xdr:sp macro="" textlink="">
      <xdr:nvSpPr>
        <xdr:cNvPr id="837751" name="Line 59"/>
        <xdr:cNvSpPr>
          <a:spLocks noChangeShapeType="1"/>
        </xdr:cNvSpPr>
      </xdr:nvSpPr>
      <xdr:spPr bwMode="auto">
        <a:xfrm flipH="1" flipV="1">
          <a:off x="80867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133350</xdr:rowOff>
    </xdr:from>
    <xdr:to>
      <xdr:col>18</xdr:col>
      <xdr:colOff>123825</xdr:colOff>
      <xdr:row>15</xdr:row>
      <xdr:rowOff>133350</xdr:rowOff>
    </xdr:to>
    <xdr:sp macro="" textlink="">
      <xdr:nvSpPr>
        <xdr:cNvPr id="837752" name="Line 60"/>
        <xdr:cNvSpPr>
          <a:spLocks noChangeShapeType="1"/>
        </xdr:cNvSpPr>
      </xdr:nvSpPr>
      <xdr:spPr bwMode="auto">
        <a:xfrm flipH="1">
          <a:off x="80867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753" name="Line 62"/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754" name="Line 63"/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755" name="Line 64"/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756" name="Line 65"/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757" name="Line 66"/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758" name="Line 67"/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16</xdr:row>
      <xdr:rowOff>66675</xdr:rowOff>
    </xdr:from>
    <xdr:to>
      <xdr:col>25</xdr:col>
      <xdr:colOff>114300</xdr:colOff>
      <xdr:row>19</xdr:row>
      <xdr:rowOff>85725</xdr:rowOff>
    </xdr:to>
    <xdr:sp macro="" textlink="">
      <xdr:nvSpPr>
        <xdr:cNvPr id="837759" name="Line 70"/>
        <xdr:cNvSpPr>
          <a:spLocks noChangeShapeType="1"/>
        </xdr:cNvSpPr>
      </xdr:nvSpPr>
      <xdr:spPr bwMode="auto">
        <a:xfrm>
          <a:off x="109728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16</xdr:row>
      <xdr:rowOff>57150</xdr:rowOff>
    </xdr:from>
    <xdr:to>
      <xdr:col>25</xdr:col>
      <xdr:colOff>123825</xdr:colOff>
      <xdr:row>16</xdr:row>
      <xdr:rowOff>57150</xdr:rowOff>
    </xdr:to>
    <xdr:sp macro="" textlink="">
      <xdr:nvSpPr>
        <xdr:cNvPr id="837760" name="Line 71"/>
        <xdr:cNvSpPr>
          <a:spLocks noChangeShapeType="1"/>
        </xdr:cNvSpPr>
      </xdr:nvSpPr>
      <xdr:spPr bwMode="auto">
        <a:xfrm flipH="1">
          <a:off x="108585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19</xdr:row>
      <xdr:rowOff>95250</xdr:rowOff>
    </xdr:from>
    <xdr:to>
      <xdr:col>25</xdr:col>
      <xdr:colOff>114300</xdr:colOff>
      <xdr:row>19</xdr:row>
      <xdr:rowOff>95250</xdr:rowOff>
    </xdr:to>
    <xdr:sp macro="" textlink="">
      <xdr:nvSpPr>
        <xdr:cNvPr id="837761" name="Line 72"/>
        <xdr:cNvSpPr>
          <a:spLocks noChangeShapeType="1"/>
        </xdr:cNvSpPr>
      </xdr:nvSpPr>
      <xdr:spPr bwMode="auto">
        <a:xfrm flipH="1">
          <a:off x="108680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6</xdr:row>
      <xdr:rowOff>76200</xdr:rowOff>
    </xdr:from>
    <xdr:to>
      <xdr:col>25</xdr:col>
      <xdr:colOff>123825</xdr:colOff>
      <xdr:row>7</xdr:row>
      <xdr:rowOff>142875</xdr:rowOff>
    </xdr:to>
    <xdr:sp macro="" textlink="">
      <xdr:nvSpPr>
        <xdr:cNvPr id="837762" name="Line 73"/>
        <xdr:cNvSpPr>
          <a:spLocks noChangeShapeType="1"/>
        </xdr:cNvSpPr>
      </xdr:nvSpPr>
      <xdr:spPr bwMode="auto">
        <a:xfrm>
          <a:off x="109823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76200</xdr:rowOff>
    </xdr:from>
    <xdr:to>
      <xdr:col>25</xdr:col>
      <xdr:colOff>123825</xdr:colOff>
      <xdr:row>6</xdr:row>
      <xdr:rowOff>76200</xdr:rowOff>
    </xdr:to>
    <xdr:sp macro="" textlink="">
      <xdr:nvSpPr>
        <xdr:cNvPr id="837763" name="Line 74"/>
        <xdr:cNvSpPr>
          <a:spLocks noChangeShapeType="1"/>
        </xdr:cNvSpPr>
      </xdr:nvSpPr>
      <xdr:spPr bwMode="auto">
        <a:xfrm flipH="1" flipV="1">
          <a:off x="108585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133350</xdr:rowOff>
    </xdr:from>
    <xdr:to>
      <xdr:col>25</xdr:col>
      <xdr:colOff>123825</xdr:colOff>
      <xdr:row>7</xdr:row>
      <xdr:rowOff>133350</xdr:rowOff>
    </xdr:to>
    <xdr:sp macro="" textlink="">
      <xdr:nvSpPr>
        <xdr:cNvPr id="837764" name="Line 75"/>
        <xdr:cNvSpPr>
          <a:spLocks noChangeShapeType="1"/>
        </xdr:cNvSpPr>
      </xdr:nvSpPr>
      <xdr:spPr bwMode="auto">
        <a:xfrm flipH="1">
          <a:off x="108585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8</xdr:row>
      <xdr:rowOff>76200</xdr:rowOff>
    </xdr:from>
    <xdr:to>
      <xdr:col>25</xdr:col>
      <xdr:colOff>123825</xdr:colOff>
      <xdr:row>9</xdr:row>
      <xdr:rowOff>142875</xdr:rowOff>
    </xdr:to>
    <xdr:sp macro="" textlink="">
      <xdr:nvSpPr>
        <xdr:cNvPr id="837765" name="Line 76"/>
        <xdr:cNvSpPr>
          <a:spLocks noChangeShapeType="1"/>
        </xdr:cNvSpPr>
      </xdr:nvSpPr>
      <xdr:spPr bwMode="auto">
        <a:xfrm>
          <a:off x="109823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76200</xdr:rowOff>
    </xdr:from>
    <xdr:to>
      <xdr:col>25</xdr:col>
      <xdr:colOff>123825</xdr:colOff>
      <xdr:row>8</xdr:row>
      <xdr:rowOff>76200</xdr:rowOff>
    </xdr:to>
    <xdr:sp macro="" textlink="">
      <xdr:nvSpPr>
        <xdr:cNvPr id="837766" name="Line 77"/>
        <xdr:cNvSpPr>
          <a:spLocks noChangeShapeType="1"/>
        </xdr:cNvSpPr>
      </xdr:nvSpPr>
      <xdr:spPr bwMode="auto">
        <a:xfrm flipH="1" flipV="1">
          <a:off x="108585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9</xdr:row>
      <xdr:rowOff>133350</xdr:rowOff>
    </xdr:from>
    <xdr:to>
      <xdr:col>25</xdr:col>
      <xdr:colOff>123825</xdr:colOff>
      <xdr:row>9</xdr:row>
      <xdr:rowOff>133350</xdr:rowOff>
    </xdr:to>
    <xdr:sp macro="" textlink="">
      <xdr:nvSpPr>
        <xdr:cNvPr id="837767" name="Line 78"/>
        <xdr:cNvSpPr>
          <a:spLocks noChangeShapeType="1"/>
        </xdr:cNvSpPr>
      </xdr:nvSpPr>
      <xdr:spPr bwMode="auto">
        <a:xfrm flipH="1">
          <a:off x="108585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12</xdr:row>
      <xdr:rowOff>76200</xdr:rowOff>
    </xdr:from>
    <xdr:to>
      <xdr:col>25</xdr:col>
      <xdr:colOff>123825</xdr:colOff>
      <xdr:row>13</xdr:row>
      <xdr:rowOff>142875</xdr:rowOff>
    </xdr:to>
    <xdr:sp macro="" textlink="">
      <xdr:nvSpPr>
        <xdr:cNvPr id="837768" name="Line 79"/>
        <xdr:cNvSpPr>
          <a:spLocks noChangeShapeType="1"/>
        </xdr:cNvSpPr>
      </xdr:nvSpPr>
      <xdr:spPr bwMode="auto">
        <a:xfrm>
          <a:off x="109823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76200</xdr:rowOff>
    </xdr:from>
    <xdr:to>
      <xdr:col>25</xdr:col>
      <xdr:colOff>123825</xdr:colOff>
      <xdr:row>12</xdr:row>
      <xdr:rowOff>76200</xdr:rowOff>
    </xdr:to>
    <xdr:sp macro="" textlink="">
      <xdr:nvSpPr>
        <xdr:cNvPr id="837769" name="Line 80"/>
        <xdr:cNvSpPr>
          <a:spLocks noChangeShapeType="1"/>
        </xdr:cNvSpPr>
      </xdr:nvSpPr>
      <xdr:spPr bwMode="auto">
        <a:xfrm flipH="1" flipV="1">
          <a:off x="108585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13</xdr:row>
      <xdr:rowOff>133350</xdr:rowOff>
    </xdr:from>
    <xdr:to>
      <xdr:col>25</xdr:col>
      <xdr:colOff>123825</xdr:colOff>
      <xdr:row>13</xdr:row>
      <xdr:rowOff>133350</xdr:rowOff>
    </xdr:to>
    <xdr:sp macro="" textlink="">
      <xdr:nvSpPr>
        <xdr:cNvPr id="837770" name="Line 81"/>
        <xdr:cNvSpPr>
          <a:spLocks noChangeShapeType="1"/>
        </xdr:cNvSpPr>
      </xdr:nvSpPr>
      <xdr:spPr bwMode="auto">
        <a:xfrm flipH="1">
          <a:off x="108585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14</xdr:row>
      <xdr:rowOff>76200</xdr:rowOff>
    </xdr:from>
    <xdr:to>
      <xdr:col>25</xdr:col>
      <xdr:colOff>123825</xdr:colOff>
      <xdr:row>15</xdr:row>
      <xdr:rowOff>142875</xdr:rowOff>
    </xdr:to>
    <xdr:sp macro="" textlink="">
      <xdr:nvSpPr>
        <xdr:cNvPr id="837771" name="Line 82"/>
        <xdr:cNvSpPr>
          <a:spLocks noChangeShapeType="1"/>
        </xdr:cNvSpPr>
      </xdr:nvSpPr>
      <xdr:spPr bwMode="auto">
        <a:xfrm>
          <a:off x="109823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14</xdr:row>
      <xdr:rowOff>76200</xdr:rowOff>
    </xdr:from>
    <xdr:to>
      <xdr:col>25</xdr:col>
      <xdr:colOff>123825</xdr:colOff>
      <xdr:row>14</xdr:row>
      <xdr:rowOff>76200</xdr:rowOff>
    </xdr:to>
    <xdr:sp macro="" textlink="">
      <xdr:nvSpPr>
        <xdr:cNvPr id="837772" name="Line 83"/>
        <xdr:cNvSpPr>
          <a:spLocks noChangeShapeType="1"/>
        </xdr:cNvSpPr>
      </xdr:nvSpPr>
      <xdr:spPr bwMode="auto">
        <a:xfrm flipH="1" flipV="1">
          <a:off x="108585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15</xdr:row>
      <xdr:rowOff>133350</xdr:rowOff>
    </xdr:from>
    <xdr:to>
      <xdr:col>25</xdr:col>
      <xdr:colOff>123825</xdr:colOff>
      <xdr:row>15</xdr:row>
      <xdr:rowOff>133350</xdr:rowOff>
    </xdr:to>
    <xdr:sp macro="" textlink="">
      <xdr:nvSpPr>
        <xdr:cNvPr id="837773" name="Line 84"/>
        <xdr:cNvSpPr>
          <a:spLocks noChangeShapeType="1"/>
        </xdr:cNvSpPr>
      </xdr:nvSpPr>
      <xdr:spPr bwMode="auto">
        <a:xfrm flipH="1">
          <a:off x="108585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774" name="Line 86"/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775" name="Line 87"/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776" name="Line 88"/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777" name="Line 89"/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778" name="Line 90"/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779" name="Line 91"/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16</xdr:row>
      <xdr:rowOff>66675</xdr:rowOff>
    </xdr:from>
    <xdr:to>
      <xdr:col>32</xdr:col>
      <xdr:colOff>114300</xdr:colOff>
      <xdr:row>19</xdr:row>
      <xdr:rowOff>85725</xdr:rowOff>
    </xdr:to>
    <xdr:sp macro="" textlink="">
      <xdr:nvSpPr>
        <xdr:cNvPr id="837780" name="Line 94"/>
        <xdr:cNvSpPr>
          <a:spLocks noChangeShapeType="1"/>
        </xdr:cNvSpPr>
      </xdr:nvSpPr>
      <xdr:spPr bwMode="auto">
        <a:xfrm>
          <a:off x="13744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57150</xdr:rowOff>
    </xdr:from>
    <xdr:to>
      <xdr:col>32</xdr:col>
      <xdr:colOff>123825</xdr:colOff>
      <xdr:row>16</xdr:row>
      <xdr:rowOff>57150</xdr:rowOff>
    </xdr:to>
    <xdr:sp macro="" textlink="">
      <xdr:nvSpPr>
        <xdr:cNvPr id="837781" name="Line 95"/>
        <xdr:cNvSpPr>
          <a:spLocks noChangeShapeType="1"/>
        </xdr:cNvSpPr>
      </xdr:nvSpPr>
      <xdr:spPr bwMode="auto">
        <a:xfrm flipH="1">
          <a:off x="13630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19</xdr:row>
      <xdr:rowOff>95250</xdr:rowOff>
    </xdr:from>
    <xdr:to>
      <xdr:col>32</xdr:col>
      <xdr:colOff>114300</xdr:colOff>
      <xdr:row>19</xdr:row>
      <xdr:rowOff>95250</xdr:rowOff>
    </xdr:to>
    <xdr:sp macro="" textlink="">
      <xdr:nvSpPr>
        <xdr:cNvPr id="837782" name="Line 96"/>
        <xdr:cNvSpPr>
          <a:spLocks noChangeShapeType="1"/>
        </xdr:cNvSpPr>
      </xdr:nvSpPr>
      <xdr:spPr bwMode="auto">
        <a:xfrm flipH="1">
          <a:off x="13639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6</xdr:row>
      <xdr:rowOff>76200</xdr:rowOff>
    </xdr:from>
    <xdr:to>
      <xdr:col>32</xdr:col>
      <xdr:colOff>123825</xdr:colOff>
      <xdr:row>7</xdr:row>
      <xdr:rowOff>142875</xdr:rowOff>
    </xdr:to>
    <xdr:sp macro="" textlink="">
      <xdr:nvSpPr>
        <xdr:cNvPr id="837783" name="Line 97"/>
        <xdr:cNvSpPr>
          <a:spLocks noChangeShapeType="1"/>
        </xdr:cNvSpPr>
      </xdr:nvSpPr>
      <xdr:spPr bwMode="auto">
        <a:xfrm>
          <a:off x="13754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123825</xdr:colOff>
      <xdr:row>6</xdr:row>
      <xdr:rowOff>76200</xdr:rowOff>
    </xdr:to>
    <xdr:sp macro="" textlink="">
      <xdr:nvSpPr>
        <xdr:cNvPr id="837784" name="Line 98"/>
        <xdr:cNvSpPr>
          <a:spLocks noChangeShapeType="1"/>
        </xdr:cNvSpPr>
      </xdr:nvSpPr>
      <xdr:spPr bwMode="auto">
        <a:xfrm flipH="1" flipV="1">
          <a:off x="13630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</xdr:row>
      <xdr:rowOff>133350</xdr:rowOff>
    </xdr:from>
    <xdr:to>
      <xdr:col>32</xdr:col>
      <xdr:colOff>123825</xdr:colOff>
      <xdr:row>7</xdr:row>
      <xdr:rowOff>133350</xdr:rowOff>
    </xdr:to>
    <xdr:sp macro="" textlink="">
      <xdr:nvSpPr>
        <xdr:cNvPr id="837785" name="Line 99"/>
        <xdr:cNvSpPr>
          <a:spLocks noChangeShapeType="1"/>
        </xdr:cNvSpPr>
      </xdr:nvSpPr>
      <xdr:spPr bwMode="auto">
        <a:xfrm flipH="1">
          <a:off x="13630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8</xdr:row>
      <xdr:rowOff>76200</xdr:rowOff>
    </xdr:from>
    <xdr:to>
      <xdr:col>32</xdr:col>
      <xdr:colOff>123825</xdr:colOff>
      <xdr:row>9</xdr:row>
      <xdr:rowOff>142875</xdr:rowOff>
    </xdr:to>
    <xdr:sp macro="" textlink="">
      <xdr:nvSpPr>
        <xdr:cNvPr id="837786" name="Line 100"/>
        <xdr:cNvSpPr>
          <a:spLocks noChangeShapeType="1"/>
        </xdr:cNvSpPr>
      </xdr:nvSpPr>
      <xdr:spPr bwMode="auto">
        <a:xfrm>
          <a:off x="13754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</xdr:row>
      <xdr:rowOff>76200</xdr:rowOff>
    </xdr:from>
    <xdr:to>
      <xdr:col>32</xdr:col>
      <xdr:colOff>123825</xdr:colOff>
      <xdr:row>8</xdr:row>
      <xdr:rowOff>76200</xdr:rowOff>
    </xdr:to>
    <xdr:sp macro="" textlink="">
      <xdr:nvSpPr>
        <xdr:cNvPr id="837787" name="Line 101"/>
        <xdr:cNvSpPr>
          <a:spLocks noChangeShapeType="1"/>
        </xdr:cNvSpPr>
      </xdr:nvSpPr>
      <xdr:spPr bwMode="auto">
        <a:xfrm flipH="1" flipV="1">
          <a:off x="13630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9</xdr:row>
      <xdr:rowOff>133350</xdr:rowOff>
    </xdr:from>
    <xdr:to>
      <xdr:col>32</xdr:col>
      <xdr:colOff>123825</xdr:colOff>
      <xdr:row>9</xdr:row>
      <xdr:rowOff>133350</xdr:rowOff>
    </xdr:to>
    <xdr:sp macro="" textlink="">
      <xdr:nvSpPr>
        <xdr:cNvPr id="837788" name="Line 102"/>
        <xdr:cNvSpPr>
          <a:spLocks noChangeShapeType="1"/>
        </xdr:cNvSpPr>
      </xdr:nvSpPr>
      <xdr:spPr bwMode="auto">
        <a:xfrm flipH="1">
          <a:off x="13630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12</xdr:row>
      <xdr:rowOff>76200</xdr:rowOff>
    </xdr:from>
    <xdr:to>
      <xdr:col>32</xdr:col>
      <xdr:colOff>123825</xdr:colOff>
      <xdr:row>13</xdr:row>
      <xdr:rowOff>142875</xdr:rowOff>
    </xdr:to>
    <xdr:sp macro="" textlink="">
      <xdr:nvSpPr>
        <xdr:cNvPr id="837789" name="Line 103"/>
        <xdr:cNvSpPr>
          <a:spLocks noChangeShapeType="1"/>
        </xdr:cNvSpPr>
      </xdr:nvSpPr>
      <xdr:spPr bwMode="auto">
        <a:xfrm>
          <a:off x="13754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12</xdr:row>
      <xdr:rowOff>76200</xdr:rowOff>
    </xdr:from>
    <xdr:to>
      <xdr:col>32</xdr:col>
      <xdr:colOff>123825</xdr:colOff>
      <xdr:row>12</xdr:row>
      <xdr:rowOff>76200</xdr:rowOff>
    </xdr:to>
    <xdr:sp macro="" textlink="">
      <xdr:nvSpPr>
        <xdr:cNvPr id="837790" name="Line 104"/>
        <xdr:cNvSpPr>
          <a:spLocks noChangeShapeType="1"/>
        </xdr:cNvSpPr>
      </xdr:nvSpPr>
      <xdr:spPr bwMode="auto">
        <a:xfrm flipH="1" flipV="1">
          <a:off x="13630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123825</xdr:colOff>
      <xdr:row>13</xdr:row>
      <xdr:rowOff>133350</xdr:rowOff>
    </xdr:to>
    <xdr:sp macro="" textlink="">
      <xdr:nvSpPr>
        <xdr:cNvPr id="837791" name="Line 105"/>
        <xdr:cNvSpPr>
          <a:spLocks noChangeShapeType="1"/>
        </xdr:cNvSpPr>
      </xdr:nvSpPr>
      <xdr:spPr bwMode="auto">
        <a:xfrm flipH="1">
          <a:off x="13630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123825</xdr:colOff>
      <xdr:row>14</xdr:row>
      <xdr:rowOff>76200</xdr:rowOff>
    </xdr:from>
    <xdr:to>
      <xdr:col>32</xdr:col>
      <xdr:colOff>123825</xdr:colOff>
      <xdr:row>15</xdr:row>
      <xdr:rowOff>142875</xdr:rowOff>
    </xdr:to>
    <xdr:sp macro="" textlink="">
      <xdr:nvSpPr>
        <xdr:cNvPr id="837792" name="Line 106"/>
        <xdr:cNvSpPr>
          <a:spLocks noChangeShapeType="1"/>
        </xdr:cNvSpPr>
      </xdr:nvSpPr>
      <xdr:spPr bwMode="auto">
        <a:xfrm>
          <a:off x="13754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76200</xdr:rowOff>
    </xdr:from>
    <xdr:to>
      <xdr:col>32</xdr:col>
      <xdr:colOff>123825</xdr:colOff>
      <xdr:row>14</xdr:row>
      <xdr:rowOff>76200</xdr:rowOff>
    </xdr:to>
    <xdr:sp macro="" textlink="">
      <xdr:nvSpPr>
        <xdr:cNvPr id="837793" name="Line 107"/>
        <xdr:cNvSpPr>
          <a:spLocks noChangeShapeType="1"/>
        </xdr:cNvSpPr>
      </xdr:nvSpPr>
      <xdr:spPr bwMode="auto">
        <a:xfrm flipH="1" flipV="1">
          <a:off x="13630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133350</xdr:rowOff>
    </xdr:from>
    <xdr:to>
      <xdr:col>32</xdr:col>
      <xdr:colOff>123825</xdr:colOff>
      <xdr:row>15</xdr:row>
      <xdr:rowOff>133350</xdr:rowOff>
    </xdr:to>
    <xdr:sp macro="" textlink="">
      <xdr:nvSpPr>
        <xdr:cNvPr id="837794" name="Line 108"/>
        <xdr:cNvSpPr>
          <a:spLocks noChangeShapeType="1"/>
        </xdr:cNvSpPr>
      </xdr:nvSpPr>
      <xdr:spPr bwMode="auto">
        <a:xfrm flipH="1">
          <a:off x="13630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795" name="Line 110"/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796" name="Line 111"/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797" name="Line 112"/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798" name="Line 113"/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799" name="Line 114"/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800" name="Line 115"/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114300</xdr:colOff>
      <xdr:row>16</xdr:row>
      <xdr:rowOff>66675</xdr:rowOff>
    </xdr:from>
    <xdr:to>
      <xdr:col>44</xdr:col>
      <xdr:colOff>114300</xdr:colOff>
      <xdr:row>19</xdr:row>
      <xdr:rowOff>85725</xdr:rowOff>
    </xdr:to>
    <xdr:sp macro="" textlink="">
      <xdr:nvSpPr>
        <xdr:cNvPr id="837801" name="Line 118"/>
        <xdr:cNvSpPr>
          <a:spLocks noChangeShapeType="1"/>
        </xdr:cNvSpPr>
      </xdr:nvSpPr>
      <xdr:spPr bwMode="auto">
        <a:xfrm>
          <a:off x="199929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57150</xdr:rowOff>
    </xdr:from>
    <xdr:to>
      <xdr:col>44</xdr:col>
      <xdr:colOff>123825</xdr:colOff>
      <xdr:row>16</xdr:row>
      <xdr:rowOff>57150</xdr:rowOff>
    </xdr:to>
    <xdr:sp macro="" textlink="">
      <xdr:nvSpPr>
        <xdr:cNvPr id="837802" name="Line 119"/>
        <xdr:cNvSpPr>
          <a:spLocks noChangeShapeType="1"/>
        </xdr:cNvSpPr>
      </xdr:nvSpPr>
      <xdr:spPr bwMode="auto">
        <a:xfrm flipH="1">
          <a:off x="198786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9525</xdr:colOff>
      <xdr:row>19</xdr:row>
      <xdr:rowOff>95250</xdr:rowOff>
    </xdr:from>
    <xdr:to>
      <xdr:col>44</xdr:col>
      <xdr:colOff>114300</xdr:colOff>
      <xdr:row>19</xdr:row>
      <xdr:rowOff>95250</xdr:rowOff>
    </xdr:to>
    <xdr:sp macro="" textlink="">
      <xdr:nvSpPr>
        <xdr:cNvPr id="837803" name="Line 120"/>
        <xdr:cNvSpPr>
          <a:spLocks noChangeShapeType="1"/>
        </xdr:cNvSpPr>
      </xdr:nvSpPr>
      <xdr:spPr bwMode="auto">
        <a:xfrm flipH="1">
          <a:off x="198882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6</xdr:row>
      <xdr:rowOff>76200</xdr:rowOff>
    </xdr:from>
    <xdr:to>
      <xdr:col>44</xdr:col>
      <xdr:colOff>123825</xdr:colOff>
      <xdr:row>7</xdr:row>
      <xdr:rowOff>142875</xdr:rowOff>
    </xdr:to>
    <xdr:sp macro="" textlink="">
      <xdr:nvSpPr>
        <xdr:cNvPr id="837804" name="Line 121"/>
        <xdr:cNvSpPr>
          <a:spLocks noChangeShapeType="1"/>
        </xdr:cNvSpPr>
      </xdr:nvSpPr>
      <xdr:spPr bwMode="auto">
        <a:xfrm>
          <a:off x="200025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76200</xdr:rowOff>
    </xdr:from>
    <xdr:to>
      <xdr:col>44</xdr:col>
      <xdr:colOff>123825</xdr:colOff>
      <xdr:row>6</xdr:row>
      <xdr:rowOff>76200</xdr:rowOff>
    </xdr:to>
    <xdr:sp macro="" textlink="">
      <xdr:nvSpPr>
        <xdr:cNvPr id="837805" name="Line 122"/>
        <xdr:cNvSpPr>
          <a:spLocks noChangeShapeType="1"/>
        </xdr:cNvSpPr>
      </xdr:nvSpPr>
      <xdr:spPr bwMode="auto">
        <a:xfrm flipH="1" flipV="1">
          <a:off x="198786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</xdr:row>
      <xdr:rowOff>133350</xdr:rowOff>
    </xdr:from>
    <xdr:to>
      <xdr:col>44</xdr:col>
      <xdr:colOff>123825</xdr:colOff>
      <xdr:row>7</xdr:row>
      <xdr:rowOff>133350</xdr:rowOff>
    </xdr:to>
    <xdr:sp macro="" textlink="">
      <xdr:nvSpPr>
        <xdr:cNvPr id="837806" name="Line 123"/>
        <xdr:cNvSpPr>
          <a:spLocks noChangeShapeType="1"/>
        </xdr:cNvSpPr>
      </xdr:nvSpPr>
      <xdr:spPr bwMode="auto">
        <a:xfrm flipH="1">
          <a:off x="198786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8</xdr:row>
      <xdr:rowOff>76200</xdr:rowOff>
    </xdr:from>
    <xdr:to>
      <xdr:col>44</xdr:col>
      <xdr:colOff>123825</xdr:colOff>
      <xdr:row>9</xdr:row>
      <xdr:rowOff>142875</xdr:rowOff>
    </xdr:to>
    <xdr:sp macro="" textlink="">
      <xdr:nvSpPr>
        <xdr:cNvPr id="837807" name="Line 124"/>
        <xdr:cNvSpPr>
          <a:spLocks noChangeShapeType="1"/>
        </xdr:cNvSpPr>
      </xdr:nvSpPr>
      <xdr:spPr bwMode="auto">
        <a:xfrm>
          <a:off x="200025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76200</xdr:rowOff>
    </xdr:from>
    <xdr:to>
      <xdr:col>44</xdr:col>
      <xdr:colOff>123825</xdr:colOff>
      <xdr:row>8</xdr:row>
      <xdr:rowOff>76200</xdr:rowOff>
    </xdr:to>
    <xdr:sp macro="" textlink="">
      <xdr:nvSpPr>
        <xdr:cNvPr id="837808" name="Line 125"/>
        <xdr:cNvSpPr>
          <a:spLocks noChangeShapeType="1"/>
        </xdr:cNvSpPr>
      </xdr:nvSpPr>
      <xdr:spPr bwMode="auto">
        <a:xfrm flipH="1" flipV="1">
          <a:off x="198786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9</xdr:row>
      <xdr:rowOff>133350</xdr:rowOff>
    </xdr:from>
    <xdr:to>
      <xdr:col>44</xdr:col>
      <xdr:colOff>123825</xdr:colOff>
      <xdr:row>9</xdr:row>
      <xdr:rowOff>133350</xdr:rowOff>
    </xdr:to>
    <xdr:sp macro="" textlink="">
      <xdr:nvSpPr>
        <xdr:cNvPr id="837809" name="Line 126"/>
        <xdr:cNvSpPr>
          <a:spLocks noChangeShapeType="1"/>
        </xdr:cNvSpPr>
      </xdr:nvSpPr>
      <xdr:spPr bwMode="auto">
        <a:xfrm flipH="1">
          <a:off x="198786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12</xdr:row>
      <xdr:rowOff>76200</xdr:rowOff>
    </xdr:from>
    <xdr:to>
      <xdr:col>44</xdr:col>
      <xdr:colOff>123825</xdr:colOff>
      <xdr:row>13</xdr:row>
      <xdr:rowOff>142875</xdr:rowOff>
    </xdr:to>
    <xdr:sp macro="" textlink="">
      <xdr:nvSpPr>
        <xdr:cNvPr id="837810" name="Line 127"/>
        <xdr:cNvSpPr>
          <a:spLocks noChangeShapeType="1"/>
        </xdr:cNvSpPr>
      </xdr:nvSpPr>
      <xdr:spPr bwMode="auto">
        <a:xfrm>
          <a:off x="200025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76200</xdr:rowOff>
    </xdr:from>
    <xdr:to>
      <xdr:col>44</xdr:col>
      <xdr:colOff>123825</xdr:colOff>
      <xdr:row>12</xdr:row>
      <xdr:rowOff>76200</xdr:rowOff>
    </xdr:to>
    <xdr:sp macro="" textlink="">
      <xdr:nvSpPr>
        <xdr:cNvPr id="837811" name="Line 128"/>
        <xdr:cNvSpPr>
          <a:spLocks noChangeShapeType="1"/>
        </xdr:cNvSpPr>
      </xdr:nvSpPr>
      <xdr:spPr bwMode="auto">
        <a:xfrm flipH="1" flipV="1">
          <a:off x="198786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13</xdr:row>
      <xdr:rowOff>133350</xdr:rowOff>
    </xdr:from>
    <xdr:to>
      <xdr:col>44</xdr:col>
      <xdr:colOff>123825</xdr:colOff>
      <xdr:row>13</xdr:row>
      <xdr:rowOff>133350</xdr:rowOff>
    </xdr:to>
    <xdr:sp macro="" textlink="">
      <xdr:nvSpPr>
        <xdr:cNvPr id="837812" name="Line 129"/>
        <xdr:cNvSpPr>
          <a:spLocks noChangeShapeType="1"/>
        </xdr:cNvSpPr>
      </xdr:nvSpPr>
      <xdr:spPr bwMode="auto">
        <a:xfrm flipH="1">
          <a:off x="198786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14</xdr:row>
      <xdr:rowOff>76200</xdr:rowOff>
    </xdr:from>
    <xdr:to>
      <xdr:col>44</xdr:col>
      <xdr:colOff>123825</xdr:colOff>
      <xdr:row>15</xdr:row>
      <xdr:rowOff>142875</xdr:rowOff>
    </xdr:to>
    <xdr:sp macro="" textlink="">
      <xdr:nvSpPr>
        <xdr:cNvPr id="837813" name="Line 130"/>
        <xdr:cNvSpPr>
          <a:spLocks noChangeShapeType="1"/>
        </xdr:cNvSpPr>
      </xdr:nvSpPr>
      <xdr:spPr bwMode="auto">
        <a:xfrm>
          <a:off x="200025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14</xdr:row>
      <xdr:rowOff>76200</xdr:rowOff>
    </xdr:from>
    <xdr:to>
      <xdr:col>44</xdr:col>
      <xdr:colOff>123825</xdr:colOff>
      <xdr:row>14</xdr:row>
      <xdr:rowOff>76200</xdr:rowOff>
    </xdr:to>
    <xdr:sp macro="" textlink="">
      <xdr:nvSpPr>
        <xdr:cNvPr id="837814" name="Line 131"/>
        <xdr:cNvSpPr>
          <a:spLocks noChangeShapeType="1"/>
        </xdr:cNvSpPr>
      </xdr:nvSpPr>
      <xdr:spPr bwMode="auto">
        <a:xfrm flipH="1" flipV="1">
          <a:off x="198786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15</xdr:row>
      <xdr:rowOff>133350</xdr:rowOff>
    </xdr:from>
    <xdr:to>
      <xdr:col>44</xdr:col>
      <xdr:colOff>123825</xdr:colOff>
      <xdr:row>15</xdr:row>
      <xdr:rowOff>133350</xdr:rowOff>
    </xdr:to>
    <xdr:sp macro="" textlink="">
      <xdr:nvSpPr>
        <xdr:cNvPr id="837815" name="Line 132"/>
        <xdr:cNvSpPr>
          <a:spLocks noChangeShapeType="1"/>
        </xdr:cNvSpPr>
      </xdr:nvSpPr>
      <xdr:spPr bwMode="auto">
        <a:xfrm flipH="1">
          <a:off x="198786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816" name="Line 134"/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817" name="Line 135"/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818" name="Line 136"/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819" name="Line 137"/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820" name="Line 138"/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821" name="Line 139"/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16</xdr:row>
      <xdr:rowOff>66675</xdr:rowOff>
    </xdr:from>
    <xdr:to>
      <xdr:col>38</xdr:col>
      <xdr:colOff>114300</xdr:colOff>
      <xdr:row>19</xdr:row>
      <xdr:rowOff>85725</xdr:rowOff>
    </xdr:to>
    <xdr:sp macro="" textlink="">
      <xdr:nvSpPr>
        <xdr:cNvPr id="837822" name="Line 142"/>
        <xdr:cNvSpPr>
          <a:spLocks noChangeShapeType="1"/>
        </xdr:cNvSpPr>
      </xdr:nvSpPr>
      <xdr:spPr bwMode="auto">
        <a:xfrm>
          <a:off x="16754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123825</xdr:colOff>
      <xdr:row>16</xdr:row>
      <xdr:rowOff>57150</xdr:rowOff>
    </xdr:to>
    <xdr:sp macro="" textlink="">
      <xdr:nvSpPr>
        <xdr:cNvPr id="837823" name="Line 143"/>
        <xdr:cNvSpPr>
          <a:spLocks noChangeShapeType="1"/>
        </xdr:cNvSpPr>
      </xdr:nvSpPr>
      <xdr:spPr bwMode="auto">
        <a:xfrm flipH="1">
          <a:off x="16640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19</xdr:row>
      <xdr:rowOff>95250</xdr:rowOff>
    </xdr:from>
    <xdr:to>
      <xdr:col>38</xdr:col>
      <xdr:colOff>114300</xdr:colOff>
      <xdr:row>19</xdr:row>
      <xdr:rowOff>95250</xdr:rowOff>
    </xdr:to>
    <xdr:sp macro="" textlink="">
      <xdr:nvSpPr>
        <xdr:cNvPr id="837824" name="Line 144"/>
        <xdr:cNvSpPr>
          <a:spLocks noChangeShapeType="1"/>
        </xdr:cNvSpPr>
      </xdr:nvSpPr>
      <xdr:spPr bwMode="auto">
        <a:xfrm flipH="1">
          <a:off x="16649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6</xdr:row>
      <xdr:rowOff>76200</xdr:rowOff>
    </xdr:from>
    <xdr:to>
      <xdr:col>38</xdr:col>
      <xdr:colOff>123825</xdr:colOff>
      <xdr:row>7</xdr:row>
      <xdr:rowOff>142875</xdr:rowOff>
    </xdr:to>
    <xdr:sp macro="" textlink="">
      <xdr:nvSpPr>
        <xdr:cNvPr id="837825" name="Line 145"/>
        <xdr:cNvSpPr>
          <a:spLocks noChangeShapeType="1"/>
        </xdr:cNvSpPr>
      </xdr:nvSpPr>
      <xdr:spPr bwMode="auto">
        <a:xfrm>
          <a:off x="16764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76200</xdr:rowOff>
    </xdr:from>
    <xdr:to>
      <xdr:col>38</xdr:col>
      <xdr:colOff>123825</xdr:colOff>
      <xdr:row>6</xdr:row>
      <xdr:rowOff>76200</xdr:rowOff>
    </xdr:to>
    <xdr:sp macro="" textlink="">
      <xdr:nvSpPr>
        <xdr:cNvPr id="837826" name="Line 146"/>
        <xdr:cNvSpPr>
          <a:spLocks noChangeShapeType="1"/>
        </xdr:cNvSpPr>
      </xdr:nvSpPr>
      <xdr:spPr bwMode="auto">
        <a:xfrm flipH="1" flipV="1">
          <a:off x="16640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</xdr:row>
      <xdr:rowOff>133350</xdr:rowOff>
    </xdr:from>
    <xdr:to>
      <xdr:col>38</xdr:col>
      <xdr:colOff>123825</xdr:colOff>
      <xdr:row>7</xdr:row>
      <xdr:rowOff>133350</xdr:rowOff>
    </xdr:to>
    <xdr:sp macro="" textlink="">
      <xdr:nvSpPr>
        <xdr:cNvPr id="837827" name="Line 147"/>
        <xdr:cNvSpPr>
          <a:spLocks noChangeShapeType="1"/>
        </xdr:cNvSpPr>
      </xdr:nvSpPr>
      <xdr:spPr bwMode="auto">
        <a:xfrm flipH="1">
          <a:off x="16640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8</xdr:row>
      <xdr:rowOff>76200</xdr:rowOff>
    </xdr:from>
    <xdr:to>
      <xdr:col>38</xdr:col>
      <xdr:colOff>123825</xdr:colOff>
      <xdr:row>9</xdr:row>
      <xdr:rowOff>142875</xdr:rowOff>
    </xdr:to>
    <xdr:sp macro="" textlink="">
      <xdr:nvSpPr>
        <xdr:cNvPr id="837828" name="Line 148"/>
        <xdr:cNvSpPr>
          <a:spLocks noChangeShapeType="1"/>
        </xdr:cNvSpPr>
      </xdr:nvSpPr>
      <xdr:spPr bwMode="auto">
        <a:xfrm>
          <a:off x="16764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</xdr:row>
      <xdr:rowOff>76200</xdr:rowOff>
    </xdr:from>
    <xdr:to>
      <xdr:col>38</xdr:col>
      <xdr:colOff>123825</xdr:colOff>
      <xdr:row>8</xdr:row>
      <xdr:rowOff>76200</xdr:rowOff>
    </xdr:to>
    <xdr:sp macro="" textlink="">
      <xdr:nvSpPr>
        <xdr:cNvPr id="837829" name="Line 149"/>
        <xdr:cNvSpPr>
          <a:spLocks noChangeShapeType="1"/>
        </xdr:cNvSpPr>
      </xdr:nvSpPr>
      <xdr:spPr bwMode="auto">
        <a:xfrm flipH="1" flipV="1">
          <a:off x="16640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</xdr:row>
      <xdr:rowOff>133350</xdr:rowOff>
    </xdr:from>
    <xdr:to>
      <xdr:col>38</xdr:col>
      <xdr:colOff>123825</xdr:colOff>
      <xdr:row>9</xdr:row>
      <xdr:rowOff>133350</xdr:rowOff>
    </xdr:to>
    <xdr:sp macro="" textlink="">
      <xdr:nvSpPr>
        <xdr:cNvPr id="837830" name="Line 150"/>
        <xdr:cNvSpPr>
          <a:spLocks noChangeShapeType="1"/>
        </xdr:cNvSpPr>
      </xdr:nvSpPr>
      <xdr:spPr bwMode="auto">
        <a:xfrm flipH="1">
          <a:off x="16640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12</xdr:row>
      <xdr:rowOff>76200</xdr:rowOff>
    </xdr:from>
    <xdr:to>
      <xdr:col>38</xdr:col>
      <xdr:colOff>123825</xdr:colOff>
      <xdr:row>13</xdr:row>
      <xdr:rowOff>142875</xdr:rowOff>
    </xdr:to>
    <xdr:sp macro="" textlink="">
      <xdr:nvSpPr>
        <xdr:cNvPr id="837831" name="Line 151"/>
        <xdr:cNvSpPr>
          <a:spLocks noChangeShapeType="1"/>
        </xdr:cNvSpPr>
      </xdr:nvSpPr>
      <xdr:spPr bwMode="auto">
        <a:xfrm>
          <a:off x="16764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12</xdr:row>
      <xdr:rowOff>76200</xdr:rowOff>
    </xdr:from>
    <xdr:to>
      <xdr:col>38</xdr:col>
      <xdr:colOff>123825</xdr:colOff>
      <xdr:row>12</xdr:row>
      <xdr:rowOff>76200</xdr:rowOff>
    </xdr:to>
    <xdr:sp macro="" textlink="">
      <xdr:nvSpPr>
        <xdr:cNvPr id="837832" name="Line 152"/>
        <xdr:cNvSpPr>
          <a:spLocks noChangeShapeType="1"/>
        </xdr:cNvSpPr>
      </xdr:nvSpPr>
      <xdr:spPr bwMode="auto">
        <a:xfrm flipH="1" flipV="1">
          <a:off x="16640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13</xdr:row>
      <xdr:rowOff>133350</xdr:rowOff>
    </xdr:from>
    <xdr:to>
      <xdr:col>38</xdr:col>
      <xdr:colOff>123825</xdr:colOff>
      <xdr:row>13</xdr:row>
      <xdr:rowOff>133350</xdr:rowOff>
    </xdr:to>
    <xdr:sp macro="" textlink="">
      <xdr:nvSpPr>
        <xdr:cNvPr id="837833" name="Line 153"/>
        <xdr:cNvSpPr>
          <a:spLocks noChangeShapeType="1"/>
        </xdr:cNvSpPr>
      </xdr:nvSpPr>
      <xdr:spPr bwMode="auto">
        <a:xfrm flipH="1">
          <a:off x="16640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14</xdr:row>
      <xdr:rowOff>76200</xdr:rowOff>
    </xdr:from>
    <xdr:to>
      <xdr:col>38</xdr:col>
      <xdr:colOff>123825</xdr:colOff>
      <xdr:row>15</xdr:row>
      <xdr:rowOff>142875</xdr:rowOff>
    </xdr:to>
    <xdr:sp macro="" textlink="">
      <xdr:nvSpPr>
        <xdr:cNvPr id="837834" name="Line 154"/>
        <xdr:cNvSpPr>
          <a:spLocks noChangeShapeType="1"/>
        </xdr:cNvSpPr>
      </xdr:nvSpPr>
      <xdr:spPr bwMode="auto">
        <a:xfrm>
          <a:off x="16764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14</xdr:row>
      <xdr:rowOff>76200</xdr:rowOff>
    </xdr:from>
    <xdr:to>
      <xdr:col>38</xdr:col>
      <xdr:colOff>123825</xdr:colOff>
      <xdr:row>14</xdr:row>
      <xdr:rowOff>76200</xdr:rowOff>
    </xdr:to>
    <xdr:sp macro="" textlink="">
      <xdr:nvSpPr>
        <xdr:cNvPr id="837835" name="Line 155"/>
        <xdr:cNvSpPr>
          <a:spLocks noChangeShapeType="1"/>
        </xdr:cNvSpPr>
      </xdr:nvSpPr>
      <xdr:spPr bwMode="auto">
        <a:xfrm flipH="1" flipV="1">
          <a:off x="16640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15</xdr:row>
      <xdr:rowOff>133350</xdr:rowOff>
    </xdr:from>
    <xdr:to>
      <xdr:col>38</xdr:col>
      <xdr:colOff>123825</xdr:colOff>
      <xdr:row>15</xdr:row>
      <xdr:rowOff>133350</xdr:rowOff>
    </xdr:to>
    <xdr:sp macro="" textlink="">
      <xdr:nvSpPr>
        <xdr:cNvPr id="837836" name="Line 156"/>
        <xdr:cNvSpPr>
          <a:spLocks noChangeShapeType="1"/>
        </xdr:cNvSpPr>
      </xdr:nvSpPr>
      <xdr:spPr bwMode="auto">
        <a:xfrm flipH="1">
          <a:off x="16640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837" name="Line 158"/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838" name="Line 159"/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839" name="Line 160"/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840" name="Line 161"/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841" name="Line 162"/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842" name="Line 163"/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114300</xdr:colOff>
      <xdr:row>16</xdr:row>
      <xdr:rowOff>66675</xdr:rowOff>
    </xdr:from>
    <xdr:to>
      <xdr:col>50</xdr:col>
      <xdr:colOff>114300</xdr:colOff>
      <xdr:row>19</xdr:row>
      <xdr:rowOff>85725</xdr:rowOff>
    </xdr:to>
    <xdr:sp macro="" textlink="">
      <xdr:nvSpPr>
        <xdr:cNvPr id="837843" name="Line 166"/>
        <xdr:cNvSpPr>
          <a:spLocks noChangeShapeType="1"/>
        </xdr:cNvSpPr>
      </xdr:nvSpPr>
      <xdr:spPr bwMode="auto">
        <a:xfrm>
          <a:off x="23136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57150</xdr:rowOff>
    </xdr:from>
    <xdr:to>
      <xdr:col>50</xdr:col>
      <xdr:colOff>123825</xdr:colOff>
      <xdr:row>16</xdr:row>
      <xdr:rowOff>57150</xdr:rowOff>
    </xdr:to>
    <xdr:sp macro="" textlink="">
      <xdr:nvSpPr>
        <xdr:cNvPr id="837844" name="Line 167"/>
        <xdr:cNvSpPr>
          <a:spLocks noChangeShapeType="1"/>
        </xdr:cNvSpPr>
      </xdr:nvSpPr>
      <xdr:spPr bwMode="auto">
        <a:xfrm flipH="1">
          <a:off x="23021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19</xdr:row>
      <xdr:rowOff>95250</xdr:rowOff>
    </xdr:from>
    <xdr:to>
      <xdr:col>50</xdr:col>
      <xdr:colOff>114300</xdr:colOff>
      <xdr:row>19</xdr:row>
      <xdr:rowOff>95250</xdr:rowOff>
    </xdr:to>
    <xdr:sp macro="" textlink="">
      <xdr:nvSpPr>
        <xdr:cNvPr id="837845" name="Line 168"/>
        <xdr:cNvSpPr>
          <a:spLocks noChangeShapeType="1"/>
        </xdr:cNvSpPr>
      </xdr:nvSpPr>
      <xdr:spPr bwMode="auto">
        <a:xfrm flipH="1">
          <a:off x="23031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6</xdr:row>
      <xdr:rowOff>76200</xdr:rowOff>
    </xdr:from>
    <xdr:to>
      <xdr:col>50</xdr:col>
      <xdr:colOff>123825</xdr:colOff>
      <xdr:row>7</xdr:row>
      <xdr:rowOff>142875</xdr:rowOff>
    </xdr:to>
    <xdr:sp macro="" textlink="">
      <xdr:nvSpPr>
        <xdr:cNvPr id="837846" name="Line 169"/>
        <xdr:cNvSpPr>
          <a:spLocks noChangeShapeType="1"/>
        </xdr:cNvSpPr>
      </xdr:nvSpPr>
      <xdr:spPr bwMode="auto">
        <a:xfrm>
          <a:off x="23145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76200</xdr:rowOff>
    </xdr:from>
    <xdr:to>
      <xdr:col>50</xdr:col>
      <xdr:colOff>123825</xdr:colOff>
      <xdr:row>6</xdr:row>
      <xdr:rowOff>76200</xdr:rowOff>
    </xdr:to>
    <xdr:sp macro="" textlink="">
      <xdr:nvSpPr>
        <xdr:cNvPr id="837847" name="Line 170"/>
        <xdr:cNvSpPr>
          <a:spLocks noChangeShapeType="1"/>
        </xdr:cNvSpPr>
      </xdr:nvSpPr>
      <xdr:spPr bwMode="auto">
        <a:xfrm flipH="1" flipV="1">
          <a:off x="23021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133350</xdr:rowOff>
    </xdr:from>
    <xdr:to>
      <xdr:col>50</xdr:col>
      <xdr:colOff>123825</xdr:colOff>
      <xdr:row>7</xdr:row>
      <xdr:rowOff>133350</xdr:rowOff>
    </xdr:to>
    <xdr:sp macro="" textlink="">
      <xdr:nvSpPr>
        <xdr:cNvPr id="837848" name="Line 171"/>
        <xdr:cNvSpPr>
          <a:spLocks noChangeShapeType="1"/>
        </xdr:cNvSpPr>
      </xdr:nvSpPr>
      <xdr:spPr bwMode="auto">
        <a:xfrm flipH="1">
          <a:off x="23021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8</xdr:row>
      <xdr:rowOff>76200</xdr:rowOff>
    </xdr:from>
    <xdr:to>
      <xdr:col>50</xdr:col>
      <xdr:colOff>123825</xdr:colOff>
      <xdr:row>9</xdr:row>
      <xdr:rowOff>142875</xdr:rowOff>
    </xdr:to>
    <xdr:sp macro="" textlink="">
      <xdr:nvSpPr>
        <xdr:cNvPr id="837849" name="Line 172"/>
        <xdr:cNvSpPr>
          <a:spLocks noChangeShapeType="1"/>
        </xdr:cNvSpPr>
      </xdr:nvSpPr>
      <xdr:spPr bwMode="auto">
        <a:xfrm>
          <a:off x="23145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76200</xdr:rowOff>
    </xdr:from>
    <xdr:to>
      <xdr:col>50</xdr:col>
      <xdr:colOff>123825</xdr:colOff>
      <xdr:row>8</xdr:row>
      <xdr:rowOff>76200</xdr:rowOff>
    </xdr:to>
    <xdr:sp macro="" textlink="">
      <xdr:nvSpPr>
        <xdr:cNvPr id="837850" name="Line 173"/>
        <xdr:cNvSpPr>
          <a:spLocks noChangeShapeType="1"/>
        </xdr:cNvSpPr>
      </xdr:nvSpPr>
      <xdr:spPr bwMode="auto">
        <a:xfrm flipH="1" flipV="1">
          <a:off x="23021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9</xdr:row>
      <xdr:rowOff>133350</xdr:rowOff>
    </xdr:from>
    <xdr:to>
      <xdr:col>50</xdr:col>
      <xdr:colOff>123825</xdr:colOff>
      <xdr:row>9</xdr:row>
      <xdr:rowOff>133350</xdr:rowOff>
    </xdr:to>
    <xdr:sp macro="" textlink="">
      <xdr:nvSpPr>
        <xdr:cNvPr id="837851" name="Line 174"/>
        <xdr:cNvSpPr>
          <a:spLocks noChangeShapeType="1"/>
        </xdr:cNvSpPr>
      </xdr:nvSpPr>
      <xdr:spPr bwMode="auto">
        <a:xfrm flipH="1">
          <a:off x="23021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12</xdr:row>
      <xdr:rowOff>76200</xdr:rowOff>
    </xdr:from>
    <xdr:to>
      <xdr:col>50</xdr:col>
      <xdr:colOff>123825</xdr:colOff>
      <xdr:row>13</xdr:row>
      <xdr:rowOff>142875</xdr:rowOff>
    </xdr:to>
    <xdr:sp macro="" textlink="">
      <xdr:nvSpPr>
        <xdr:cNvPr id="837852" name="Line 175"/>
        <xdr:cNvSpPr>
          <a:spLocks noChangeShapeType="1"/>
        </xdr:cNvSpPr>
      </xdr:nvSpPr>
      <xdr:spPr bwMode="auto">
        <a:xfrm>
          <a:off x="23145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12</xdr:row>
      <xdr:rowOff>76200</xdr:rowOff>
    </xdr:from>
    <xdr:to>
      <xdr:col>50</xdr:col>
      <xdr:colOff>123825</xdr:colOff>
      <xdr:row>12</xdr:row>
      <xdr:rowOff>76200</xdr:rowOff>
    </xdr:to>
    <xdr:sp macro="" textlink="">
      <xdr:nvSpPr>
        <xdr:cNvPr id="837853" name="Line 176"/>
        <xdr:cNvSpPr>
          <a:spLocks noChangeShapeType="1"/>
        </xdr:cNvSpPr>
      </xdr:nvSpPr>
      <xdr:spPr bwMode="auto">
        <a:xfrm flipH="1" flipV="1">
          <a:off x="23021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133350</xdr:rowOff>
    </xdr:from>
    <xdr:to>
      <xdr:col>50</xdr:col>
      <xdr:colOff>123825</xdr:colOff>
      <xdr:row>13</xdr:row>
      <xdr:rowOff>133350</xdr:rowOff>
    </xdr:to>
    <xdr:sp macro="" textlink="">
      <xdr:nvSpPr>
        <xdr:cNvPr id="837854" name="Line 177"/>
        <xdr:cNvSpPr>
          <a:spLocks noChangeShapeType="1"/>
        </xdr:cNvSpPr>
      </xdr:nvSpPr>
      <xdr:spPr bwMode="auto">
        <a:xfrm flipH="1">
          <a:off x="23021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14</xdr:row>
      <xdr:rowOff>76200</xdr:rowOff>
    </xdr:from>
    <xdr:to>
      <xdr:col>50</xdr:col>
      <xdr:colOff>123825</xdr:colOff>
      <xdr:row>15</xdr:row>
      <xdr:rowOff>142875</xdr:rowOff>
    </xdr:to>
    <xdr:sp macro="" textlink="">
      <xdr:nvSpPr>
        <xdr:cNvPr id="837855" name="Line 178"/>
        <xdr:cNvSpPr>
          <a:spLocks noChangeShapeType="1"/>
        </xdr:cNvSpPr>
      </xdr:nvSpPr>
      <xdr:spPr bwMode="auto">
        <a:xfrm>
          <a:off x="23145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14</xdr:row>
      <xdr:rowOff>76200</xdr:rowOff>
    </xdr:from>
    <xdr:to>
      <xdr:col>50</xdr:col>
      <xdr:colOff>123825</xdr:colOff>
      <xdr:row>14</xdr:row>
      <xdr:rowOff>76200</xdr:rowOff>
    </xdr:to>
    <xdr:sp macro="" textlink="">
      <xdr:nvSpPr>
        <xdr:cNvPr id="837856" name="Line 179"/>
        <xdr:cNvSpPr>
          <a:spLocks noChangeShapeType="1"/>
        </xdr:cNvSpPr>
      </xdr:nvSpPr>
      <xdr:spPr bwMode="auto">
        <a:xfrm flipH="1" flipV="1">
          <a:off x="23021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15</xdr:row>
      <xdr:rowOff>133350</xdr:rowOff>
    </xdr:from>
    <xdr:to>
      <xdr:col>50</xdr:col>
      <xdr:colOff>123825</xdr:colOff>
      <xdr:row>15</xdr:row>
      <xdr:rowOff>133350</xdr:rowOff>
    </xdr:to>
    <xdr:sp macro="" textlink="">
      <xdr:nvSpPr>
        <xdr:cNvPr id="837857" name="Line 180"/>
        <xdr:cNvSpPr>
          <a:spLocks noChangeShapeType="1"/>
        </xdr:cNvSpPr>
      </xdr:nvSpPr>
      <xdr:spPr bwMode="auto">
        <a:xfrm flipH="1">
          <a:off x="23021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858" name="Line 192"/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859" name="Line 193"/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860" name="Line 194"/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861" name="Line 195"/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862" name="Line 196"/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863" name="Line 197"/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114300</xdr:colOff>
      <xdr:row>16</xdr:row>
      <xdr:rowOff>66675</xdr:rowOff>
    </xdr:from>
    <xdr:to>
      <xdr:col>56</xdr:col>
      <xdr:colOff>114300</xdr:colOff>
      <xdr:row>19</xdr:row>
      <xdr:rowOff>85725</xdr:rowOff>
    </xdr:to>
    <xdr:sp macro="" textlink="">
      <xdr:nvSpPr>
        <xdr:cNvPr id="837864" name="Line 200"/>
        <xdr:cNvSpPr>
          <a:spLocks noChangeShapeType="1"/>
        </xdr:cNvSpPr>
      </xdr:nvSpPr>
      <xdr:spPr bwMode="auto">
        <a:xfrm>
          <a:off x="264223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16</xdr:row>
      <xdr:rowOff>57150</xdr:rowOff>
    </xdr:from>
    <xdr:to>
      <xdr:col>56</xdr:col>
      <xdr:colOff>123825</xdr:colOff>
      <xdr:row>16</xdr:row>
      <xdr:rowOff>57150</xdr:rowOff>
    </xdr:to>
    <xdr:sp macro="" textlink="">
      <xdr:nvSpPr>
        <xdr:cNvPr id="837865" name="Line 201"/>
        <xdr:cNvSpPr>
          <a:spLocks noChangeShapeType="1"/>
        </xdr:cNvSpPr>
      </xdr:nvSpPr>
      <xdr:spPr bwMode="auto">
        <a:xfrm flipH="1">
          <a:off x="263080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19</xdr:row>
      <xdr:rowOff>95250</xdr:rowOff>
    </xdr:from>
    <xdr:to>
      <xdr:col>56</xdr:col>
      <xdr:colOff>114300</xdr:colOff>
      <xdr:row>19</xdr:row>
      <xdr:rowOff>95250</xdr:rowOff>
    </xdr:to>
    <xdr:sp macro="" textlink="">
      <xdr:nvSpPr>
        <xdr:cNvPr id="837866" name="Line 202"/>
        <xdr:cNvSpPr>
          <a:spLocks noChangeShapeType="1"/>
        </xdr:cNvSpPr>
      </xdr:nvSpPr>
      <xdr:spPr bwMode="auto">
        <a:xfrm flipH="1">
          <a:off x="263175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6</xdr:row>
      <xdr:rowOff>76200</xdr:rowOff>
    </xdr:from>
    <xdr:to>
      <xdr:col>56</xdr:col>
      <xdr:colOff>123825</xdr:colOff>
      <xdr:row>7</xdr:row>
      <xdr:rowOff>142875</xdr:rowOff>
    </xdr:to>
    <xdr:sp macro="" textlink="">
      <xdr:nvSpPr>
        <xdr:cNvPr id="837867" name="Line 203"/>
        <xdr:cNvSpPr>
          <a:spLocks noChangeShapeType="1"/>
        </xdr:cNvSpPr>
      </xdr:nvSpPr>
      <xdr:spPr bwMode="auto">
        <a:xfrm>
          <a:off x="264318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76200</xdr:rowOff>
    </xdr:from>
    <xdr:to>
      <xdr:col>56</xdr:col>
      <xdr:colOff>123825</xdr:colOff>
      <xdr:row>6</xdr:row>
      <xdr:rowOff>76200</xdr:rowOff>
    </xdr:to>
    <xdr:sp macro="" textlink="">
      <xdr:nvSpPr>
        <xdr:cNvPr id="837868" name="Line 204"/>
        <xdr:cNvSpPr>
          <a:spLocks noChangeShapeType="1"/>
        </xdr:cNvSpPr>
      </xdr:nvSpPr>
      <xdr:spPr bwMode="auto">
        <a:xfrm flipH="1" flipV="1">
          <a:off x="263080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</xdr:row>
      <xdr:rowOff>133350</xdr:rowOff>
    </xdr:from>
    <xdr:to>
      <xdr:col>56</xdr:col>
      <xdr:colOff>123825</xdr:colOff>
      <xdr:row>7</xdr:row>
      <xdr:rowOff>133350</xdr:rowOff>
    </xdr:to>
    <xdr:sp macro="" textlink="">
      <xdr:nvSpPr>
        <xdr:cNvPr id="837869" name="Line 205"/>
        <xdr:cNvSpPr>
          <a:spLocks noChangeShapeType="1"/>
        </xdr:cNvSpPr>
      </xdr:nvSpPr>
      <xdr:spPr bwMode="auto">
        <a:xfrm flipH="1">
          <a:off x="263080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8</xdr:row>
      <xdr:rowOff>76200</xdr:rowOff>
    </xdr:from>
    <xdr:to>
      <xdr:col>56</xdr:col>
      <xdr:colOff>123825</xdr:colOff>
      <xdr:row>9</xdr:row>
      <xdr:rowOff>142875</xdr:rowOff>
    </xdr:to>
    <xdr:sp macro="" textlink="">
      <xdr:nvSpPr>
        <xdr:cNvPr id="837870" name="Line 206"/>
        <xdr:cNvSpPr>
          <a:spLocks noChangeShapeType="1"/>
        </xdr:cNvSpPr>
      </xdr:nvSpPr>
      <xdr:spPr bwMode="auto">
        <a:xfrm>
          <a:off x="264318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8</xdr:row>
      <xdr:rowOff>76200</xdr:rowOff>
    </xdr:from>
    <xdr:to>
      <xdr:col>56</xdr:col>
      <xdr:colOff>123825</xdr:colOff>
      <xdr:row>8</xdr:row>
      <xdr:rowOff>76200</xdr:rowOff>
    </xdr:to>
    <xdr:sp macro="" textlink="">
      <xdr:nvSpPr>
        <xdr:cNvPr id="837871" name="Line 207"/>
        <xdr:cNvSpPr>
          <a:spLocks noChangeShapeType="1"/>
        </xdr:cNvSpPr>
      </xdr:nvSpPr>
      <xdr:spPr bwMode="auto">
        <a:xfrm flipH="1" flipV="1">
          <a:off x="263080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</xdr:row>
      <xdr:rowOff>133350</xdr:rowOff>
    </xdr:from>
    <xdr:to>
      <xdr:col>56</xdr:col>
      <xdr:colOff>123825</xdr:colOff>
      <xdr:row>9</xdr:row>
      <xdr:rowOff>133350</xdr:rowOff>
    </xdr:to>
    <xdr:sp macro="" textlink="">
      <xdr:nvSpPr>
        <xdr:cNvPr id="837872" name="Line 208"/>
        <xdr:cNvSpPr>
          <a:spLocks noChangeShapeType="1"/>
        </xdr:cNvSpPr>
      </xdr:nvSpPr>
      <xdr:spPr bwMode="auto">
        <a:xfrm flipH="1">
          <a:off x="263080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12</xdr:row>
      <xdr:rowOff>76200</xdr:rowOff>
    </xdr:from>
    <xdr:to>
      <xdr:col>56</xdr:col>
      <xdr:colOff>123825</xdr:colOff>
      <xdr:row>13</xdr:row>
      <xdr:rowOff>142875</xdr:rowOff>
    </xdr:to>
    <xdr:sp macro="" textlink="">
      <xdr:nvSpPr>
        <xdr:cNvPr id="837873" name="Line 209"/>
        <xdr:cNvSpPr>
          <a:spLocks noChangeShapeType="1"/>
        </xdr:cNvSpPr>
      </xdr:nvSpPr>
      <xdr:spPr bwMode="auto">
        <a:xfrm>
          <a:off x="264318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12</xdr:row>
      <xdr:rowOff>76200</xdr:rowOff>
    </xdr:from>
    <xdr:to>
      <xdr:col>56</xdr:col>
      <xdr:colOff>123825</xdr:colOff>
      <xdr:row>12</xdr:row>
      <xdr:rowOff>76200</xdr:rowOff>
    </xdr:to>
    <xdr:sp macro="" textlink="">
      <xdr:nvSpPr>
        <xdr:cNvPr id="837874" name="Line 210"/>
        <xdr:cNvSpPr>
          <a:spLocks noChangeShapeType="1"/>
        </xdr:cNvSpPr>
      </xdr:nvSpPr>
      <xdr:spPr bwMode="auto">
        <a:xfrm flipH="1" flipV="1">
          <a:off x="263080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13</xdr:row>
      <xdr:rowOff>133350</xdr:rowOff>
    </xdr:from>
    <xdr:to>
      <xdr:col>56</xdr:col>
      <xdr:colOff>123825</xdr:colOff>
      <xdr:row>13</xdr:row>
      <xdr:rowOff>133350</xdr:rowOff>
    </xdr:to>
    <xdr:sp macro="" textlink="">
      <xdr:nvSpPr>
        <xdr:cNvPr id="837875" name="Line 211"/>
        <xdr:cNvSpPr>
          <a:spLocks noChangeShapeType="1"/>
        </xdr:cNvSpPr>
      </xdr:nvSpPr>
      <xdr:spPr bwMode="auto">
        <a:xfrm flipH="1">
          <a:off x="263080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14</xdr:row>
      <xdr:rowOff>76200</xdr:rowOff>
    </xdr:from>
    <xdr:to>
      <xdr:col>56</xdr:col>
      <xdr:colOff>123825</xdr:colOff>
      <xdr:row>15</xdr:row>
      <xdr:rowOff>142875</xdr:rowOff>
    </xdr:to>
    <xdr:sp macro="" textlink="">
      <xdr:nvSpPr>
        <xdr:cNvPr id="837876" name="Line 212"/>
        <xdr:cNvSpPr>
          <a:spLocks noChangeShapeType="1"/>
        </xdr:cNvSpPr>
      </xdr:nvSpPr>
      <xdr:spPr bwMode="auto">
        <a:xfrm>
          <a:off x="264318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</xdr:row>
      <xdr:rowOff>76200</xdr:rowOff>
    </xdr:from>
    <xdr:to>
      <xdr:col>56</xdr:col>
      <xdr:colOff>123825</xdr:colOff>
      <xdr:row>14</xdr:row>
      <xdr:rowOff>76200</xdr:rowOff>
    </xdr:to>
    <xdr:sp macro="" textlink="">
      <xdr:nvSpPr>
        <xdr:cNvPr id="837877" name="Line 213"/>
        <xdr:cNvSpPr>
          <a:spLocks noChangeShapeType="1"/>
        </xdr:cNvSpPr>
      </xdr:nvSpPr>
      <xdr:spPr bwMode="auto">
        <a:xfrm flipH="1" flipV="1">
          <a:off x="263080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15</xdr:row>
      <xdr:rowOff>133350</xdr:rowOff>
    </xdr:from>
    <xdr:to>
      <xdr:col>56</xdr:col>
      <xdr:colOff>123825</xdr:colOff>
      <xdr:row>15</xdr:row>
      <xdr:rowOff>133350</xdr:rowOff>
    </xdr:to>
    <xdr:sp macro="" textlink="">
      <xdr:nvSpPr>
        <xdr:cNvPr id="837878" name="Line 214"/>
        <xdr:cNvSpPr>
          <a:spLocks noChangeShapeType="1"/>
        </xdr:cNvSpPr>
      </xdr:nvSpPr>
      <xdr:spPr bwMode="auto">
        <a:xfrm flipH="1">
          <a:off x="263080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879" name="Line 216"/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880" name="Line 217"/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881" name="Line 218"/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882" name="Line 219"/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883" name="Line 220"/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884" name="Line 221"/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114300</xdr:colOff>
      <xdr:row>16</xdr:row>
      <xdr:rowOff>66675</xdr:rowOff>
    </xdr:from>
    <xdr:to>
      <xdr:col>86</xdr:col>
      <xdr:colOff>114300</xdr:colOff>
      <xdr:row>19</xdr:row>
      <xdr:rowOff>85725</xdr:rowOff>
    </xdr:to>
    <xdr:sp macro="" textlink="">
      <xdr:nvSpPr>
        <xdr:cNvPr id="837885" name="Line 224"/>
        <xdr:cNvSpPr>
          <a:spLocks noChangeShapeType="1"/>
        </xdr:cNvSpPr>
      </xdr:nvSpPr>
      <xdr:spPr bwMode="auto">
        <a:xfrm>
          <a:off x="4415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16</xdr:row>
      <xdr:rowOff>57150</xdr:rowOff>
    </xdr:from>
    <xdr:to>
      <xdr:col>86</xdr:col>
      <xdr:colOff>123825</xdr:colOff>
      <xdr:row>16</xdr:row>
      <xdr:rowOff>57150</xdr:rowOff>
    </xdr:to>
    <xdr:sp macro="" textlink="">
      <xdr:nvSpPr>
        <xdr:cNvPr id="837886" name="Line 225"/>
        <xdr:cNvSpPr>
          <a:spLocks noChangeShapeType="1"/>
        </xdr:cNvSpPr>
      </xdr:nvSpPr>
      <xdr:spPr bwMode="auto">
        <a:xfrm flipH="1">
          <a:off x="4404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9525</xdr:colOff>
      <xdr:row>19</xdr:row>
      <xdr:rowOff>95250</xdr:rowOff>
    </xdr:from>
    <xdr:to>
      <xdr:col>86</xdr:col>
      <xdr:colOff>114300</xdr:colOff>
      <xdr:row>19</xdr:row>
      <xdr:rowOff>95250</xdr:rowOff>
    </xdr:to>
    <xdr:sp macro="" textlink="">
      <xdr:nvSpPr>
        <xdr:cNvPr id="837887" name="Line 226"/>
        <xdr:cNvSpPr>
          <a:spLocks noChangeShapeType="1"/>
        </xdr:cNvSpPr>
      </xdr:nvSpPr>
      <xdr:spPr bwMode="auto">
        <a:xfrm flipH="1">
          <a:off x="4405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6</xdr:row>
      <xdr:rowOff>76200</xdr:rowOff>
    </xdr:from>
    <xdr:to>
      <xdr:col>86</xdr:col>
      <xdr:colOff>123825</xdr:colOff>
      <xdr:row>7</xdr:row>
      <xdr:rowOff>142875</xdr:rowOff>
    </xdr:to>
    <xdr:sp macro="" textlink="">
      <xdr:nvSpPr>
        <xdr:cNvPr id="837888" name="Line 227"/>
        <xdr:cNvSpPr>
          <a:spLocks noChangeShapeType="1"/>
        </xdr:cNvSpPr>
      </xdr:nvSpPr>
      <xdr:spPr bwMode="auto">
        <a:xfrm>
          <a:off x="4416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76200</xdr:rowOff>
    </xdr:from>
    <xdr:to>
      <xdr:col>86</xdr:col>
      <xdr:colOff>123825</xdr:colOff>
      <xdr:row>6</xdr:row>
      <xdr:rowOff>76200</xdr:rowOff>
    </xdr:to>
    <xdr:sp macro="" textlink="">
      <xdr:nvSpPr>
        <xdr:cNvPr id="837889" name="Line 228"/>
        <xdr:cNvSpPr>
          <a:spLocks noChangeShapeType="1"/>
        </xdr:cNvSpPr>
      </xdr:nvSpPr>
      <xdr:spPr bwMode="auto">
        <a:xfrm flipH="1" flipV="1">
          <a:off x="4404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7</xdr:row>
      <xdr:rowOff>133350</xdr:rowOff>
    </xdr:from>
    <xdr:to>
      <xdr:col>86</xdr:col>
      <xdr:colOff>123825</xdr:colOff>
      <xdr:row>7</xdr:row>
      <xdr:rowOff>133350</xdr:rowOff>
    </xdr:to>
    <xdr:sp macro="" textlink="">
      <xdr:nvSpPr>
        <xdr:cNvPr id="837890" name="Line 229"/>
        <xdr:cNvSpPr>
          <a:spLocks noChangeShapeType="1"/>
        </xdr:cNvSpPr>
      </xdr:nvSpPr>
      <xdr:spPr bwMode="auto">
        <a:xfrm flipH="1">
          <a:off x="4404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8</xdr:row>
      <xdr:rowOff>76200</xdr:rowOff>
    </xdr:from>
    <xdr:to>
      <xdr:col>86</xdr:col>
      <xdr:colOff>123825</xdr:colOff>
      <xdr:row>9</xdr:row>
      <xdr:rowOff>142875</xdr:rowOff>
    </xdr:to>
    <xdr:sp macro="" textlink="">
      <xdr:nvSpPr>
        <xdr:cNvPr id="837891" name="Line 230"/>
        <xdr:cNvSpPr>
          <a:spLocks noChangeShapeType="1"/>
        </xdr:cNvSpPr>
      </xdr:nvSpPr>
      <xdr:spPr bwMode="auto">
        <a:xfrm>
          <a:off x="441674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8</xdr:row>
      <xdr:rowOff>76200</xdr:rowOff>
    </xdr:from>
    <xdr:to>
      <xdr:col>86</xdr:col>
      <xdr:colOff>123825</xdr:colOff>
      <xdr:row>8</xdr:row>
      <xdr:rowOff>76200</xdr:rowOff>
    </xdr:to>
    <xdr:sp macro="" textlink="">
      <xdr:nvSpPr>
        <xdr:cNvPr id="837892" name="Line 231"/>
        <xdr:cNvSpPr>
          <a:spLocks noChangeShapeType="1"/>
        </xdr:cNvSpPr>
      </xdr:nvSpPr>
      <xdr:spPr bwMode="auto">
        <a:xfrm flipH="1" flipV="1">
          <a:off x="440436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9</xdr:row>
      <xdr:rowOff>133350</xdr:rowOff>
    </xdr:from>
    <xdr:to>
      <xdr:col>86</xdr:col>
      <xdr:colOff>123825</xdr:colOff>
      <xdr:row>9</xdr:row>
      <xdr:rowOff>133350</xdr:rowOff>
    </xdr:to>
    <xdr:sp macro="" textlink="">
      <xdr:nvSpPr>
        <xdr:cNvPr id="837893" name="Line 232"/>
        <xdr:cNvSpPr>
          <a:spLocks noChangeShapeType="1"/>
        </xdr:cNvSpPr>
      </xdr:nvSpPr>
      <xdr:spPr bwMode="auto">
        <a:xfrm flipH="1">
          <a:off x="440436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12</xdr:row>
      <xdr:rowOff>76200</xdr:rowOff>
    </xdr:from>
    <xdr:to>
      <xdr:col>86</xdr:col>
      <xdr:colOff>123825</xdr:colOff>
      <xdr:row>13</xdr:row>
      <xdr:rowOff>142875</xdr:rowOff>
    </xdr:to>
    <xdr:sp macro="" textlink="">
      <xdr:nvSpPr>
        <xdr:cNvPr id="837894" name="Line 233"/>
        <xdr:cNvSpPr>
          <a:spLocks noChangeShapeType="1"/>
        </xdr:cNvSpPr>
      </xdr:nvSpPr>
      <xdr:spPr bwMode="auto">
        <a:xfrm>
          <a:off x="441674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12</xdr:row>
      <xdr:rowOff>76200</xdr:rowOff>
    </xdr:from>
    <xdr:to>
      <xdr:col>86</xdr:col>
      <xdr:colOff>123825</xdr:colOff>
      <xdr:row>12</xdr:row>
      <xdr:rowOff>76200</xdr:rowOff>
    </xdr:to>
    <xdr:sp macro="" textlink="">
      <xdr:nvSpPr>
        <xdr:cNvPr id="837895" name="Line 234"/>
        <xdr:cNvSpPr>
          <a:spLocks noChangeShapeType="1"/>
        </xdr:cNvSpPr>
      </xdr:nvSpPr>
      <xdr:spPr bwMode="auto">
        <a:xfrm flipH="1" flipV="1">
          <a:off x="440436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13</xdr:row>
      <xdr:rowOff>133350</xdr:rowOff>
    </xdr:from>
    <xdr:to>
      <xdr:col>86</xdr:col>
      <xdr:colOff>123825</xdr:colOff>
      <xdr:row>13</xdr:row>
      <xdr:rowOff>133350</xdr:rowOff>
    </xdr:to>
    <xdr:sp macro="" textlink="">
      <xdr:nvSpPr>
        <xdr:cNvPr id="837896" name="Line 235"/>
        <xdr:cNvSpPr>
          <a:spLocks noChangeShapeType="1"/>
        </xdr:cNvSpPr>
      </xdr:nvSpPr>
      <xdr:spPr bwMode="auto">
        <a:xfrm flipH="1">
          <a:off x="440436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14</xdr:row>
      <xdr:rowOff>76200</xdr:rowOff>
    </xdr:from>
    <xdr:to>
      <xdr:col>86</xdr:col>
      <xdr:colOff>123825</xdr:colOff>
      <xdr:row>15</xdr:row>
      <xdr:rowOff>142875</xdr:rowOff>
    </xdr:to>
    <xdr:sp macro="" textlink="">
      <xdr:nvSpPr>
        <xdr:cNvPr id="837897" name="Line 236"/>
        <xdr:cNvSpPr>
          <a:spLocks noChangeShapeType="1"/>
        </xdr:cNvSpPr>
      </xdr:nvSpPr>
      <xdr:spPr bwMode="auto">
        <a:xfrm>
          <a:off x="441674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14</xdr:row>
      <xdr:rowOff>76200</xdr:rowOff>
    </xdr:from>
    <xdr:to>
      <xdr:col>86</xdr:col>
      <xdr:colOff>123825</xdr:colOff>
      <xdr:row>14</xdr:row>
      <xdr:rowOff>76200</xdr:rowOff>
    </xdr:to>
    <xdr:sp macro="" textlink="">
      <xdr:nvSpPr>
        <xdr:cNvPr id="837898" name="Line 237"/>
        <xdr:cNvSpPr>
          <a:spLocks noChangeShapeType="1"/>
        </xdr:cNvSpPr>
      </xdr:nvSpPr>
      <xdr:spPr bwMode="auto">
        <a:xfrm flipH="1" flipV="1">
          <a:off x="440436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15</xdr:row>
      <xdr:rowOff>133350</xdr:rowOff>
    </xdr:from>
    <xdr:to>
      <xdr:col>86</xdr:col>
      <xdr:colOff>123825</xdr:colOff>
      <xdr:row>15</xdr:row>
      <xdr:rowOff>133350</xdr:rowOff>
    </xdr:to>
    <xdr:sp macro="" textlink="">
      <xdr:nvSpPr>
        <xdr:cNvPr id="837899" name="Line 238"/>
        <xdr:cNvSpPr>
          <a:spLocks noChangeShapeType="1"/>
        </xdr:cNvSpPr>
      </xdr:nvSpPr>
      <xdr:spPr bwMode="auto">
        <a:xfrm flipH="1">
          <a:off x="440436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123825</xdr:colOff>
      <xdr:row>10</xdr:row>
      <xdr:rowOff>76200</xdr:rowOff>
    </xdr:from>
    <xdr:to>
      <xdr:col>86</xdr:col>
      <xdr:colOff>123825</xdr:colOff>
      <xdr:row>11</xdr:row>
      <xdr:rowOff>142875</xdr:rowOff>
    </xdr:to>
    <xdr:sp macro="" textlink="">
      <xdr:nvSpPr>
        <xdr:cNvPr id="837900" name="Line 240"/>
        <xdr:cNvSpPr>
          <a:spLocks noChangeShapeType="1"/>
        </xdr:cNvSpPr>
      </xdr:nvSpPr>
      <xdr:spPr bwMode="auto">
        <a:xfrm>
          <a:off x="441674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10</xdr:row>
      <xdr:rowOff>76200</xdr:rowOff>
    </xdr:from>
    <xdr:to>
      <xdr:col>86</xdr:col>
      <xdr:colOff>123825</xdr:colOff>
      <xdr:row>10</xdr:row>
      <xdr:rowOff>76200</xdr:rowOff>
    </xdr:to>
    <xdr:sp macro="" textlink="">
      <xdr:nvSpPr>
        <xdr:cNvPr id="837901" name="Line 241"/>
        <xdr:cNvSpPr>
          <a:spLocks noChangeShapeType="1"/>
        </xdr:cNvSpPr>
      </xdr:nvSpPr>
      <xdr:spPr bwMode="auto">
        <a:xfrm flipH="1" flipV="1">
          <a:off x="440436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11</xdr:row>
      <xdr:rowOff>133350</xdr:rowOff>
    </xdr:from>
    <xdr:to>
      <xdr:col>86</xdr:col>
      <xdr:colOff>123825</xdr:colOff>
      <xdr:row>11</xdr:row>
      <xdr:rowOff>133350</xdr:rowOff>
    </xdr:to>
    <xdr:sp macro="" textlink="">
      <xdr:nvSpPr>
        <xdr:cNvPr id="837902" name="Line 242"/>
        <xdr:cNvSpPr>
          <a:spLocks noChangeShapeType="1"/>
        </xdr:cNvSpPr>
      </xdr:nvSpPr>
      <xdr:spPr bwMode="auto">
        <a:xfrm flipH="1">
          <a:off x="440436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123825</xdr:colOff>
      <xdr:row>10</xdr:row>
      <xdr:rowOff>76200</xdr:rowOff>
    </xdr:from>
    <xdr:to>
      <xdr:col>56</xdr:col>
      <xdr:colOff>123825</xdr:colOff>
      <xdr:row>11</xdr:row>
      <xdr:rowOff>142875</xdr:rowOff>
    </xdr:to>
    <xdr:sp macro="" textlink="">
      <xdr:nvSpPr>
        <xdr:cNvPr id="837903" name="Line 243"/>
        <xdr:cNvSpPr>
          <a:spLocks noChangeShapeType="1"/>
        </xdr:cNvSpPr>
      </xdr:nvSpPr>
      <xdr:spPr bwMode="auto">
        <a:xfrm>
          <a:off x="264318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10</xdr:row>
      <xdr:rowOff>76200</xdr:rowOff>
    </xdr:from>
    <xdr:to>
      <xdr:col>56</xdr:col>
      <xdr:colOff>123825</xdr:colOff>
      <xdr:row>10</xdr:row>
      <xdr:rowOff>76200</xdr:rowOff>
    </xdr:to>
    <xdr:sp macro="" textlink="">
      <xdr:nvSpPr>
        <xdr:cNvPr id="837904" name="Line 244"/>
        <xdr:cNvSpPr>
          <a:spLocks noChangeShapeType="1"/>
        </xdr:cNvSpPr>
      </xdr:nvSpPr>
      <xdr:spPr bwMode="auto">
        <a:xfrm flipH="1" flipV="1">
          <a:off x="263080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11</xdr:row>
      <xdr:rowOff>133350</xdr:rowOff>
    </xdr:from>
    <xdr:to>
      <xdr:col>56</xdr:col>
      <xdr:colOff>123825</xdr:colOff>
      <xdr:row>11</xdr:row>
      <xdr:rowOff>133350</xdr:rowOff>
    </xdr:to>
    <xdr:sp macro="" textlink="">
      <xdr:nvSpPr>
        <xdr:cNvPr id="837905" name="Line 245"/>
        <xdr:cNvSpPr>
          <a:spLocks noChangeShapeType="1"/>
        </xdr:cNvSpPr>
      </xdr:nvSpPr>
      <xdr:spPr bwMode="auto">
        <a:xfrm flipH="1">
          <a:off x="263080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123825</xdr:colOff>
      <xdr:row>10</xdr:row>
      <xdr:rowOff>76200</xdr:rowOff>
    </xdr:from>
    <xdr:to>
      <xdr:col>50</xdr:col>
      <xdr:colOff>123825</xdr:colOff>
      <xdr:row>11</xdr:row>
      <xdr:rowOff>142875</xdr:rowOff>
    </xdr:to>
    <xdr:sp macro="" textlink="">
      <xdr:nvSpPr>
        <xdr:cNvPr id="837906" name="Line 246"/>
        <xdr:cNvSpPr>
          <a:spLocks noChangeShapeType="1"/>
        </xdr:cNvSpPr>
      </xdr:nvSpPr>
      <xdr:spPr bwMode="auto">
        <a:xfrm>
          <a:off x="23145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10</xdr:row>
      <xdr:rowOff>76200</xdr:rowOff>
    </xdr:from>
    <xdr:to>
      <xdr:col>50</xdr:col>
      <xdr:colOff>123825</xdr:colOff>
      <xdr:row>10</xdr:row>
      <xdr:rowOff>76200</xdr:rowOff>
    </xdr:to>
    <xdr:sp macro="" textlink="">
      <xdr:nvSpPr>
        <xdr:cNvPr id="837907" name="Line 247"/>
        <xdr:cNvSpPr>
          <a:spLocks noChangeShapeType="1"/>
        </xdr:cNvSpPr>
      </xdr:nvSpPr>
      <xdr:spPr bwMode="auto">
        <a:xfrm flipH="1" flipV="1">
          <a:off x="23021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133350</xdr:rowOff>
    </xdr:from>
    <xdr:to>
      <xdr:col>50</xdr:col>
      <xdr:colOff>123825</xdr:colOff>
      <xdr:row>11</xdr:row>
      <xdr:rowOff>133350</xdr:rowOff>
    </xdr:to>
    <xdr:sp macro="" textlink="">
      <xdr:nvSpPr>
        <xdr:cNvPr id="837908" name="Line 248"/>
        <xdr:cNvSpPr>
          <a:spLocks noChangeShapeType="1"/>
        </xdr:cNvSpPr>
      </xdr:nvSpPr>
      <xdr:spPr bwMode="auto">
        <a:xfrm flipH="1">
          <a:off x="23021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123825</xdr:colOff>
      <xdr:row>10</xdr:row>
      <xdr:rowOff>76200</xdr:rowOff>
    </xdr:from>
    <xdr:to>
      <xdr:col>44</xdr:col>
      <xdr:colOff>123825</xdr:colOff>
      <xdr:row>11</xdr:row>
      <xdr:rowOff>142875</xdr:rowOff>
    </xdr:to>
    <xdr:sp macro="" textlink="">
      <xdr:nvSpPr>
        <xdr:cNvPr id="837909" name="Line 249"/>
        <xdr:cNvSpPr>
          <a:spLocks noChangeShapeType="1"/>
        </xdr:cNvSpPr>
      </xdr:nvSpPr>
      <xdr:spPr bwMode="auto">
        <a:xfrm>
          <a:off x="200025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10</xdr:row>
      <xdr:rowOff>76200</xdr:rowOff>
    </xdr:from>
    <xdr:to>
      <xdr:col>44</xdr:col>
      <xdr:colOff>123825</xdr:colOff>
      <xdr:row>10</xdr:row>
      <xdr:rowOff>76200</xdr:rowOff>
    </xdr:to>
    <xdr:sp macro="" textlink="">
      <xdr:nvSpPr>
        <xdr:cNvPr id="837910" name="Line 250"/>
        <xdr:cNvSpPr>
          <a:spLocks noChangeShapeType="1"/>
        </xdr:cNvSpPr>
      </xdr:nvSpPr>
      <xdr:spPr bwMode="auto">
        <a:xfrm flipH="1" flipV="1">
          <a:off x="198786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11</xdr:row>
      <xdr:rowOff>133350</xdr:rowOff>
    </xdr:from>
    <xdr:to>
      <xdr:col>44</xdr:col>
      <xdr:colOff>123825</xdr:colOff>
      <xdr:row>11</xdr:row>
      <xdr:rowOff>133350</xdr:rowOff>
    </xdr:to>
    <xdr:sp macro="" textlink="">
      <xdr:nvSpPr>
        <xdr:cNvPr id="837911" name="Line 251"/>
        <xdr:cNvSpPr>
          <a:spLocks noChangeShapeType="1"/>
        </xdr:cNvSpPr>
      </xdr:nvSpPr>
      <xdr:spPr bwMode="auto">
        <a:xfrm flipH="1">
          <a:off x="198786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912" name="Line 264"/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913" name="Line 265"/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914" name="Line 266"/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915" name="Line 267"/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916" name="Line 268"/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917" name="Line 269"/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16</xdr:row>
      <xdr:rowOff>66675</xdr:rowOff>
    </xdr:from>
    <xdr:to>
      <xdr:col>62</xdr:col>
      <xdr:colOff>114300</xdr:colOff>
      <xdr:row>19</xdr:row>
      <xdr:rowOff>85725</xdr:rowOff>
    </xdr:to>
    <xdr:sp macro="" textlink="">
      <xdr:nvSpPr>
        <xdr:cNvPr id="837918" name="Line 272"/>
        <xdr:cNvSpPr>
          <a:spLocks noChangeShapeType="1"/>
        </xdr:cNvSpPr>
      </xdr:nvSpPr>
      <xdr:spPr bwMode="auto">
        <a:xfrm>
          <a:off x="297180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16</xdr:row>
      <xdr:rowOff>57150</xdr:rowOff>
    </xdr:from>
    <xdr:to>
      <xdr:col>62</xdr:col>
      <xdr:colOff>123825</xdr:colOff>
      <xdr:row>16</xdr:row>
      <xdr:rowOff>57150</xdr:rowOff>
    </xdr:to>
    <xdr:sp macro="" textlink="">
      <xdr:nvSpPr>
        <xdr:cNvPr id="837919" name="Line 273"/>
        <xdr:cNvSpPr>
          <a:spLocks noChangeShapeType="1"/>
        </xdr:cNvSpPr>
      </xdr:nvSpPr>
      <xdr:spPr bwMode="auto">
        <a:xfrm flipH="1">
          <a:off x="296037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9525</xdr:colOff>
      <xdr:row>19</xdr:row>
      <xdr:rowOff>95250</xdr:rowOff>
    </xdr:from>
    <xdr:to>
      <xdr:col>62</xdr:col>
      <xdr:colOff>114300</xdr:colOff>
      <xdr:row>19</xdr:row>
      <xdr:rowOff>95250</xdr:rowOff>
    </xdr:to>
    <xdr:sp macro="" textlink="">
      <xdr:nvSpPr>
        <xdr:cNvPr id="837920" name="Line 274"/>
        <xdr:cNvSpPr>
          <a:spLocks noChangeShapeType="1"/>
        </xdr:cNvSpPr>
      </xdr:nvSpPr>
      <xdr:spPr bwMode="auto">
        <a:xfrm flipH="1">
          <a:off x="296132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6</xdr:row>
      <xdr:rowOff>76200</xdr:rowOff>
    </xdr:from>
    <xdr:to>
      <xdr:col>62</xdr:col>
      <xdr:colOff>123825</xdr:colOff>
      <xdr:row>7</xdr:row>
      <xdr:rowOff>142875</xdr:rowOff>
    </xdr:to>
    <xdr:sp macro="" textlink="">
      <xdr:nvSpPr>
        <xdr:cNvPr id="837921" name="Line 275"/>
        <xdr:cNvSpPr>
          <a:spLocks noChangeShapeType="1"/>
        </xdr:cNvSpPr>
      </xdr:nvSpPr>
      <xdr:spPr bwMode="auto">
        <a:xfrm>
          <a:off x="297275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76200</xdr:rowOff>
    </xdr:from>
    <xdr:to>
      <xdr:col>62</xdr:col>
      <xdr:colOff>123825</xdr:colOff>
      <xdr:row>6</xdr:row>
      <xdr:rowOff>76200</xdr:rowOff>
    </xdr:to>
    <xdr:sp macro="" textlink="">
      <xdr:nvSpPr>
        <xdr:cNvPr id="837922" name="Line 276"/>
        <xdr:cNvSpPr>
          <a:spLocks noChangeShapeType="1"/>
        </xdr:cNvSpPr>
      </xdr:nvSpPr>
      <xdr:spPr bwMode="auto">
        <a:xfrm flipH="1" flipV="1">
          <a:off x="296037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7</xdr:row>
      <xdr:rowOff>133350</xdr:rowOff>
    </xdr:from>
    <xdr:to>
      <xdr:col>62</xdr:col>
      <xdr:colOff>123825</xdr:colOff>
      <xdr:row>7</xdr:row>
      <xdr:rowOff>133350</xdr:rowOff>
    </xdr:to>
    <xdr:sp macro="" textlink="">
      <xdr:nvSpPr>
        <xdr:cNvPr id="837923" name="Line 277"/>
        <xdr:cNvSpPr>
          <a:spLocks noChangeShapeType="1"/>
        </xdr:cNvSpPr>
      </xdr:nvSpPr>
      <xdr:spPr bwMode="auto">
        <a:xfrm flipH="1">
          <a:off x="296037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8</xdr:row>
      <xdr:rowOff>76200</xdr:rowOff>
    </xdr:from>
    <xdr:to>
      <xdr:col>62</xdr:col>
      <xdr:colOff>123825</xdr:colOff>
      <xdr:row>9</xdr:row>
      <xdr:rowOff>142875</xdr:rowOff>
    </xdr:to>
    <xdr:sp macro="" textlink="">
      <xdr:nvSpPr>
        <xdr:cNvPr id="837924" name="Line 278"/>
        <xdr:cNvSpPr>
          <a:spLocks noChangeShapeType="1"/>
        </xdr:cNvSpPr>
      </xdr:nvSpPr>
      <xdr:spPr bwMode="auto">
        <a:xfrm>
          <a:off x="297275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8</xdr:row>
      <xdr:rowOff>76200</xdr:rowOff>
    </xdr:from>
    <xdr:to>
      <xdr:col>62</xdr:col>
      <xdr:colOff>123825</xdr:colOff>
      <xdr:row>8</xdr:row>
      <xdr:rowOff>76200</xdr:rowOff>
    </xdr:to>
    <xdr:sp macro="" textlink="">
      <xdr:nvSpPr>
        <xdr:cNvPr id="837925" name="Line 279"/>
        <xdr:cNvSpPr>
          <a:spLocks noChangeShapeType="1"/>
        </xdr:cNvSpPr>
      </xdr:nvSpPr>
      <xdr:spPr bwMode="auto">
        <a:xfrm flipH="1" flipV="1">
          <a:off x="296037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9</xdr:row>
      <xdr:rowOff>133350</xdr:rowOff>
    </xdr:from>
    <xdr:to>
      <xdr:col>62</xdr:col>
      <xdr:colOff>123825</xdr:colOff>
      <xdr:row>9</xdr:row>
      <xdr:rowOff>133350</xdr:rowOff>
    </xdr:to>
    <xdr:sp macro="" textlink="">
      <xdr:nvSpPr>
        <xdr:cNvPr id="837926" name="Line 280"/>
        <xdr:cNvSpPr>
          <a:spLocks noChangeShapeType="1"/>
        </xdr:cNvSpPr>
      </xdr:nvSpPr>
      <xdr:spPr bwMode="auto">
        <a:xfrm flipH="1">
          <a:off x="296037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12</xdr:row>
      <xdr:rowOff>76200</xdr:rowOff>
    </xdr:from>
    <xdr:to>
      <xdr:col>62</xdr:col>
      <xdr:colOff>123825</xdr:colOff>
      <xdr:row>13</xdr:row>
      <xdr:rowOff>142875</xdr:rowOff>
    </xdr:to>
    <xdr:sp macro="" textlink="">
      <xdr:nvSpPr>
        <xdr:cNvPr id="837927" name="Line 281"/>
        <xdr:cNvSpPr>
          <a:spLocks noChangeShapeType="1"/>
        </xdr:cNvSpPr>
      </xdr:nvSpPr>
      <xdr:spPr bwMode="auto">
        <a:xfrm>
          <a:off x="297275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12</xdr:row>
      <xdr:rowOff>76200</xdr:rowOff>
    </xdr:from>
    <xdr:to>
      <xdr:col>62</xdr:col>
      <xdr:colOff>123825</xdr:colOff>
      <xdr:row>12</xdr:row>
      <xdr:rowOff>76200</xdr:rowOff>
    </xdr:to>
    <xdr:sp macro="" textlink="">
      <xdr:nvSpPr>
        <xdr:cNvPr id="837928" name="Line 282"/>
        <xdr:cNvSpPr>
          <a:spLocks noChangeShapeType="1"/>
        </xdr:cNvSpPr>
      </xdr:nvSpPr>
      <xdr:spPr bwMode="auto">
        <a:xfrm flipH="1" flipV="1">
          <a:off x="296037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13</xdr:row>
      <xdr:rowOff>133350</xdr:rowOff>
    </xdr:from>
    <xdr:to>
      <xdr:col>62</xdr:col>
      <xdr:colOff>123825</xdr:colOff>
      <xdr:row>13</xdr:row>
      <xdr:rowOff>133350</xdr:rowOff>
    </xdr:to>
    <xdr:sp macro="" textlink="">
      <xdr:nvSpPr>
        <xdr:cNvPr id="837929" name="Line 283"/>
        <xdr:cNvSpPr>
          <a:spLocks noChangeShapeType="1"/>
        </xdr:cNvSpPr>
      </xdr:nvSpPr>
      <xdr:spPr bwMode="auto">
        <a:xfrm flipH="1">
          <a:off x="296037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14</xdr:row>
      <xdr:rowOff>76200</xdr:rowOff>
    </xdr:from>
    <xdr:to>
      <xdr:col>62</xdr:col>
      <xdr:colOff>123825</xdr:colOff>
      <xdr:row>15</xdr:row>
      <xdr:rowOff>142875</xdr:rowOff>
    </xdr:to>
    <xdr:sp macro="" textlink="">
      <xdr:nvSpPr>
        <xdr:cNvPr id="837930" name="Line 284"/>
        <xdr:cNvSpPr>
          <a:spLocks noChangeShapeType="1"/>
        </xdr:cNvSpPr>
      </xdr:nvSpPr>
      <xdr:spPr bwMode="auto">
        <a:xfrm>
          <a:off x="297275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14</xdr:row>
      <xdr:rowOff>76200</xdr:rowOff>
    </xdr:from>
    <xdr:to>
      <xdr:col>62</xdr:col>
      <xdr:colOff>123825</xdr:colOff>
      <xdr:row>14</xdr:row>
      <xdr:rowOff>76200</xdr:rowOff>
    </xdr:to>
    <xdr:sp macro="" textlink="">
      <xdr:nvSpPr>
        <xdr:cNvPr id="837931" name="Line 285"/>
        <xdr:cNvSpPr>
          <a:spLocks noChangeShapeType="1"/>
        </xdr:cNvSpPr>
      </xdr:nvSpPr>
      <xdr:spPr bwMode="auto">
        <a:xfrm flipH="1" flipV="1">
          <a:off x="296037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15</xdr:row>
      <xdr:rowOff>133350</xdr:rowOff>
    </xdr:from>
    <xdr:to>
      <xdr:col>62</xdr:col>
      <xdr:colOff>123825</xdr:colOff>
      <xdr:row>15</xdr:row>
      <xdr:rowOff>133350</xdr:rowOff>
    </xdr:to>
    <xdr:sp macro="" textlink="">
      <xdr:nvSpPr>
        <xdr:cNvPr id="837932" name="Line 286"/>
        <xdr:cNvSpPr>
          <a:spLocks noChangeShapeType="1"/>
        </xdr:cNvSpPr>
      </xdr:nvSpPr>
      <xdr:spPr bwMode="auto">
        <a:xfrm flipH="1">
          <a:off x="296037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123825</xdr:colOff>
      <xdr:row>10</xdr:row>
      <xdr:rowOff>76200</xdr:rowOff>
    </xdr:from>
    <xdr:to>
      <xdr:col>62</xdr:col>
      <xdr:colOff>123825</xdr:colOff>
      <xdr:row>11</xdr:row>
      <xdr:rowOff>142875</xdr:rowOff>
    </xdr:to>
    <xdr:sp macro="" textlink="">
      <xdr:nvSpPr>
        <xdr:cNvPr id="837933" name="Line 288"/>
        <xdr:cNvSpPr>
          <a:spLocks noChangeShapeType="1"/>
        </xdr:cNvSpPr>
      </xdr:nvSpPr>
      <xdr:spPr bwMode="auto">
        <a:xfrm>
          <a:off x="297275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10</xdr:row>
      <xdr:rowOff>76200</xdr:rowOff>
    </xdr:from>
    <xdr:to>
      <xdr:col>62</xdr:col>
      <xdr:colOff>123825</xdr:colOff>
      <xdr:row>10</xdr:row>
      <xdr:rowOff>76200</xdr:rowOff>
    </xdr:to>
    <xdr:sp macro="" textlink="">
      <xdr:nvSpPr>
        <xdr:cNvPr id="837934" name="Line 289"/>
        <xdr:cNvSpPr>
          <a:spLocks noChangeShapeType="1"/>
        </xdr:cNvSpPr>
      </xdr:nvSpPr>
      <xdr:spPr bwMode="auto">
        <a:xfrm flipH="1" flipV="1">
          <a:off x="296037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11</xdr:row>
      <xdr:rowOff>133350</xdr:rowOff>
    </xdr:from>
    <xdr:to>
      <xdr:col>62</xdr:col>
      <xdr:colOff>123825</xdr:colOff>
      <xdr:row>11</xdr:row>
      <xdr:rowOff>133350</xdr:rowOff>
    </xdr:to>
    <xdr:sp macro="" textlink="">
      <xdr:nvSpPr>
        <xdr:cNvPr id="837935" name="Line 290"/>
        <xdr:cNvSpPr>
          <a:spLocks noChangeShapeType="1"/>
        </xdr:cNvSpPr>
      </xdr:nvSpPr>
      <xdr:spPr bwMode="auto">
        <a:xfrm flipH="1">
          <a:off x="296037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936" name="Line 291"/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937" name="Line 292"/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938" name="Line 293"/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939" name="Line 294"/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940" name="Line 295"/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941" name="Line 296"/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114300</xdr:colOff>
      <xdr:row>16</xdr:row>
      <xdr:rowOff>66675</xdr:rowOff>
    </xdr:from>
    <xdr:to>
      <xdr:col>68</xdr:col>
      <xdr:colOff>114300</xdr:colOff>
      <xdr:row>19</xdr:row>
      <xdr:rowOff>85725</xdr:rowOff>
    </xdr:to>
    <xdr:sp macro="" textlink="">
      <xdr:nvSpPr>
        <xdr:cNvPr id="837942" name="Line 299"/>
        <xdr:cNvSpPr>
          <a:spLocks noChangeShapeType="1"/>
        </xdr:cNvSpPr>
      </xdr:nvSpPr>
      <xdr:spPr bwMode="auto">
        <a:xfrm>
          <a:off x="331946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57150</xdr:rowOff>
    </xdr:from>
    <xdr:to>
      <xdr:col>68</xdr:col>
      <xdr:colOff>123825</xdr:colOff>
      <xdr:row>16</xdr:row>
      <xdr:rowOff>57150</xdr:rowOff>
    </xdr:to>
    <xdr:sp macro="" textlink="">
      <xdr:nvSpPr>
        <xdr:cNvPr id="837943" name="Line 300"/>
        <xdr:cNvSpPr>
          <a:spLocks noChangeShapeType="1"/>
        </xdr:cNvSpPr>
      </xdr:nvSpPr>
      <xdr:spPr bwMode="auto">
        <a:xfrm flipH="1">
          <a:off x="330803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19</xdr:row>
      <xdr:rowOff>95250</xdr:rowOff>
    </xdr:from>
    <xdr:to>
      <xdr:col>68</xdr:col>
      <xdr:colOff>114300</xdr:colOff>
      <xdr:row>19</xdr:row>
      <xdr:rowOff>95250</xdr:rowOff>
    </xdr:to>
    <xdr:sp macro="" textlink="">
      <xdr:nvSpPr>
        <xdr:cNvPr id="837944" name="Line 301"/>
        <xdr:cNvSpPr>
          <a:spLocks noChangeShapeType="1"/>
        </xdr:cNvSpPr>
      </xdr:nvSpPr>
      <xdr:spPr bwMode="auto">
        <a:xfrm flipH="1">
          <a:off x="330898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6</xdr:row>
      <xdr:rowOff>76200</xdr:rowOff>
    </xdr:from>
    <xdr:to>
      <xdr:col>68</xdr:col>
      <xdr:colOff>123825</xdr:colOff>
      <xdr:row>7</xdr:row>
      <xdr:rowOff>142875</xdr:rowOff>
    </xdr:to>
    <xdr:sp macro="" textlink="">
      <xdr:nvSpPr>
        <xdr:cNvPr id="837945" name="Line 302"/>
        <xdr:cNvSpPr>
          <a:spLocks noChangeShapeType="1"/>
        </xdr:cNvSpPr>
      </xdr:nvSpPr>
      <xdr:spPr bwMode="auto">
        <a:xfrm>
          <a:off x="332041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76200</xdr:rowOff>
    </xdr:from>
    <xdr:to>
      <xdr:col>68</xdr:col>
      <xdr:colOff>123825</xdr:colOff>
      <xdr:row>6</xdr:row>
      <xdr:rowOff>76200</xdr:rowOff>
    </xdr:to>
    <xdr:sp macro="" textlink="">
      <xdr:nvSpPr>
        <xdr:cNvPr id="837946" name="Line 303"/>
        <xdr:cNvSpPr>
          <a:spLocks noChangeShapeType="1"/>
        </xdr:cNvSpPr>
      </xdr:nvSpPr>
      <xdr:spPr bwMode="auto">
        <a:xfrm flipH="1" flipV="1">
          <a:off x="330803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7</xdr:row>
      <xdr:rowOff>133350</xdr:rowOff>
    </xdr:from>
    <xdr:to>
      <xdr:col>68</xdr:col>
      <xdr:colOff>123825</xdr:colOff>
      <xdr:row>7</xdr:row>
      <xdr:rowOff>133350</xdr:rowOff>
    </xdr:to>
    <xdr:sp macro="" textlink="">
      <xdr:nvSpPr>
        <xdr:cNvPr id="837947" name="Line 304"/>
        <xdr:cNvSpPr>
          <a:spLocks noChangeShapeType="1"/>
        </xdr:cNvSpPr>
      </xdr:nvSpPr>
      <xdr:spPr bwMode="auto">
        <a:xfrm flipH="1">
          <a:off x="330803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8</xdr:row>
      <xdr:rowOff>76200</xdr:rowOff>
    </xdr:from>
    <xdr:to>
      <xdr:col>68</xdr:col>
      <xdr:colOff>123825</xdr:colOff>
      <xdr:row>9</xdr:row>
      <xdr:rowOff>142875</xdr:rowOff>
    </xdr:to>
    <xdr:sp macro="" textlink="">
      <xdr:nvSpPr>
        <xdr:cNvPr id="837948" name="Line 305"/>
        <xdr:cNvSpPr>
          <a:spLocks noChangeShapeType="1"/>
        </xdr:cNvSpPr>
      </xdr:nvSpPr>
      <xdr:spPr bwMode="auto">
        <a:xfrm>
          <a:off x="332041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8</xdr:row>
      <xdr:rowOff>76200</xdr:rowOff>
    </xdr:from>
    <xdr:to>
      <xdr:col>68</xdr:col>
      <xdr:colOff>123825</xdr:colOff>
      <xdr:row>8</xdr:row>
      <xdr:rowOff>76200</xdr:rowOff>
    </xdr:to>
    <xdr:sp macro="" textlink="">
      <xdr:nvSpPr>
        <xdr:cNvPr id="837949" name="Line 306"/>
        <xdr:cNvSpPr>
          <a:spLocks noChangeShapeType="1"/>
        </xdr:cNvSpPr>
      </xdr:nvSpPr>
      <xdr:spPr bwMode="auto">
        <a:xfrm flipH="1" flipV="1">
          <a:off x="330803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9</xdr:row>
      <xdr:rowOff>133350</xdr:rowOff>
    </xdr:from>
    <xdr:to>
      <xdr:col>68</xdr:col>
      <xdr:colOff>123825</xdr:colOff>
      <xdr:row>9</xdr:row>
      <xdr:rowOff>133350</xdr:rowOff>
    </xdr:to>
    <xdr:sp macro="" textlink="">
      <xdr:nvSpPr>
        <xdr:cNvPr id="837950" name="Line 307"/>
        <xdr:cNvSpPr>
          <a:spLocks noChangeShapeType="1"/>
        </xdr:cNvSpPr>
      </xdr:nvSpPr>
      <xdr:spPr bwMode="auto">
        <a:xfrm flipH="1">
          <a:off x="330803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12</xdr:row>
      <xdr:rowOff>76200</xdr:rowOff>
    </xdr:from>
    <xdr:to>
      <xdr:col>68</xdr:col>
      <xdr:colOff>123825</xdr:colOff>
      <xdr:row>13</xdr:row>
      <xdr:rowOff>142875</xdr:rowOff>
    </xdr:to>
    <xdr:sp macro="" textlink="">
      <xdr:nvSpPr>
        <xdr:cNvPr id="837951" name="Line 308"/>
        <xdr:cNvSpPr>
          <a:spLocks noChangeShapeType="1"/>
        </xdr:cNvSpPr>
      </xdr:nvSpPr>
      <xdr:spPr bwMode="auto">
        <a:xfrm>
          <a:off x="332041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76200</xdr:rowOff>
    </xdr:from>
    <xdr:to>
      <xdr:col>68</xdr:col>
      <xdr:colOff>123825</xdr:colOff>
      <xdr:row>12</xdr:row>
      <xdr:rowOff>76200</xdr:rowOff>
    </xdr:to>
    <xdr:sp macro="" textlink="">
      <xdr:nvSpPr>
        <xdr:cNvPr id="837952" name="Line 309"/>
        <xdr:cNvSpPr>
          <a:spLocks noChangeShapeType="1"/>
        </xdr:cNvSpPr>
      </xdr:nvSpPr>
      <xdr:spPr bwMode="auto">
        <a:xfrm flipH="1" flipV="1">
          <a:off x="330803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13</xdr:row>
      <xdr:rowOff>133350</xdr:rowOff>
    </xdr:from>
    <xdr:to>
      <xdr:col>68</xdr:col>
      <xdr:colOff>123825</xdr:colOff>
      <xdr:row>13</xdr:row>
      <xdr:rowOff>133350</xdr:rowOff>
    </xdr:to>
    <xdr:sp macro="" textlink="">
      <xdr:nvSpPr>
        <xdr:cNvPr id="837953" name="Line 310"/>
        <xdr:cNvSpPr>
          <a:spLocks noChangeShapeType="1"/>
        </xdr:cNvSpPr>
      </xdr:nvSpPr>
      <xdr:spPr bwMode="auto">
        <a:xfrm flipH="1">
          <a:off x="330803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14</xdr:row>
      <xdr:rowOff>76200</xdr:rowOff>
    </xdr:from>
    <xdr:to>
      <xdr:col>68</xdr:col>
      <xdr:colOff>123825</xdr:colOff>
      <xdr:row>15</xdr:row>
      <xdr:rowOff>142875</xdr:rowOff>
    </xdr:to>
    <xdr:sp macro="" textlink="">
      <xdr:nvSpPr>
        <xdr:cNvPr id="837954" name="Line 311"/>
        <xdr:cNvSpPr>
          <a:spLocks noChangeShapeType="1"/>
        </xdr:cNvSpPr>
      </xdr:nvSpPr>
      <xdr:spPr bwMode="auto">
        <a:xfrm>
          <a:off x="332041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76200</xdr:rowOff>
    </xdr:from>
    <xdr:to>
      <xdr:col>68</xdr:col>
      <xdr:colOff>123825</xdr:colOff>
      <xdr:row>14</xdr:row>
      <xdr:rowOff>76200</xdr:rowOff>
    </xdr:to>
    <xdr:sp macro="" textlink="">
      <xdr:nvSpPr>
        <xdr:cNvPr id="837955" name="Line 312"/>
        <xdr:cNvSpPr>
          <a:spLocks noChangeShapeType="1"/>
        </xdr:cNvSpPr>
      </xdr:nvSpPr>
      <xdr:spPr bwMode="auto">
        <a:xfrm flipH="1" flipV="1">
          <a:off x="330803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15</xdr:row>
      <xdr:rowOff>133350</xdr:rowOff>
    </xdr:from>
    <xdr:to>
      <xdr:col>68</xdr:col>
      <xdr:colOff>123825</xdr:colOff>
      <xdr:row>15</xdr:row>
      <xdr:rowOff>133350</xdr:rowOff>
    </xdr:to>
    <xdr:sp macro="" textlink="">
      <xdr:nvSpPr>
        <xdr:cNvPr id="837956" name="Line 313"/>
        <xdr:cNvSpPr>
          <a:spLocks noChangeShapeType="1"/>
        </xdr:cNvSpPr>
      </xdr:nvSpPr>
      <xdr:spPr bwMode="auto">
        <a:xfrm flipH="1">
          <a:off x="330803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10</xdr:row>
      <xdr:rowOff>76200</xdr:rowOff>
    </xdr:from>
    <xdr:to>
      <xdr:col>68</xdr:col>
      <xdr:colOff>123825</xdr:colOff>
      <xdr:row>11</xdr:row>
      <xdr:rowOff>142875</xdr:rowOff>
    </xdr:to>
    <xdr:sp macro="" textlink="">
      <xdr:nvSpPr>
        <xdr:cNvPr id="837957" name="Line 315"/>
        <xdr:cNvSpPr>
          <a:spLocks noChangeShapeType="1"/>
        </xdr:cNvSpPr>
      </xdr:nvSpPr>
      <xdr:spPr bwMode="auto">
        <a:xfrm>
          <a:off x="332041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10</xdr:row>
      <xdr:rowOff>76200</xdr:rowOff>
    </xdr:from>
    <xdr:to>
      <xdr:col>68</xdr:col>
      <xdr:colOff>123825</xdr:colOff>
      <xdr:row>10</xdr:row>
      <xdr:rowOff>76200</xdr:rowOff>
    </xdr:to>
    <xdr:sp macro="" textlink="">
      <xdr:nvSpPr>
        <xdr:cNvPr id="837958" name="Line 316"/>
        <xdr:cNvSpPr>
          <a:spLocks noChangeShapeType="1"/>
        </xdr:cNvSpPr>
      </xdr:nvSpPr>
      <xdr:spPr bwMode="auto">
        <a:xfrm flipH="1" flipV="1">
          <a:off x="330803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11</xdr:row>
      <xdr:rowOff>133350</xdr:rowOff>
    </xdr:from>
    <xdr:to>
      <xdr:col>68</xdr:col>
      <xdr:colOff>123825</xdr:colOff>
      <xdr:row>11</xdr:row>
      <xdr:rowOff>133350</xdr:rowOff>
    </xdr:to>
    <xdr:sp macro="" textlink="">
      <xdr:nvSpPr>
        <xdr:cNvPr id="837959" name="Line 317"/>
        <xdr:cNvSpPr>
          <a:spLocks noChangeShapeType="1"/>
        </xdr:cNvSpPr>
      </xdr:nvSpPr>
      <xdr:spPr bwMode="auto">
        <a:xfrm flipH="1">
          <a:off x="330803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960" name="Line 318"/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961" name="Line 319"/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962" name="Line 320"/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963" name="Line 321"/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964" name="Line 322"/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965" name="Line 323"/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114300</xdr:colOff>
      <xdr:row>16</xdr:row>
      <xdr:rowOff>66675</xdr:rowOff>
    </xdr:from>
    <xdr:to>
      <xdr:col>74</xdr:col>
      <xdr:colOff>114300</xdr:colOff>
      <xdr:row>19</xdr:row>
      <xdr:rowOff>85725</xdr:rowOff>
    </xdr:to>
    <xdr:sp macro="" textlink="">
      <xdr:nvSpPr>
        <xdr:cNvPr id="837966" name="Line 326"/>
        <xdr:cNvSpPr>
          <a:spLocks noChangeShapeType="1"/>
        </xdr:cNvSpPr>
      </xdr:nvSpPr>
      <xdr:spPr bwMode="auto">
        <a:xfrm>
          <a:off x="366331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16</xdr:row>
      <xdr:rowOff>57150</xdr:rowOff>
    </xdr:from>
    <xdr:to>
      <xdr:col>74</xdr:col>
      <xdr:colOff>123825</xdr:colOff>
      <xdr:row>16</xdr:row>
      <xdr:rowOff>57150</xdr:rowOff>
    </xdr:to>
    <xdr:sp macro="" textlink="">
      <xdr:nvSpPr>
        <xdr:cNvPr id="837967" name="Line 327"/>
        <xdr:cNvSpPr>
          <a:spLocks noChangeShapeType="1"/>
        </xdr:cNvSpPr>
      </xdr:nvSpPr>
      <xdr:spPr bwMode="auto">
        <a:xfrm flipH="1">
          <a:off x="365188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9525</xdr:colOff>
      <xdr:row>19</xdr:row>
      <xdr:rowOff>95250</xdr:rowOff>
    </xdr:from>
    <xdr:to>
      <xdr:col>74</xdr:col>
      <xdr:colOff>114300</xdr:colOff>
      <xdr:row>19</xdr:row>
      <xdr:rowOff>95250</xdr:rowOff>
    </xdr:to>
    <xdr:sp macro="" textlink="">
      <xdr:nvSpPr>
        <xdr:cNvPr id="837968" name="Line 328"/>
        <xdr:cNvSpPr>
          <a:spLocks noChangeShapeType="1"/>
        </xdr:cNvSpPr>
      </xdr:nvSpPr>
      <xdr:spPr bwMode="auto">
        <a:xfrm flipH="1">
          <a:off x="365283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6</xdr:row>
      <xdr:rowOff>76200</xdr:rowOff>
    </xdr:from>
    <xdr:to>
      <xdr:col>74</xdr:col>
      <xdr:colOff>123825</xdr:colOff>
      <xdr:row>7</xdr:row>
      <xdr:rowOff>142875</xdr:rowOff>
    </xdr:to>
    <xdr:sp macro="" textlink="">
      <xdr:nvSpPr>
        <xdr:cNvPr id="837969" name="Line 329"/>
        <xdr:cNvSpPr>
          <a:spLocks noChangeShapeType="1"/>
        </xdr:cNvSpPr>
      </xdr:nvSpPr>
      <xdr:spPr bwMode="auto">
        <a:xfrm>
          <a:off x="366426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76200</xdr:rowOff>
    </xdr:from>
    <xdr:to>
      <xdr:col>74</xdr:col>
      <xdr:colOff>123825</xdr:colOff>
      <xdr:row>6</xdr:row>
      <xdr:rowOff>76200</xdr:rowOff>
    </xdr:to>
    <xdr:sp macro="" textlink="">
      <xdr:nvSpPr>
        <xdr:cNvPr id="837970" name="Line 330"/>
        <xdr:cNvSpPr>
          <a:spLocks noChangeShapeType="1"/>
        </xdr:cNvSpPr>
      </xdr:nvSpPr>
      <xdr:spPr bwMode="auto">
        <a:xfrm flipH="1" flipV="1">
          <a:off x="365188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7</xdr:row>
      <xdr:rowOff>133350</xdr:rowOff>
    </xdr:from>
    <xdr:to>
      <xdr:col>74</xdr:col>
      <xdr:colOff>123825</xdr:colOff>
      <xdr:row>7</xdr:row>
      <xdr:rowOff>133350</xdr:rowOff>
    </xdr:to>
    <xdr:sp macro="" textlink="">
      <xdr:nvSpPr>
        <xdr:cNvPr id="837971" name="Line 331"/>
        <xdr:cNvSpPr>
          <a:spLocks noChangeShapeType="1"/>
        </xdr:cNvSpPr>
      </xdr:nvSpPr>
      <xdr:spPr bwMode="auto">
        <a:xfrm flipH="1">
          <a:off x="365188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8</xdr:row>
      <xdr:rowOff>76200</xdr:rowOff>
    </xdr:from>
    <xdr:to>
      <xdr:col>74</xdr:col>
      <xdr:colOff>123825</xdr:colOff>
      <xdr:row>9</xdr:row>
      <xdr:rowOff>142875</xdr:rowOff>
    </xdr:to>
    <xdr:sp macro="" textlink="">
      <xdr:nvSpPr>
        <xdr:cNvPr id="837972" name="Line 332"/>
        <xdr:cNvSpPr>
          <a:spLocks noChangeShapeType="1"/>
        </xdr:cNvSpPr>
      </xdr:nvSpPr>
      <xdr:spPr bwMode="auto">
        <a:xfrm>
          <a:off x="366426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8</xdr:row>
      <xdr:rowOff>76200</xdr:rowOff>
    </xdr:from>
    <xdr:to>
      <xdr:col>74</xdr:col>
      <xdr:colOff>123825</xdr:colOff>
      <xdr:row>8</xdr:row>
      <xdr:rowOff>76200</xdr:rowOff>
    </xdr:to>
    <xdr:sp macro="" textlink="">
      <xdr:nvSpPr>
        <xdr:cNvPr id="837973" name="Line 333"/>
        <xdr:cNvSpPr>
          <a:spLocks noChangeShapeType="1"/>
        </xdr:cNvSpPr>
      </xdr:nvSpPr>
      <xdr:spPr bwMode="auto">
        <a:xfrm flipH="1" flipV="1">
          <a:off x="365188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9</xdr:row>
      <xdr:rowOff>133350</xdr:rowOff>
    </xdr:from>
    <xdr:to>
      <xdr:col>74</xdr:col>
      <xdr:colOff>123825</xdr:colOff>
      <xdr:row>9</xdr:row>
      <xdr:rowOff>133350</xdr:rowOff>
    </xdr:to>
    <xdr:sp macro="" textlink="">
      <xdr:nvSpPr>
        <xdr:cNvPr id="837974" name="Line 334"/>
        <xdr:cNvSpPr>
          <a:spLocks noChangeShapeType="1"/>
        </xdr:cNvSpPr>
      </xdr:nvSpPr>
      <xdr:spPr bwMode="auto">
        <a:xfrm flipH="1">
          <a:off x="365188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12</xdr:row>
      <xdr:rowOff>76200</xdr:rowOff>
    </xdr:from>
    <xdr:to>
      <xdr:col>74</xdr:col>
      <xdr:colOff>123825</xdr:colOff>
      <xdr:row>13</xdr:row>
      <xdr:rowOff>142875</xdr:rowOff>
    </xdr:to>
    <xdr:sp macro="" textlink="">
      <xdr:nvSpPr>
        <xdr:cNvPr id="837975" name="Line 335"/>
        <xdr:cNvSpPr>
          <a:spLocks noChangeShapeType="1"/>
        </xdr:cNvSpPr>
      </xdr:nvSpPr>
      <xdr:spPr bwMode="auto">
        <a:xfrm>
          <a:off x="366426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12</xdr:row>
      <xdr:rowOff>76200</xdr:rowOff>
    </xdr:from>
    <xdr:to>
      <xdr:col>74</xdr:col>
      <xdr:colOff>123825</xdr:colOff>
      <xdr:row>12</xdr:row>
      <xdr:rowOff>76200</xdr:rowOff>
    </xdr:to>
    <xdr:sp macro="" textlink="">
      <xdr:nvSpPr>
        <xdr:cNvPr id="837976" name="Line 336"/>
        <xdr:cNvSpPr>
          <a:spLocks noChangeShapeType="1"/>
        </xdr:cNvSpPr>
      </xdr:nvSpPr>
      <xdr:spPr bwMode="auto">
        <a:xfrm flipH="1" flipV="1">
          <a:off x="365188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13</xdr:row>
      <xdr:rowOff>133350</xdr:rowOff>
    </xdr:from>
    <xdr:to>
      <xdr:col>74</xdr:col>
      <xdr:colOff>123825</xdr:colOff>
      <xdr:row>13</xdr:row>
      <xdr:rowOff>133350</xdr:rowOff>
    </xdr:to>
    <xdr:sp macro="" textlink="">
      <xdr:nvSpPr>
        <xdr:cNvPr id="837977" name="Line 337"/>
        <xdr:cNvSpPr>
          <a:spLocks noChangeShapeType="1"/>
        </xdr:cNvSpPr>
      </xdr:nvSpPr>
      <xdr:spPr bwMode="auto">
        <a:xfrm flipH="1">
          <a:off x="365188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14</xdr:row>
      <xdr:rowOff>76200</xdr:rowOff>
    </xdr:from>
    <xdr:to>
      <xdr:col>74</xdr:col>
      <xdr:colOff>123825</xdr:colOff>
      <xdr:row>15</xdr:row>
      <xdr:rowOff>142875</xdr:rowOff>
    </xdr:to>
    <xdr:sp macro="" textlink="">
      <xdr:nvSpPr>
        <xdr:cNvPr id="837978" name="Line 338"/>
        <xdr:cNvSpPr>
          <a:spLocks noChangeShapeType="1"/>
        </xdr:cNvSpPr>
      </xdr:nvSpPr>
      <xdr:spPr bwMode="auto">
        <a:xfrm>
          <a:off x="366426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14</xdr:row>
      <xdr:rowOff>76200</xdr:rowOff>
    </xdr:from>
    <xdr:to>
      <xdr:col>74</xdr:col>
      <xdr:colOff>123825</xdr:colOff>
      <xdr:row>14</xdr:row>
      <xdr:rowOff>76200</xdr:rowOff>
    </xdr:to>
    <xdr:sp macro="" textlink="">
      <xdr:nvSpPr>
        <xdr:cNvPr id="837979" name="Line 339"/>
        <xdr:cNvSpPr>
          <a:spLocks noChangeShapeType="1"/>
        </xdr:cNvSpPr>
      </xdr:nvSpPr>
      <xdr:spPr bwMode="auto">
        <a:xfrm flipH="1" flipV="1">
          <a:off x="365188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15</xdr:row>
      <xdr:rowOff>133350</xdr:rowOff>
    </xdr:from>
    <xdr:to>
      <xdr:col>74</xdr:col>
      <xdr:colOff>123825</xdr:colOff>
      <xdr:row>15</xdr:row>
      <xdr:rowOff>133350</xdr:rowOff>
    </xdr:to>
    <xdr:sp macro="" textlink="">
      <xdr:nvSpPr>
        <xdr:cNvPr id="837980" name="Line 340"/>
        <xdr:cNvSpPr>
          <a:spLocks noChangeShapeType="1"/>
        </xdr:cNvSpPr>
      </xdr:nvSpPr>
      <xdr:spPr bwMode="auto">
        <a:xfrm flipH="1">
          <a:off x="365188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123825</xdr:colOff>
      <xdr:row>10</xdr:row>
      <xdr:rowOff>76200</xdr:rowOff>
    </xdr:from>
    <xdr:to>
      <xdr:col>74</xdr:col>
      <xdr:colOff>123825</xdr:colOff>
      <xdr:row>11</xdr:row>
      <xdr:rowOff>142875</xdr:rowOff>
    </xdr:to>
    <xdr:sp macro="" textlink="">
      <xdr:nvSpPr>
        <xdr:cNvPr id="837981" name="Line 342"/>
        <xdr:cNvSpPr>
          <a:spLocks noChangeShapeType="1"/>
        </xdr:cNvSpPr>
      </xdr:nvSpPr>
      <xdr:spPr bwMode="auto">
        <a:xfrm>
          <a:off x="366426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10</xdr:row>
      <xdr:rowOff>76200</xdr:rowOff>
    </xdr:from>
    <xdr:to>
      <xdr:col>74</xdr:col>
      <xdr:colOff>123825</xdr:colOff>
      <xdr:row>10</xdr:row>
      <xdr:rowOff>76200</xdr:rowOff>
    </xdr:to>
    <xdr:sp macro="" textlink="">
      <xdr:nvSpPr>
        <xdr:cNvPr id="837982" name="Line 343"/>
        <xdr:cNvSpPr>
          <a:spLocks noChangeShapeType="1"/>
        </xdr:cNvSpPr>
      </xdr:nvSpPr>
      <xdr:spPr bwMode="auto">
        <a:xfrm flipH="1" flipV="1">
          <a:off x="365188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11</xdr:row>
      <xdr:rowOff>133350</xdr:rowOff>
    </xdr:from>
    <xdr:to>
      <xdr:col>74</xdr:col>
      <xdr:colOff>123825</xdr:colOff>
      <xdr:row>11</xdr:row>
      <xdr:rowOff>133350</xdr:rowOff>
    </xdr:to>
    <xdr:sp macro="" textlink="">
      <xdr:nvSpPr>
        <xdr:cNvPr id="837983" name="Line 344"/>
        <xdr:cNvSpPr>
          <a:spLocks noChangeShapeType="1"/>
        </xdr:cNvSpPr>
      </xdr:nvSpPr>
      <xdr:spPr bwMode="auto">
        <a:xfrm flipH="1">
          <a:off x="365188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984" name="Line 345"/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985" name="Line 346"/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986" name="Line 347"/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987" name="Line 348"/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988" name="Line 349"/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989" name="Line 350"/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114300</xdr:colOff>
      <xdr:row>16</xdr:row>
      <xdr:rowOff>66675</xdr:rowOff>
    </xdr:from>
    <xdr:to>
      <xdr:col>80</xdr:col>
      <xdr:colOff>114300</xdr:colOff>
      <xdr:row>19</xdr:row>
      <xdr:rowOff>85725</xdr:rowOff>
    </xdr:to>
    <xdr:sp macro="" textlink="">
      <xdr:nvSpPr>
        <xdr:cNvPr id="837990" name="Line 353"/>
        <xdr:cNvSpPr>
          <a:spLocks noChangeShapeType="1"/>
        </xdr:cNvSpPr>
      </xdr:nvSpPr>
      <xdr:spPr bwMode="auto">
        <a:xfrm>
          <a:off x="404050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16</xdr:row>
      <xdr:rowOff>57150</xdr:rowOff>
    </xdr:from>
    <xdr:to>
      <xdr:col>80</xdr:col>
      <xdr:colOff>123825</xdr:colOff>
      <xdr:row>16</xdr:row>
      <xdr:rowOff>57150</xdr:rowOff>
    </xdr:to>
    <xdr:sp macro="" textlink="">
      <xdr:nvSpPr>
        <xdr:cNvPr id="837991" name="Line 354"/>
        <xdr:cNvSpPr>
          <a:spLocks noChangeShapeType="1"/>
        </xdr:cNvSpPr>
      </xdr:nvSpPr>
      <xdr:spPr bwMode="auto">
        <a:xfrm flipH="1">
          <a:off x="402907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9525</xdr:colOff>
      <xdr:row>19</xdr:row>
      <xdr:rowOff>95250</xdr:rowOff>
    </xdr:from>
    <xdr:to>
      <xdr:col>80</xdr:col>
      <xdr:colOff>114300</xdr:colOff>
      <xdr:row>19</xdr:row>
      <xdr:rowOff>95250</xdr:rowOff>
    </xdr:to>
    <xdr:sp macro="" textlink="">
      <xdr:nvSpPr>
        <xdr:cNvPr id="837992" name="Line 355"/>
        <xdr:cNvSpPr>
          <a:spLocks noChangeShapeType="1"/>
        </xdr:cNvSpPr>
      </xdr:nvSpPr>
      <xdr:spPr bwMode="auto">
        <a:xfrm flipH="1">
          <a:off x="403002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6</xdr:row>
      <xdr:rowOff>76200</xdr:rowOff>
    </xdr:from>
    <xdr:to>
      <xdr:col>80</xdr:col>
      <xdr:colOff>123825</xdr:colOff>
      <xdr:row>7</xdr:row>
      <xdr:rowOff>142875</xdr:rowOff>
    </xdr:to>
    <xdr:sp macro="" textlink="">
      <xdr:nvSpPr>
        <xdr:cNvPr id="837993" name="Line 356"/>
        <xdr:cNvSpPr>
          <a:spLocks noChangeShapeType="1"/>
        </xdr:cNvSpPr>
      </xdr:nvSpPr>
      <xdr:spPr bwMode="auto">
        <a:xfrm>
          <a:off x="404145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6</xdr:row>
      <xdr:rowOff>76200</xdr:rowOff>
    </xdr:from>
    <xdr:to>
      <xdr:col>80</xdr:col>
      <xdr:colOff>123825</xdr:colOff>
      <xdr:row>6</xdr:row>
      <xdr:rowOff>76200</xdr:rowOff>
    </xdr:to>
    <xdr:sp macro="" textlink="">
      <xdr:nvSpPr>
        <xdr:cNvPr id="837994" name="Line 357"/>
        <xdr:cNvSpPr>
          <a:spLocks noChangeShapeType="1"/>
        </xdr:cNvSpPr>
      </xdr:nvSpPr>
      <xdr:spPr bwMode="auto">
        <a:xfrm flipH="1" flipV="1">
          <a:off x="402907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7</xdr:row>
      <xdr:rowOff>133350</xdr:rowOff>
    </xdr:from>
    <xdr:to>
      <xdr:col>80</xdr:col>
      <xdr:colOff>123825</xdr:colOff>
      <xdr:row>7</xdr:row>
      <xdr:rowOff>133350</xdr:rowOff>
    </xdr:to>
    <xdr:sp macro="" textlink="">
      <xdr:nvSpPr>
        <xdr:cNvPr id="837995" name="Line 358"/>
        <xdr:cNvSpPr>
          <a:spLocks noChangeShapeType="1"/>
        </xdr:cNvSpPr>
      </xdr:nvSpPr>
      <xdr:spPr bwMode="auto">
        <a:xfrm flipH="1">
          <a:off x="402907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8</xdr:row>
      <xdr:rowOff>76200</xdr:rowOff>
    </xdr:from>
    <xdr:to>
      <xdr:col>80</xdr:col>
      <xdr:colOff>123825</xdr:colOff>
      <xdr:row>9</xdr:row>
      <xdr:rowOff>142875</xdr:rowOff>
    </xdr:to>
    <xdr:sp macro="" textlink="">
      <xdr:nvSpPr>
        <xdr:cNvPr id="837996" name="Line 359"/>
        <xdr:cNvSpPr>
          <a:spLocks noChangeShapeType="1"/>
        </xdr:cNvSpPr>
      </xdr:nvSpPr>
      <xdr:spPr bwMode="auto">
        <a:xfrm>
          <a:off x="404145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8</xdr:row>
      <xdr:rowOff>76200</xdr:rowOff>
    </xdr:from>
    <xdr:to>
      <xdr:col>80</xdr:col>
      <xdr:colOff>123825</xdr:colOff>
      <xdr:row>8</xdr:row>
      <xdr:rowOff>76200</xdr:rowOff>
    </xdr:to>
    <xdr:sp macro="" textlink="">
      <xdr:nvSpPr>
        <xdr:cNvPr id="837997" name="Line 360"/>
        <xdr:cNvSpPr>
          <a:spLocks noChangeShapeType="1"/>
        </xdr:cNvSpPr>
      </xdr:nvSpPr>
      <xdr:spPr bwMode="auto">
        <a:xfrm flipH="1" flipV="1">
          <a:off x="402907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9</xdr:row>
      <xdr:rowOff>133350</xdr:rowOff>
    </xdr:from>
    <xdr:to>
      <xdr:col>80</xdr:col>
      <xdr:colOff>123825</xdr:colOff>
      <xdr:row>9</xdr:row>
      <xdr:rowOff>133350</xdr:rowOff>
    </xdr:to>
    <xdr:sp macro="" textlink="">
      <xdr:nvSpPr>
        <xdr:cNvPr id="837998" name="Line 361"/>
        <xdr:cNvSpPr>
          <a:spLocks noChangeShapeType="1"/>
        </xdr:cNvSpPr>
      </xdr:nvSpPr>
      <xdr:spPr bwMode="auto">
        <a:xfrm flipH="1">
          <a:off x="402907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12</xdr:row>
      <xdr:rowOff>76200</xdr:rowOff>
    </xdr:from>
    <xdr:to>
      <xdr:col>80</xdr:col>
      <xdr:colOff>123825</xdr:colOff>
      <xdr:row>13</xdr:row>
      <xdr:rowOff>142875</xdr:rowOff>
    </xdr:to>
    <xdr:sp macro="" textlink="">
      <xdr:nvSpPr>
        <xdr:cNvPr id="837999" name="Line 362"/>
        <xdr:cNvSpPr>
          <a:spLocks noChangeShapeType="1"/>
        </xdr:cNvSpPr>
      </xdr:nvSpPr>
      <xdr:spPr bwMode="auto">
        <a:xfrm>
          <a:off x="404145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12</xdr:row>
      <xdr:rowOff>76200</xdr:rowOff>
    </xdr:from>
    <xdr:to>
      <xdr:col>80</xdr:col>
      <xdr:colOff>123825</xdr:colOff>
      <xdr:row>12</xdr:row>
      <xdr:rowOff>76200</xdr:rowOff>
    </xdr:to>
    <xdr:sp macro="" textlink="">
      <xdr:nvSpPr>
        <xdr:cNvPr id="838000" name="Line 363"/>
        <xdr:cNvSpPr>
          <a:spLocks noChangeShapeType="1"/>
        </xdr:cNvSpPr>
      </xdr:nvSpPr>
      <xdr:spPr bwMode="auto">
        <a:xfrm flipH="1" flipV="1">
          <a:off x="402907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13</xdr:row>
      <xdr:rowOff>133350</xdr:rowOff>
    </xdr:from>
    <xdr:to>
      <xdr:col>80</xdr:col>
      <xdr:colOff>123825</xdr:colOff>
      <xdr:row>13</xdr:row>
      <xdr:rowOff>133350</xdr:rowOff>
    </xdr:to>
    <xdr:sp macro="" textlink="">
      <xdr:nvSpPr>
        <xdr:cNvPr id="838001" name="Line 364"/>
        <xdr:cNvSpPr>
          <a:spLocks noChangeShapeType="1"/>
        </xdr:cNvSpPr>
      </xdr:nvSpPr>
      <xdr:spPr bwMode="auto">
        <a:xfrm flipH="1">
          <a:off x="402907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14</xdr:row>
      <xdr:rowOff>76200</xdr:rowOff>
    </xdr:from>
    <xdr:to>
      <xdr:col>80</xdr:col>
      <xdr:colOff>123825</xdr:colOff>
      <xdr:row>15</xdr:row>
      <xdr:rowOff>142875</xdr:rowOff>
    </xdr:to>
    <xdr:sp macro="" textlink="">
      <xdr:nvSpPr>
        <xdr:cNvPr id="838002" name="Line 365"/>
        <xdr:cNvSpPr>
          <a:spLocks noChangeShapeType="1"/>
        </xdr:cNvSpPr>
      </xdr:nvSpPr>
      <xdr:spPr bwMode="auto">
        <a:xfrm>
          <a:off x="404145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14</xdr:row>
      <xdr:rowOff>76200</xdr:rowOff>
    </xdr:from>
    <xdr:to>
      <xdr:col>80</xdr:col>
      <xdr:colOff>123825</xdr:colOff>
      <xdr:row>14</xdr:row>
      <xdr:rowOff>76200</xdr:rowOff>
    </xdr:to>
    <xdr:sp macro="" textlink="">
      <xdr:nvSpPr>
        <xdr:cNvPr id="838003" name="Line 366"/>
        <xdr:cNvSpPr>
          <a:spLocks noChangeShapeType="1"/>
        </xdr:cNvSpPr>
      </xdr:nvSpPr>
      <xdr:spPr bwMode="auto">
        <a:xfrm flipH="1" flipV="1">
          <a:off x="402907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15</xdr:row>
      <xdr:rowOff>133350</xdr:rowOff>
    </xdr:from>
    <xdr:to>
      <xdr:col>80</xdr:col>
      <xdr:colOff>123825</xdr:colOff>
      <xdr:row>15</xdr:row>
      <xdr:rowOff>133350</xdr:rowOff>
    </xdr:to>
    <xdr:sp macro="" textlink="">
      <xdr:nvSpPr>
        <xdr:cNvPr id="838004" name="Line 367"/>
        <xdr:cNvSpPr>
          <a:spLocks noChangeShapeType="1"/>
        </xdr:cNvSpPr>
      </xdr:nvSpPr>
      <xdr:spPr bwMode="auto">
        <a:xfrm flipH="1">
          <a:off x="402907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123825</xdr:colOff>
      <xdr:row>10</xdr:row>
      <xdr:rowOff>76200</xdr:rowOff>
    </xdr:from>
    <xdr:to>
      <xdr:col>80</xdr:col>
      <xdr:colOff>123825</xdr:colOff>
      <xdr:row>11</xdr:row>
      <xdr:rowOff>142875</xdr:rowOff>
    </xdr:to>
    <xdr:sp macro="" textlink="">
      <xdr:nvSpPr>
        <xdr:cNvPr id="838005" name="Line 369"/>
        <xdr:cNvSpPr>
          <a:spLocks noChangeShapeType="1"/>
        </xdr:cNvSpPr>
      </xdr:nvSpPr>
      <xdr:spPr bwMode="auto">
        <a:xfrm>
          <a:off x="404145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10</xdr:row>
      <xdr:rowOff>76200</xdr:rowOff>
    </xdr:from>
    <xdr:to>
      <xdr:col>80</xdr:col>
      <xdr:colOff>123825</xdr:colOff>
      <xdr:row>10</xdr:row>
      <xdr:rowOff>76200</xdr:rowOff>
    </xdr:to>
    <xdr:sp macro="" textlink="">
      <xdr:nvSpPr>
        <xdr:cNvPr id="838006" name="Line 370"/>
        <xdr:cNvSpPr>
          <a:spLocks noChangeShapeType="1"/>
        </xdr:cNvSpPr>
      </xdr:nvSpPr>
      <xdr:spPr bwMode="auto">
        <a:xfrm flipH="1" flipV="1">
          <a:off x="402907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11</xdr:row>
      <xdr:rowOff>133350</xdr:rowOff>
    </xdr:from>
    <xdr:to>
      <xdr:col>80</xdr:col>
      <xdr:colOff>123825</xdr:colOff>
      <xdr:row>11</xdr:row>
      <xdr:rowOff>133350</xdr:rowOff>
    </xdr:to>
    <xdr:sp macro="" textlink="">
      <xdr:nvSpPr>
        <xdr:cNvPr id="838007" name="Line 371"/>
        <xdr:cNvSpPr>
          <a:spLocks noChangeShapeType="1"/>
        </xdr:cNvSpPr>
      </xdr:nvSpPr>
      <xdr:spPr bwMode="auto">
        <a:xfrm flipH="1">
          <a:off x="402907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8008" name="Line 216"/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8009" name="Line 217"/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8010" name="Line 218"/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8011" name="Line 219"/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8012" name="Line 220"/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8013" name="Line 221"/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114300</xdr:colOff>
      <xdr:row>16</xdr:row>
      <xdr:rowOff>66675</xdr:rowOff>
    </xdr:from>
    <xdr:to>
      <xdr:col>98</xdr:col>
      <xdr:colOff>114300</xdr:colOff>
      <xdr:row>19</xdr:row>
      <xdr:rowOff>85725</xdr:rowOff>
    </xdr:to>
    <xdr:sp macro="" textlink="">
      <xdr:nvSpPr>
        <xdr:cNvPr id="838014" name="Line 224"/>
        <xdr:cNvSpPr>
          <a:spLocks noChangeShapeType="1"/>
        </xdr:cNvSpPr>
      </xdr:nvSpPr>
      <xdr:spPr bwMode="auto">
        <a:xfrm>
          <a:off x="510825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16</xdr:row>
      <xdr:rowOff>57150</xdr:rowOff>
    </xdr:from>
    <xdr:to>
      <xdr:col>98</xdr:col>
      <xdr:colOff>123825</xdr:colOff>
      <xdr:row>16</xdr:row>
      <xdr:rowOff>57150</xdr:rowOff>
    </xdr:to>
    <xdr:sp macro="" textlink="">
      <xdr:nvSpPr>
        <xdr:cNvPr id="838015" name="Line 225"/>
        <xdr:cNvSpPr>
          <a:spLocks noChangeShapeType="1"/>
        </xdr:cNvSpPr>
      </xdr:nvSpPr>
      <xdr:spPr bwMode="auto">
        <a:xfrm flipH="1">
          <a:off x="509682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9525</xdr:colOff>
      <xdr:row>19</xdr:row>
      <xdr:rowOff>95250</xdr:rowOff>
    </xdr:from>
    <xdr:to>
      <xdr:col>98</xdr:col>
      <xdr:colOff>114300</xdr:colOff>
      <xdr:row>19</xdr:row>
      <xdr:rowOff>95250</xdr:rowOff>
    </xdr:to>
    <xdr:sp macro="" textlink="">
      <xdr:nvSpPr>
        <xdr:cNvPr id="838016" name="Line 226"/>
        <xdr:cNvSpPr>
          <a:spLocks noChangeShapeType="1"/>
        </xdr:cNvSpPr>
      </xdr:nvSpPr>
      <xdr:spPr bwMode="auto">
        <a:xfrm flipH="1">
          <a:off x="509778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6</xdr:row>
      <xdr:rowOff>76200</xdr:rowOff>
    </xdr:from>
    <xdr:to>
      <xdr:col>98</xdr:col>
      <xdr:colOff>123825</xdr:colOff>
      <xdr:row>7</xdr:row>
      <xdr:rowOff>142875</xdr:rowOff>
    </xdr:to>
    <xdr:sp macro="" textlink="">
      <xdr:nvSpPr>
        <xdr:cNvPr id="838017" name="Line 227"/>
        <xdr:cNvSpPr>
          <a:spLocks noChangeShapeType="1"/>
        </xdr:cNvSpPr>
      </xdr:nvSpPr>
      <xdr:spPr bwMode="auto">
        <a:xfrm>
          <a:off x="510921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76200</xdr:rowOff>
    </xdr:from>
    <xdr:to>
      <xdr:col>98</xdr:col>
      <xdr:colOff>123825</xdr:colOff>
      <xdr:row>6</xdr:row>
      <xdr:rowOff>76200</xdr:rowOff>
    </xdr:to>
    <xdr:sp macro="" textlink="">
      <xdr:nvSpPr>
        <xdr:cNvPr id="838018" name="Line 228"/>
        <xdr:cNvSpPr>
          <a:spLocks noChangeShapeType="1"/>
        </xdr:cNvSpPr>
      </xdr:nvSpPr>
      <xdr:spPr bwMode="auto">
        <a:xfrm flipH="1" flipV="1">
          <a:off x="509682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7</xdr:row>
      <xdr:rowOff>133350</xdr:rowOff>
    </xdr:from>
    <xdr:to>
      <xdr:col>98</xdr:col>
      <xdr:colOff>123825</xdr:colOff>
      <xdr:row>7</xdr:row>
      <xdr:rowOff>133350</xdr:rowOff>
    </xdr:to>
    <xdr:sp macro="" textlink="">
      <xdr:nvSpPr>
        <xdr:cNvPr id="838019" name="Line 229"/>
        <xdr:cNvSpPr>
          <a:spLocks noChangeShapeType="1"/>
        </xdr:cNvSpPr>
      </xdr:nvSpPr>
      <xdr:spPr bwMode="auto">
        <a:xfrm flipH="1">
          <a:off x="509682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8</xdr:row>
      <xdr:rowOff>76200</xdr:rowOff>
    </xdr:from>
    <xdr:to>
      <xdr:col>98</xdr:col>
      <xdr:colOff>123825</xdr:colOff>
      <xdr:row>9</xdr:row>
      <xdr:rowOff>142875</xdr:rowOff>
    </xdr:to>
    <xdr:sp macro="" textlink="">
      <xdr:nvSpPr>
        <xdr:cNvPr id="838020" name="Line 230"/>
        <xdr:cNvSpPr>
          <a:spLocks noChangeShapeType="1"/>
        </xdr:cNvSpPr>
      </xdr:nvSpPr>
      <xdr:spPr bwMode="auto">
        <a:xfrm>
          <a:off x="510921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8</xdr:row>
      <xdr:rowOff>76200</xdr:rowOff>
    </xdr:from>
    <xdr:to>
      <xdr:col>98</xdr:col>
      <xdr:colOff>123825</xdr:colOff>
      <xdr:row>8</xdr:row>
      <xdr:rowOff>76200</xdr:rowOff>
    </xdr:to>
    <xdr:sp macro="" textlink="">
      <xdr:nvSpPr>
        <xdr:cNvPr id="838021" name="Line 231"/>
        <xdr:cNvSpPr>
          <a:spLocks noChangeShapeType="1"/>
        </xdr:cNvSpPr>
      </xdr:nvSpPr>
      <xdr:spPr bwMode="auto">
        <a:xfrm flipH="1" flipV="1">
          <a:off x="509682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9</xdr:row>
      <xdr:rowOff>133350</xdr:rowOff>
    </xdr:from>
    <xdr:to>
      <xdr:col>98</xdr:col>
      <xdr:colOff>123825</xdr:colOff>
      <xdr:row>9</xdr:row>
      <xdr:rowOff>133350</xdr:rowOff>
    </xdr:to>
    <xdr:sp macro="" textlink="">
      <xdr:nvSpPr>
        <xdr:cNvPr id="838022" name="Line 232"/>
        <xdr:cNvSpPr>
          <a:spLocks noChangeShapeType="1"/>
        </xdr:cNvSpPr>
      </xdr:nvSpPr>
      <xdr:spPr bwMode="auto">
        <a:xfrm flipH="1">
          <a:off x="509682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12</xdr:row>
      <xdr:rowOff>76200</xdr:rowOff>
    </xdr:from>
    <xdr:to>
      <xdr:col>98</xdr:col>
      <xdr:colOff>123825</xdr:colOff>
      <xdr:row>13</xdr:row>
      <xdr:rowOff>142875</xdr:rowOff>
    </xdr:to>
    <xdr:sp macro="" textlink="">
      <xdr:nvSpPr>
        <xdr:cNvPr id="838023" name="Line 233"/>
        <xdr:cNvSpPr>
          <a:spLocks noChangeShapeType="1"/>
        </xdr:cNvSpPr>
      </xdr:nvSpPr>
      <xdr:spPr bwMode="auto">
        <a:xfrm>
          <a:off x="510921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12</xdr:row>
      <xdr:rowOff>76200</xdr:rowOff>
    </xdr:from>
    <xdr:to>
      <xdr:col>98</xdr:col>
      <xdr:colOff>123825</xdr:colOff>
      <xdr:row>12</xdr:row>
      <xdr:rowOff>76200</xdr:rowOff>
    </xdr:to>
    <xdr:sp macro="" textlink="">
      <xdr:nvSpPr>
        <xdr:cNvPr id="838024" name="Line 234"/>
        <xdr:cNvSpPr>
          <a:spLocks noChangeShapeType="1"/>
        </xdr:cNvSpPr>
      </xdr:nvSpPr>
      <xdr:spPr bwMode="auto">
        <a:xfrm flipH="1" flipV="1">
          <a:off x="509682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13</xdr:row>
      <xdr:rowOff>133350</xdr:rowOff>
    </xdr:from>
    <xdr:to>
      <xdr:col>98</xdr:col>
      <xdr:colOff>123825</xdr:colOff>
      <xdr:row>13</xdr:row>
      <xdr:rowOff>133350</xdr:rowOff>
    </xdr:to>
    <xdr:sp macro="" textlink="">
      <xdr:nvSpPr>
        <xdr:cNvPr id="838025" name="Line 235"/>
        <xdr:cNvSpPr>
          <a:spLocks noChangeShapeType="1"/>
        </xdr:cNvSpPr>
      </xdr:nvSpPr>
      <xdr:spPr bwMode="auto">
        <a:xfrm flipH="1">
          <a:off x="509682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14</xdr:row>
      <xdr:rowOff>76200</xdr:rowOff>
    </xdr:from>
    <xdr:to>
      <xdr:col>98</xdr:col>
      <xdr:colOff>123825</xdr:colOff>
      <xdr:row>15</xdr:row>
      <xdr:rowOff>142875</xdr:rowOff>
    </xdr:to>
    <xdr:sp macro="" textlink="">
      <xdr:nvSpPr>
        <xdr:cNvPr id="838026" name="Line 236"/>
        <xdr:cNvSpPr>
          <a:spLocks noChangeShapeType="1"/>
        </xdr:cNvSpPr>
      </xdr:nvSpPr>
      <xdr:spPr bwMode="auto">
        <a:xfrm>
          <a:off x="510921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14</xdr:row>
      <xdr:rowOff>76200</xdr:rowOff>
    </xdr:from>
    <xdr:to>
      <xdr:col>98</xdr:col>
      <xdr:colOff>123825</xdr:colOff>
      <xdr:row>14</xdr:row>
      <xdr:rowOff>76200</xdr:rowOff>
    </xdr:to>
    <xdr:sp macro="" textlink="">
      <xdr:nvSpPr>
        <xdr:cNvPr id="838027" name="Line 237"/>
        <xdr:cNvSpPr>
          <a:spLocks noChangeShapeType="1"/>
        </xdr:cNvSpPr>
      </xdr:nvSpPr>
      <xdr:spPr bwMode="auto">
        <a:xfrm flipH="1" flipV="1">
          <a:off x="509682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15</xdr:row>
      <xdr:rowOff>133350</xdr:rowOff>
    </xdr:from>
    <xdr:to>
      <xdr:col>98</xdr:col>
      <xdr:colOff>123825</xdr:colOff>
      <xdr:row>15</xdr:row>
      <xdr:rowOff>133350</xdr:rowOff>
    </xdr:to>
    <xdr:sp macro="" textlink="">
      <xdr:nvSpPr>
        <xdr:cNvPr id="838028" name="Line 238"/>
        <xdr:cNvSpPr>
          <a:spLocks noChangeShapeType="1"/>
        </xdr:cNvSpPr>
      </xdr:nvSpPr>
      <xdr:spPr bwMode="auto">
        <a:xfrm flipH="1">
          <a:off x="509682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123825</xdr:colOff>
      <xdr:row>10</xdr:row>
      <xdr:rowOff>76200</xdr:rowOff>
    </xdr:from>
    <xdr:to>
      <xdr:col>98</xdr:col>
      <xdr:colOff>123825</xdr:colOff>
      <xdr:row>11</xdr:row>
      <xdr:rowOff>142875</xdr:rowOff>
    </xdr:to>
    <xdr:sp macro="" textlink="">
      <xdr:nvSpPr>
        <xdr:cNvPr id="838029" name="Line 240"/>
        <xdr:cNvSpPr>
          <a:spLocks noChangeShapeType="1"/>
        </xdr:cNvSpPr>
      </xdr:nvSpPr>
      <xdr:spPr bwMode="auto">
        <a:xfrm>
          <a:off x="510921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10</xdr:row>
      <xdr:rowOff>76200</xdr:rowOff>
    </xdr:from>
    <xdr:to>
      <xdr:col>98</xdr:col>
      <xdr:colOff>123825</xdr:colOff>
      <xdr:row>10</xdr:row>
      <xdr:rowOff>76200</xdr:rowOff>
    </xdr:to>
    <xdr:sp macro="" textlink="">
      <xdr:nvSpPr>
        <xdr:cNvPr id="838030" name="Line 241"/>
        <xdr:cNvSpPr>
          <a:spLocks noChangeShapeType="1"/>
        </xdr:cNvSpPr>
      </xdr:nvSpPr>
      <xdr:spPr bwMode="auto">
        <a:xfrm flipH="1" flipV="1">
          <a:off x="509682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11</xdr:row>
      <xdr:rowOff>133350</xdr:rowOff>
    </xdr:from>
    <xdr:to>
      <xdr:col>98</xdr:col>
      <xdr:colOff>123825</xdr:colOff>
      <xdr:row>11</xdr:row>
      <xdr:rowOff>133350</xdr:rowOff>
    </xdr:to>
    <xdr:sp macro="" textlink="">
      <xdr:nvSpPr>
        <xdr:cNvPr id="838031" name="Line 242"/>
        <xdr:cNvSpPr>
          <a:spLocks noChangeShapeType="1"/>
        </xdr:cNvSpPr>
      </xdr:nvSpPr>
      <xdr:spPr bwMode="auto">
        <a:xfrm flipH="1">
          <a:off x="509682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8032" name="Line 216"/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8033" name="Line 217"/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8034" name="Line 218"/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8035" name="Line 219"/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8036" name="Line 220"/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8037" name="Line 221"/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114300</xdr:colOff>
      <xdr:row>16</xdr:row>
      <xdr:rowOff>66675</xdr:rowOff>
    </xdr:from>
    <xdr:to>
      <xdr:col>92</xdr:col>
      <xdr:colOff>114300</xdr:colOff>
      <xdr:row>19</xdr:row>
      <xdr:rowOff>85725</xdr:rowOff>
    </xdr:to>
    <xdr:sp macro="" textlink="">
      <xdr:nvSpPr>
        <xdr:cNvPr id="838038" name="Line 224"/>
        <xdr:cNvSpPr>
          <a:spLocks noChangeShapeType="1"/>
        </xdr:cNvSpPr>
      </xdr:nvSpPr>
      <xdr:spPr bwMode="auto">
        <a:xfrm>
          <a:off x="4794885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16</xdr:row>
      <xdr:rowOff>57150</xdr:rowOff>
    </xdr:from>
    <xdr:to>
      <xdr:col>92</xdr:col>
      <xdr:colOff>123825</xdr:colOff>
      <xdr:row>16</xdr:row>
      <xdr:rowOff>57150</xdr:rowOff>
    </xdr:to>
    <xdr:sp macro="" textlink="">
      <xdr:nvSpPr>
        <xdr:cNvPr id="838039" name="Line 225"/>
        <xdr:cNvSpPr>
          <a:spLocks noChangeShapeType="1"/>
        </xdr:cNvSpPr>
      </xdr:nvSpPr>
      <xdr:spPr bwMode="auto">
        <a:xfrm flipH="1">
          <a:off x="4783455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9525</xdr:colOff>
      <xdr:row>19</xdr:row>
      <xdr:rowOff>95250</xdr:rowOff>
    </xdr:from>
    <xdr:to>
      <xdr:col>92</xdr:col>
      <xdr:colOff>114300</xdr:colOff>
      <xdr:row>19</xdr:row>
      <xdr:rowOff>95250</xdr:rowOff>
    </xdr:to>
    <xdr:sp macro="" textlink="">
      <xdr:nvSpPr>
        <xdr:cNvPr id="838040" name="Line 226"/>
        <xdr:cNvSpPr>
          <a:spLocks noChangeShapeType="1"/>
        </xdr:cNvSpPr>
      </xdr:nvSpPr>
      <xdr:spPr bwMode="auto">
        <a:xfrm flipH="1">
          <a:off x="4784407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6</xdr:row>
      <xdr:rowOff>76200</xdr:rowOff>
    </xdr:from>
    <xdr:to>
      <xdr:col>92</xdr:col>
      <xdr:colOff>123825</xdr:colOff>
      <xdr:row>7</xdr:row>
      <xdr:rowOff>142875</xdr:rowOff>
    </xdr:to>
    <xdr:sp macro="" textlink="">
      <xdr:nvSpPr>
        <xdr:cNvPr id="838041" name="Line 227"/>
        <xdr:cNvSpPr>
          <a:spLocks noChangeShapeType="1"/>
        </xdr:cNvSpPr>
      </xdr:nvSpPr>
      <xdr:spPr bwMode="auto">
        <a:xfrm>
          <a:off x="4795837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76200</xdr:rowOff>
    </xdr:from>
    <xdr:to>
      <xdr:col>92</xdr:col>
      <xdr:colOff>123825</xdr:colOff>
      <xdr:row>6</xdr:row>
      <xdr:rowOff>76200</xdr:rowOff>
    </xdr:to>
    <xdr:sp macro="" textlink="">
      <xdr:nvSpPr>
        <xdr:cNvPr id="838042" name="Line 228"/>
        <xdr:cNvSpPr>
          <a:spLocks noChangeShapeType="1"/>
        </xdr:cNvSpPr>
      </xdr:nvSpPr>
      <xdr:spPr bwMode="auto">
        <a:xfrm flipH="1" flipV="1">
          <a:off x="4783455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7</xdr:row>
      <xdr:rowOff>133350</xdr:rowOff>
    </xdr:from>
    <xdr:to>
      <xdr:col>92</xdr:col>
      <xdr:colOff>123825</xdr:colOff>
      <xdr:row>7</xdr:row>
      <xdr:rowOff>133350</xdr:rowOff>
    </xdr:to>
    <xdr:sp macro="" textlink="">
      <xdr:nvSpPr>
        <xdr:cNvPr id="838043" name="Line 229"/>
        <xdr:cNvSpPr>
          <a:spLocks noChangeShapeType="1"/>
        </xdr:cNvSpPr>
      </xdr:nvSpPr>
      <xdr:spPr bwMode="auto">
        <a:xfrm flipH="1">
          <a:off x="4783455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8</xdr:row>
      <xdr:rowOff>76200</xdr:rowOff>
    </xdr:from>
    <xdr:to>
      <xdr:col>92</xdr:col>
      <xdr:colOff>123825</xdr:colOff>
      <xdr:row>9</xdr:row>
      <xdr:rowOff>142875</xdr:rowOff>
    </xdr:to>
    <xdr:sp macro="" textlink="">
      <xdr:nvSpPr>
        <xdr:cNvPr id="838044" name="Line 230"/>
        <xdr:cNvSpPr>
          <a:spLocks noChangeShapeType="1"/>
        </xdr:cNvSpPr>
      </xdr:nvSpPr>
      <xdr:spPr bwMode="auto">
        <a:xfrm>
          <a:off x="4795837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8</xdr:row>
      <xdr:rowOff>76200</xdr:rowOff>
    </xdr:from>
    <xdr:to>
      <xdr:col>92</xdr:col>
      <xdr:colOff>123825</xdr:colOff>
      <xdr:row>8</xdr:row>
      <xdr:rowOff>76200</xdr:rowOff>
    </xdr:to>
    <xdr:sp macro="" textlink="">
      <xdr:nvSpPr>
        <xdr:cNvPr id="838045" name="Line 231"/>
        <xdr:cNvSpPr>
          <a:spLocks noChangeShapeType="1"/>
        </xdr:cNvSpPr>
      </xdr:nvSpPr>
      <xdr:spPr bwMode="auto">
        <a:xfrm flipH="1" flipV="1">
          <a:off x="4783455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9</xdr:row>
      <xdr:rowOff>133350</xdr:rowOff>
    </xdr:from>
    <xdr:to>
      <xdr:col>92</xdr:col>
      <xdr:colOff>123825</xdr:colOff>
      <xdr:row>9</xdr:row>
      <xdr:rowOff>133350</xdr:rowOff>
    </xdr:to>
    <xdr:sp macro="" textlink="">
      <xdr:nvSpPr>
        <xdr:cNvPr id="838046" name="Line 232"/>
        <xdr:cNvSpPr>
          <a:spLocks noChangeShapeType="1"/>
        </xdr:cNvSpPr>
      </xdr:nvSpPr>
      <xdr:spPr bwMode="auto">
        <a:xfrm flipH="1">
          <a:off x="4783455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12</xdr:row>
      <xdr:rowOff>76200</xdr:rowOff>
    </xdr:from>
    <xdr:to>
      <xdr:col>92</xdr:col>
      <xdr:colOff>123825</xdr:colOff>
      <xdr:row>13</xdr:row>
      <xdr:rowOff>142875</xdr:rowOff>
    </xdr:to>
    <xdr:sp macro="" textlink="">
      <xdr:nvSpPr>
        <xdr:cNvPr id="838047" name="Line 233"/>
        <xdr:cNvSpPr>
          <a:spLocks noChangeShapeType="1"/>
        </xdr:cNvSpPr>
      </xdr:nvSpPr>
      <xdr:spPr bwMode="auto">
        <a:xfrm>
          <a:off x="4795837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12</xdr:row>
      <xdr:rowOff>76200</xdr:rowOff>
    </xdr:from>
    <xdr:to>
      <xdr:col>92</xdr:col>
      <xdr:colOff>123825</xdr:colOff>
      <xdr:row>12</xdr:row>
      <xdr:rowOff>76200</xdr:rowOff>
    </xdr:to>
    <xdr:sp macro="" textlink="">
      <xdr:nvSpPr>
        <xdr:cNvPr id="838048" name="Line 234"/>
        <xdr:cNvSpPr>
          <a:spLocks noChangeShapeType="1"/>
        </xdr:cNvSpPr>
      </xdr:nvSpPr>
      <xdr:spPr bwMode="auto">
        <a:xfrm flipH="1" flipV="1">
          <a:off x="4783455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13</xdr:row>
      <xdr:rowOff>133350</xdr:rowOff>
    </xdr:from>
    <xdr:to>
      <xdr:col>92</xdr:col>
      <xdr:colOff>123825</xdr:colOff>
      <xdr:row>13</xdr:row>
      <xdr:rowOff>133350</xdr:rowOff>
    </xdr:to>
    <xdr:sp macro="" textlink="">
      <xdr:nvSpPr>
        <xdr:cNvPr id="838049" name="Line 235"/>
        <xdr:cNvSpPr>
          <a:spLocks noChangeShapeType="1"/>
        </xdr:cNvSpPr>
      </xdr:nvSpPr>
      <xdr:spPr bwMode="auto">
        <a:xfrm flipH="1">
          <a:off x="4783455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14</xdr:row>
      <xdr:rowOff>76200</xdr:rowOff>
    </xdr:from>
    <xdr:to>
      <xdr:col>92</xdr:col>
      <xdr:colOff>123825</xdr:colOff>
      <xdr:row>15</xdr:row>
      <xdr:rowOff>142875</xdr:rowOff>
    </xdr:to>
    <xdr:sp macro="" textlink="">
      <xdr:nvSpPr>
        <xdr:cNvPr id="838050" name="Line 236"/>
        <xdr:cNvSpPr>
          <a:spLocks noChangeShapeType="1"/>
        </xdr:cNvSpPr>
      </xdr:nvSpPr>
      <xdr:spPr bwMode="auto">
        <a:xfrm>
          <a:off x="4795837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14</xdr:row>
      <xdr:rowOff>76200</xdr:rowOff>
    </xdr:from>
    <xdr:to>
      <xdr:col>92</xdr:col>
      <xdr:colOff>123825</xdr:colOff>
      <xdr:row>14</xdr:row>
      <xdr:rowOff>76200</xdr:rowOff>
    </xdr:to>
    <xdr:sp macro="" textlink="">
      <xdr:nvSpPr>
        <xdr:cNvPr id="838051" name="Line 237"/>
        <xdr:cNvSpPr>
          <a:spLocks noChangeShapeType="1"/>
        </xdr:cNvSpPr>
      </xdr:nvSpPr>
      <xdr:spPr bwMode="auto">
        <a:xfrm flipH="1" flipV="1">
          <a:off x="4783455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15</xdr:row>
      <xdr:rowOff>133350</xdr:rowOff>
    </xdr:from>
    <xdr:to>
      <xdr:col>92</xdr:col>
      <xdr:colOff>123825</xdr:colOff>
      <xdr:row>15</xdr:row>
      <xdr:rowOff>133350</xdr:rowOff>
    </xdr:to>
    <xdr:sp macro="" textlink="">
      <xdr:nvSpPr>
        <xdr:cNvPr id="838052" name="Line 238"/>
        <xdr:cNvSpPr>
          <a:spLocks noChangeShapeType="1"/>
        </xdr:cNvSpPr>
      </xdr:nvSpPr>
      <xdr:spPr bwMode="auto">
        <a:xfrm flipH="1">
          <a:off x="4783455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123825</xdr:colOff>
      <xdr:row>10</xdr:row>
      <xdr:rowOff>76200</xdr:rowOff>
    </xdr:from>
    <xdr:to>
      <xdr:col>92</xdr:col>
      <xdr:colOff>123825</xdr:colOff>
      <xdr:row>11</xdr:row>
      <xdr:rowOff>142875</xdr:rowOff>
    </xdr:to>
    <xdr:sp macro="" textlink="">
      <xdr:nvSpPr>
        <xdr:cNvPr id="838053" name="Line 240"/>
        <xdr:cNvSpPr>
          <a:spLocks noChangeShapeType="1"/>
        </xdr:cNvSpPr>
      </xdr:nvSpPr>
      <xdr:spPr bwMode="auto">
        <a:xfrm>
          <a:off x="4795837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10</xdr:row>
      <xdr:rowOff>76200</xdr:rowOff>
    </xdr:from>
    <xdr:to>
      <xdr:col>92</xdr:col>
      <xdr:colOff>123825</xdr:colOff>
      <xdr:row>10</xdr:row>
      <xdr:rowOff>76200</xdr:rowOff>
    </xdr:to>
    <xdr:sp macro="" textlink="">
      <xdr:nvSpPr>
        <xdr:cNvPr id="838054" name="Line 241"/>
        <xdr:cNvSpPr>
          <a:spLocks noChangeShapeType="1"/>
        </xdr:cNvSpPr>
      </xdr:nvSpPr>
      <xdr:spPr bwMode="auto">
        <a:xfrm flipH="1" flipV="1">
          <a:off x="4783455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11</xdr:row>
      <xdr:rowOff>133350</xdr:rowOff>
    </xdr:from>
    <xdr:to>
      <xdr:col>92</xdr:col>
      <xdr:colOff>123825</xdr:colOff>
      <xdr:row>11</xdr:row>
      <xdr:rowOff>133350</xdr:rowOff>
    </xdr:to>
    <xdr:sp macro="" textlink="">
      <xdr:nvSpPr>
        <xdr:cNvPr id="838055" name="Line 242"/>
        <xdr:cNvSpPr>
          <a:spLocks noChangeShapeType="1"/>
        </xdr:cNvSpPr>
      </xdr:nvSpPr>
      <xdr:spPr bwMode="auto">
        <a:xfrm flipH="1">
          <a:off x="4783455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8056" name="Line 216"/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8057" name="Line 217"/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8058" name="Line 218"/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8059" name="Line 219"/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8060" name="Line 220"/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8061" name="Line 221"/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114300</xdr:colOff>
      <xdr:row>16</xdr:row>
      <xdr:rowOff>66675</xdr:rowOff>
    </xdr:from>
    <xdr:to>
      <xdr:col>104</xdr:col>
      <xdr:colOff>114300</xdr:colOff>
      <xdr:row>19</xdr:row>
      <xdr:rowOff>85725</xdr:rowOff>
    </xdr:to>
    <xdr:sp macro="" textlink="">
      <xdr:nvSpPr>
        <xdr:cNvPr id="838062" name="Line 224"/>
        <xdr:cNvSpPr>
          <a:spLocks noChangeShapeType="1"/>
        </xdr:cNvSpPr>
      </xdr:nvSpPr>
      <xdr:spPr bwMode="auto">
        <a:xfrm>
          <a:off x="544734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16</xdr:row>
      <xdr:rowOff>57150</xdr:rowOff>
    </xdr:from>
    <xdr:to>
      <xdr:col>104</xdr:col>
      <xdr:colOff>123825</xdr:colOff>
      <xdr:row>16</xdr:row>
      <xdr:rowOff>57150</xdr:rowOff>
    </xdr:to>
    <xdr:sp macro="" textlink="">
      <xdr:nvSpPr>
        <xdr:cNvPr id="838063" name="Line 225"/>
        <xdr:cNvSpPr>
          <a:spLocks noChangeShapeType="1"/>
        </xdr:cNvSpPr>
      </xdr:nvSpPr>
      <xdr:spPr bwMode="auto">
        <a:xfrm flipH="1">
          <a:off x="543591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9525</xdr:colOff>
      <xdr:row>19</xdr:row>
      <xdr:rowOff>95250</xdr:rowOff>
    </xdr:from>
    <xdr:to>
      <xdr:col>104</xdr:col>
      <xdr:colOff>114300</xdr:colOff>
      <xdr:row>19</xdr:row>
      <xdr:rowOff>95250</xdr:rowOff>
    </xdr:to>
    <xdr:sp macro="" textlink="">
      <xdr:nvSpPr>
        <xdr:cNvPr id="838064" name="Line 226"/>
        <xdr:cNvSpPr>
          <a:spLocks noChangeShapeType="1"/>
        </xdr:cNvSpPr>
      </xdr:nvSpPr>
      <xdr:spPr bwMode="auto">
        <a:xfrm flipH="1">
          <a:off x="543687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6</xdr:row>
      <xdr:rowOff>76200</xdr:rowOff>
    </xdr:from>
    <xdr:to>
      <xdr:col>104</xdr:col>
      <xdr:colOff>123825</xdr:colOff>
      <xdr:row>7</xdr:row>
      <xdr:rowOff>142875</xdr:rowOff>
    </xdr:to>
    <xdr:sp macro="" textlink="">
      <xdr:nvSpPr>
        <xdr:cNvPr id="838065" name="Line 227"/>
        <xdr:cNvSpPr>
          <a:spLocks noChangeShapeType="1"/>
        </xdr:cNvSpPr>
      </xdr:nvSpPr>
      <xdr:spPr bwMode="auto">
        <a:xfrm>
          <a:off x="544830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76200</xdr:rowOff>
    </xdr:from>
    <xdr:to>
      <xdr:col>104</xdr:col>
      <xdr:colOff>123825</xdr:colOff>
      <xdr:row>6</xdr:row>
      <xdr:rowOff>76200</xdr:rowOff>
    </xdr:to>
    <xdr:sp macro="" textlink="">
      <xdr:nvSpPr>
        <xdr:cNvPr id="838066" name="Line 228"/>
        <xdr:cNvSpPr>
          <a:spLocks noChangeShapeType="1"/>
        </xdr:cNvSpPr>
      </xdr:nvSpPr>
      <xdr:spPr bwMode="auto">
        <a:xfrm flipH="1" flipV="1">
          <a:off x="543591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7</xdr:row>
      <xdr:rowOff>133350</xdr:rowOff>
    </xdr:from>
    <xdr:to>
      <xdr:col>104</xdr:col>
      <xdr:colOff>123825</xdr:colOff>
      <xdr:row>7</xdr:row>
      <xdr:rowOff>133350</xdr:rowOff>
    </xdr:to>
    <xdr:sp macro="" textlink="">
      <xdr:nvSpPr>
        <xdr:cNvPr id="838067" name="Line 229"/>
        <xdr:cNvSpPr>
          <a:spLocks noChangeShapeType="1"/>
        </xdr:cNvSpPr>
      </xdr:nvSpPr>
      <xdr:spPr bwMode="auto">
        <a:xfrm flipH="1">
          <a:off x="543591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8</xdr:row>
      <xdr:rowOff>76200</xdr:rowOff>
    </xdr:from>
    <xdr:to>
      <xdr:col>104</xdr:col>
      <xdr:colOff>123825</xdr:colOff>
      <xdr:row>9</xdr:row>
      <xdr:rowOff>142875</xdr:rowOff>
    </xdr:to>
    <xdr:sp macro="" textlink="">
      <xdr:nvSpPr>
        <xdr:cNvPr id="838068" name="Line 230"/>
        <xdr:cNvSpPr>
          <a:spLocks noChangeShapeType="1"/>
        </xdr:cNvSpPr>
      </xdr:nvSpPr>
      <xdr:spPr bwMode="auto">
        <a:xfrm>
          <a:off x="544830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8</xdr:row>
      <xdr:rowOff>76200</xdr:rowOff>
    </xdr:from>
    <xdr:to>
      <xdr:col>104</xdr:col>
      <xdr:colOff>123825</xdr:colOff>
      <xdr:row>8</xdr:row>
      <xdr:rowOff>76200</xdr:rowOff>
    </xdr:to>
    <xdr:sp macro="" textlink="">
      <xdr:nvSpPr>
        <xdr:cNvPr id="838069" name="Line 231"/>
        <xdr:cNvSpPr>
          <a:spLocks noChangeShapeType="1"/>
        </xdr:cNvSpPr>
      </xdr:nvSpPr>
      <xdr:spPr bwMode="auto">
        <a:xfrm flipH="1" flipV="1">
          <a:off x="543591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9</xdr:row>
      <xdr:rowOff>133350</xdr:rowOff>
    </xdr:from>
    <xdr:to>
      <xdr:col>104</xdr:col>
      <xdr:colOff>123825</xdr:colOff>
      <xdr:row>9</xdr:row>
      <xdr:rowOff>133350</xdr:rowOff>
    </xdr:to>
    <xdr:sp macro="" textlink="">
      <xdr:nvSpPr>
        <xdr:cNvPr id="838070" name="Line 232"/>
        <xdr:cNvSpPr>
          <a:spLocks noChangeShapeType="1"/>
        </xdr:cNvSpPr>
      </xdr:nvSpPr>
      <xdr:spPr bwMode="auto">
        <a:xfrm flipH="1">
          <a:off x="543591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12</xdr:row>
      <xdr:rowOff>76200</xdr:rowOff>
    </xdr:from>
    <xdr:to>
      <xdr:col>104</xdr:col>
      <xdr:colOff>123825</xdr:colOff>
      <xdr:row>13</xdr:row>
      <xdr:rowOff>142875</xdr:rowOff>
    </xdr:to>
    <xdr:sp macro="" textlink="">
      <xdr:nvSpPr>
        <xdr:cNvPr id="838071" name="Line 233"/>
        <xdr:cNvSpPr>
          <a:spLocks noChangeShapeType="1"/>
        </xdr:cNvSpPr>
      </xdr:nvSpPr>
      <xdr:spPr bwMode="auto">
        <a:xfrm>
          <a:off x="544830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12</xdr:row>
      <xdr:rowOff>76200</xdr:rowOff>
    </xdr:from>
    <xdr:to>
      <xdr:col>104</xdr:col>
      <xdr:colOff>123825</xdr:colOff>
      <xdr:row>12</xdr:row>
      <xdr:rowOff>76200</xdr:rowOff>
    </xdr:to>
    <xdr:sp macro="" textlink="">
      <xdr:nvSpPr>
        <xdr:cNvPr id="838072" name="Line 234"/>
        <xdr:cNvSpPr>
          <a:spLocks noChangeShapeType="1"/>
        </xdr:cNvSpPr>
      </xdr:nvSpPr>
      <xdr:spPr bwMode="auto">
        <a:xfrm flipH="1" flipV="1">
          <a:off x="543591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13</xdr:row>
      <xdr:rowOff>133350</xdr:rowOff>
    </xdr:from>
    <xdr:to>
      <xdr:col>104</xdr:col>
      <xdr:colOff>123825</xdr:colOff>
      <xdr:row>13</xdr:row>
      <xdr:rowOff>133350</xdr:rowOff>
    </xdr:to>
    <xdr:sp macro="" textlink="">
      <xdr:nvSpPr>
        <xdr:cNvPr id="838073" name="Line 235"/>
        <xdr:cNvSpPr>
          <a:spLocks noChangeShapeType="1"/>
        </xdr:cNvSpPr>
      </xdr:nvSpPr>
      <xdr:spPr bwMode="auto">
        <a:xfrm flipH="1">
          <a:off x="543591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14</xdr:row>
      <xdr:rowOff>76200</xdr:rowOff>
    </xdr:from>
    <xdr:to>
      <xdr:col>104</xdr:col>
      <xdr:colOff>123825</xdr:colOff>
      <xdr:row>15</xdr:row>
      <xdr:rowOff>142875</xdr:rowOff>
    </xdr:to>
    <xdr:sp macro="" textlink="">
      <xdr:nvSpPr>
        <xdr:cNvPr id="838074" name="Line 236"/>
        <xdr:cNvSpPr>
          <a:spLocks noChangeShapeType="1"/>
        </xdr:cNvSpPr>
      </xdr:nvSpPr>
      <xdr:spPr bwMode="auto">
        <a:xfrm>
          <a:off x="544830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14</xdr:row>
      <xdr:rowOff>76200</xdr:rowOff>
    </xdr:from>
    <xdr:to>
      <xdr:col>104</xdr:col>
      <xdr:colOff>123825</xdr:colOff>
      <xdr:row>14</xdr:row>
      <xdr:rowOff>76200</xdr:rowOff>
    </xdr:to>
    <xdr:sp macro="" textlink="">
      <xdr:nvSpPr>
        <xdr:cNvPr id="838075" name="Line 237"/>
        <xdr:cNvSpPr>
          <a:spLocks noChangeShapeType="1"/>
        </xdr:cNvSpPr>
      </xdr:nvSpPr>
      <xdr:spPr bwMode="auto">
        <a:xfrm flipH="1" flipV="1">
          <a:off x="543591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15</xdr:row>
      <xdr:rowOff>133350</xdr:rowOff>
    </xdr:from>
    <xdr:to>
      <xdr:col>104</xdr:col>
      <xdr:colOff>123825</xdr:colOff>
      <xdr:row>15</xdr:row>
      <xdr:rowOff>133350</xdr:rowOff>
    </xdr:to>
    <xdr:sp macro="" textlink="">
      <xdr:nvSpPr>
        <xdr:cNvPr id="838076" name="Line 238"/>
        <xdr:cNvSpPr>
          <a:spLocks noChangeShapeType="1"/>
        </xdr:cNvSpPr>
      </xdr:nvSpPr>
      <xdr:spPr bwMode="auto">
        <a:xfrm flipH="1">
          <a:off x="543591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123825</xdr:colOff>
      <xdr:row>10</xdr:row>
      <xdr:rowOff>76200</xdr:rowOff>
    </xdr:from>
    <xdr:to>
      <xdr:col>104</xdr:col>
      <xdr:colOff>123825</xdr:colOff>
      <xdr:row>11</xdr:row>
      <xdr:rowOff>142875</xdr:rowOff>
    </xdr:to>
    <xdr:sp macro="" textlink="">
      <xdr:nvSpPr>
        <xdr:cNvPr id="838077" name="Line 240"/>
        <xdr:cNvSpPr>
          <a:spLocks noChangeShapeType="1"/>
        </xdr:cNvSpPr>
      </xdr:nvSpPr>
      <xdr:spPr bwMode="auto">
        <a:xfrm>
          <a:off x="544830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10</xdr:row>
      <xdr:rowOff>76200</xdr:rowOff>
    </xdr:from>
    <xdr:to>
      <xdr:col>104</xdr:col>
      <xdr:colOff>123825</xdr:colOff>
      <xdr:row>10</xdr:row>
      <xdr:rowOff>76200</xdr:rowOff>
    </xdr:to>
    <xdr:sp macro="" textlink="">
      <xdr:nvSpPr>
        <xdr:cNvPr id="838078" name="Line 241"/>
        <xdr:cNvSpPr>
          <a:spLocks noChangeShapeType="1"/>
        </xdr:cNvSpPr>
      </xdr:nvSpPr>
      <xdr:spPr bwMode="auto">
        <a:xfrm flipH="1" flipV="1">
          <a:off x="543591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11</xdr:row>
      <xdr:rowOff>133350</xdr:rowOff>
    </xdr:from>
    <xdr:to>
      <xdr:col>104</xdr:col>
      <xdr:colOff>123825</xdr:colOff>
      <xdr:row>11</xdr:row>
      <xdr:rowOff>133350</xdr:rowOff>
    </xdr:to>
    <xdr:sp macro="" textlink="">
      <xdr:nvSpPr>
        <xdr:cNvPr id="838079" name="Line 242"/>
        <xdr:cNvSpPr>
          <a:spLocks noChangeShapeType="1"/>
        </xdr:cNvSpPr>
      </xdr:nvSpPr>
      <xdr:spPr bwMode="auto">
        <a:xfrm flipH="1">
          <a:off x="543591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8080" name="Line 216"/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8081" name="Line 217"/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8082" name="Line 218"/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8083" name="Line 219"/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8084" name="Line 220"/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8085" name="Line 221"/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114300</xdr:colOff>
      <xdr:row>16</xdr:row>
      <xdr:rowOff>66675</xdr:rowOff>
    </xdr:from>
    <xdr:to>
      <xdr:col>110</xdr:col>
      <xdr:colOff>114300</xdr:colOff>
      <xdr:row>19</xdr:row>
      <xdr:rowOff>85725</xdr:rowOff>
    </xdr:to>
    <xdr:sp macro="" textlink="">
      <xdr:nvSpPr>
        <xdr:cNvPr id="838086" name="Line 224"/>
        <xdr:cNvSpPr>
          <a:spLocks noChangeShapeType="1"/>
        </xdr:cNvSpPr>
      </xdr:nvSpPr>
      <xdr:spPr bwMode="auto">
        <a:xfrm>
          <a:off x="578643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16</xdr:row>
      <xdr:rowOff>57150</xdr:rowOff>
    </xdr:from>
    <xdr:to>
      <xdr:col>110</xdr:col>
      <xdr:colOff>123825</xdr:colOff>
      <xdr:row>16</xdr:row>
      <xdr:rowOff>57150</xdr:rowOff>
    </xdr:to>
    <xdr:sp macro="" textlink="">
      <xdr:nvSpPr>
        <xdr:cNvPr id="838087" name="Line 225"/>
        <xdr:cNvSpPr>
          <a:spLocks noChangeShapeType="1"/>
        </xdr:cNvSpPr>
      </xdr:nvSpPr>
      <xdr:spPr bwMode="auto">
        <a:xfrm flipH="1">
          <a:off x="577500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9525</xdr:colOff>
      <xdr:row>19</xdr:row>
      <xdr:rowOff>95250</xdr:rowOff>
    </xdr:from>
    <xdr:to>
      <xdr:col>110</xdr:col>
      <xdr:colOff>114300</xdr:colOff>
      <xdr:row>19</xdr:row>
      <xdr:rowOff>95250</xdr:rowOff>
    </xdr:to>
    <xdr:sp macro="" textlink="">
      <xdr:nvSpPr>
        <xdr:cNvPr id="838088" name="Line 226"/>
        <xdr:cNvSpPr>
          <a:spLocks noChangeShapeType="1"/>
        </xdr:cNvSpPr>
      </xdr:nvSpPr>
      <xdr:spPr bwMode="auto">
        <a:xfrm flipH="1">
          <a:off x="577596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6</xdr:row>
      <xdr:rowOff>76200</xdr:rowOff>
    </xdr:from>
    <xdr:to>
      <xdr:col>110</xdr:col>
      <xdr:colOff>123825</xdr:colOff>
      <xdr:row>7</xdr:row>
      <xdr:rowOff>142875</xdr:rowOff>
    </xdr:to>
    <xdr:sp macro="" textlink="">
      <xdr:nvSpPr>
        <xdr:cNvPr id="838089" name="Line 227"/>
        <xdr:cNvSpPr>
          <a:spLocks noChangeShapeType="1"/>
        </xdr:cNvSpPr>
      </xdr:nvSpPr>
      <xdr:spPr bwMode="auto">
        <a:xfrm>
          <a:off x="578739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76200</xdr:rowOff>
    </xdr:from>
    <xdr:to>
      <xdr:col>110</xdr:col>
      <xdr:colOff>123825</xdr:colOff>
      <xdr:row>6</xdr:row>
      <xdr:rowOff>76200</xdr:rowOff>
    </xdr:to>
    <xdr:sp macro="" textlink="">
      <xdr:nvSpPr>
        <xdr:cNvPr id="838090" name="Line 228"/>
        <xdr:cNvSpPr>
          <a:spLocks noChangeShapeType="1"/>
        </xdr:cNvSpPr>
      </xdr:nvSpPr>
      <xdr:spPr bwMode="auto">
        <a:xfrm flipH="1" flipV="1">
          <a:off x="577500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7</xdr:row>
      <xdr:rowOff>133350</xdr:rowOff>
    </xdr:from>
    <xdr:to>
      <xdr:col>110</xdr:col>
      <xdr:colOff>123825</xdr:colOff>
      <xdr:row>7</xdr:row>
      <xdr:rowOff>133350</xdr:rowOff>
    </xdr:to>
    <xdr:sp macro="" textlink="">
      <xdr:nvSpPr>
        <xdr:cNvPr id="838091" name="Line 229"/>
        <xdr:cNvSpPr>
          <a:spLocks noChangeShapeType="1"/>
        </xdr:cNvSpPr>
      </xdr:nvSpPr>
      <xdr:spPr bwMode="auto">
        <a:xfrm flipH="1">
          <a:off x="577500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8</xdr:row>
      <xdr:rowOff>76200</xdr:rowOff>
    </xdr:from>
    <xdr:to>
      <xdr:col>110</xdr:col>
      <xdr:colOff>123825</xdr:colOff>
      <xdr:row>9</xdr:row>
      <xdr:rowOff>142875</xdr:rowOff>
    </xdr:to>
    <xdr:sp macro="" textlink="">
      <xdr:nvSpPr>
        <xdr:cNvPr id="838092" name="Line 230"/>
        <xdr:cNvSpPr>
          <a:spLocks noChangeShapeType="1"/>
        </xdr:cNvSpPr>
      </xdr:nvSpPr>
      <xdr:spPr bwMode="auto">
        <a:xfrm>
          <a:off x="578739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8</xdr:row>
      <xdr:rowOff>76200</xdr:rowOff>
    </xdr:from>
    <xdr:to>
      <xdr:col>110</xdr:col>
      <xdr:colOff>123825</xdr:colOff>
      <xdr:row>8</xdr:row>
      <xdr:rowOff>76200</xdr:rowOff>
    </xdr:to>
    <xdr:sp macro="" textlink="">
      <xdr:nvSpPr>
        <xdr:cNvPr id="838093" name="Line 231"/>
        <xdr:cNvSpPr>
          <a:spLocks noChangeShapeType="1"/>
        </xdr:cNvSpPr>
      </xdr:nvSpPr>
      <xdr:spPr bwMode="auto">
        <a:xfrm flipH="1" flipV="1">
          <a:off x="577500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9</xdr:row>
      <xdr:rowOff>133350</xdr:rowOff>
    </xdr:from>
    <xdr:to>
      <xdr:col>110</xdr:col>
      <xdr:colOff>123825</xdr:colOff>
      <xdr:row>9</xdr:row>
      <xdr:rowOff>133350</xdr:rowOff>
    </xdr:to>
    <xdr:sp macro="" textlink="">
      <xdr:nvSpPr>
        <xdr:cNvPr id="838094" name="Line 232"/>
        <xdr:cNvSpPr>
          <a:spLocks noChangeShapeType="1"/>
        </xdr:cNvSpPr>
      </xdr:nvSpPr>
      <xdr:spPr bwMode="auto">
        <a:xfrm flipH="1">
          <a:off x="577500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12</xdr:row>
      <xdr:rowOff>76200</xdr:rowOff>
    </xdr:from>
    <xdr:to>
      <xdr:col>110</xdr:col>
      <xdr:colOff>123825</xdr:colOff>
      <xdr:row>13</xdr:row>
      <xdr:rowOff>142875</xdr:rowOff>
    </xdr:to>
    <xdr:sp macro="" textlink="">
      <xdr:nvSpPr>
        <xdr:cNvPr id="838095" name="Line 233"/>
        <xdr:cNvSpPr>
          <a:spLocks noChangeShapeType="1"/>
        </xdr:cNvSpPr>
      </xdr:nvSpPr>
      <xdr:spPr bwMode="auto">
        <a:xfrm>
          <a:off x="578739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12</xdr:row>
      <xdr:rowOff>76200</xdr:rowOff>
    </xdr:from>
    <xdr:to>
      <xdr:col>110</xdr:col>
      <xdr:colOff>123825</xdr:colOff>
      <xdr:row>12</xdr:row>
      <xdr:rowOff>76200</xdr:rowOff>
    </xdr:to>
    <xdr:sp macro="" textlink="">
      <xdr:nvSpPr>
        <xdr:cNvPr id="838096" name="Line 234"/>
        <xdr:cNvSpPr>
          <a:spLocks noChangeShapeType="1"/>
        </xdr:cNvSpPr>
      </xdr:nvSpPr>
      <xdr:spPr bwMode="auto">
        <a:xfrm flipH="1" flipV="1">
          <a:off x="577500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13</xdr:row>
      <xdr:rowOff>133350</xdr:rowOff>
    </xdr:from>
    <xdr:to>
      <xdr:col>110</xdr:col>
      <xdr:colOff>123825</xdr:colOff>
      <xdr:row>13</xdr:row>
      <xdr:rowOff>133350</xdr:rowOff>
    </xdr:to>
    <xdr:sp macro="" textlink="">
      <xdr:nvSpPr>
        <xdr:cNvPr id="838097" name="Line 235"/>
        <xdr:cNvSpPr>
          <a:spLocks noChangeShapeType="1"/>
        </xdr:cNvSpPr>
      </xdr:nvSpPr>
      <xdr:spPr bwMode="auto">
        <a:xfrm flipH="1">
          <a:off x="577500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14</xdr:row>
      <xdr:rowOff>76200</xdr:rowOff>
    </xdr:from>
    <xdr:to>
      <xdr:col>110</xdr:col>
      <xdr:colOff>123825</xdr:colOff>
      <xdr:row>15</xdr:row>
      <xdr:rowOff>142875</xdr:rowOff>
    </xdr:to>
    <xdr:sp macro="" textlink="">
      <xdr:nvSpPr>
        <xdr:cNvPr id="838098" name="Line 236"/>
        <xdr:cNvSpPr>
          <a:spLocks noChangeShapeType="1"/>
        </xdr:cNvSpPr>
      </xdr:nvSpPr>
      <xdr:spPr bwMode="auto">
        <a:xfrm>
          <a:off x="578739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14</xdr:row>
      <xdr:rowOff>76200</xdr:rowOff>
    </xdr:from>
    <xdr:to>
      <xdr:col>110</xdr:col>
      <xdr:colOff>123825</xdr:colOff>
      <xdr:row>14</xdr:row>
      <xdr:rowOff>76200</xdr:rowOff>
    </xdr:to>
    <xdr:sp macro="" textlink="">
      <xdr:nvSpPr>
        <xdr:cNvPr id="838099" name="Line 237"/>
        <xdr:cNvSpPr>
          <a:spLocks noChangeShapeType="1"/>
        </xdr:cNvSpPr>
      </xdr:nvSpPr>
      <xdr:spPr bwMode="auto">
        <a:xfrm flipH="1" flipV="1">
          <a:off x="577500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15</xdr:row>
      <xdr:rowOff>133350</xdr:rowOff>
    </xdr:from>
    <xdr:to>
      <xdr:col>110</xdr:col>
      <xdr:colOff>123825</xdr:colOff>
      <xdr:row>15</xdr:row>
      <xdr:rowOff>133350</xdr:rowOff>
    </xdr:to>
    <xdr:sp macro="" textlink="">
      <xdr:nvSpPr>
        <xdr:cNvPr id="838100" name="Line 238"/>
        <xdr:cNvSpPr>
          <a:spLocks noChangeShapeType="1"/>
        </xdr:cNvSpPr>
      </xdr:nvSpPr>
      <xdr:spPr bwMode="auto">
        <a:xfrm flipH="1">
          <a:off x="577500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123825</xdr:colOff>
      <xdr:row>10</xdr:row>
      <xdr:rowOff>76200</xdr:rowOff>
    </xdr:from>
    <xdr:to>
      <xdr:col>110</xdr:col>
      <xdr:colOff>123825</xdr:colOff>
      <xdr:row>11</xdr:row>
      <xdr:rowOff>142875</xdr:rowOff>
    </xdr:to>
    <xdr:sp macro="" textlink="">
      <xdr:nvSpPr>
        <xdr:cNvPr id="838101" name="Line 240"/>
        <xdr:cNvSpPr>
          <a:spLocks noChangeShapeType="1"/>
        </xdr:cNvSpPr>
      </xdr:nvSpPr>
      <xdr:spPr bwMode="auto">
        <a:xfrm>
          <a:off x="578739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10</xdr:row>
      <xdr:rowOff>76200</xdr:rowOff>
    </xdr:from>
    <xdr:to>
      <xdr:col>110</xdr:col>
      <xdr:colOff>123825</xdr:colOff>
      <xdr:row>10</xdr:row>
      <xdr:rowOff>76200</xdr:rowOff>
    </xdr:to>
    <xdr:sp macro="" textlink="">
      <xdr:nvSpPr>
        <xdr:cNvPr id="838102" name="Line 241"/>
        <xdr:cNvSpPr>
          <a:spLocks noChangeShapeType="1"/>
        </xdr:cNvSpPr>
      </xdr:nvSpPr>
      <xdr:spPr bwMode="auto">
        <a:xfrm flipH="1" flipV="1">
          <a:off x="577500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11</xdr:row>
      <xdr:rowOff>133350</xdr:rowOff>
    </xdr:from>
    <xdr:to>
      <xdr:col>110</xdr:col>
      <xdr:colOff>123825</xdr:colOff>
      <xdr:row>11</xdr:row>
      <xdr:rowOff>133350</xdr:rowOff>
    </xdr:to>
    <xdr:sp macro="" textlink="">
      <xdr:nvSpPr>
        <xdr:cNvPr id="838103" name="Line 242"/>
        <xdr:cNvSpPr>
          <a:spLocks noChangeShapeType="1"/>
        </xdr:cNvSpPr>
      </xdr:nvSpPr>
      <xdr:spPr bwMode="auto">
        <a:xfrm flipH="1">
          <a:off x="577500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8104" name="Line 216"/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8105" name="Line 217"/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8106" name="Line 218"/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8107" name="Line 219"/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8108" name="Line 220"/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8109" name="Line 221"/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114300</xdr:colOff>
      <xdr:row>16</xdr:row>
      <xdr:rowOff>66675</xdr:rowOff>
    </xdr:from>
    <xdr:to>
      <xdr:col>116</xdr:col>
      <xdr:colOff>114300</xdr:colOff>
      <xdr:row>19</xdr:row>
      <xdr:rowOff>85725</xdr:rowOff>
    </xdr:to>
    <xdr:sp macro="" textlink="">
      <xdr:nvSpPr>
        <xdr:cNvPr id="838110" name="Line 224"/>
        <xdr:cNvSpPr>
          <a:spLocks noChangeShapeType="1"/>
        </xdr:cNvSpPr>
      </xdr:nvSpPr>
      <xdr:spPr bwMode="auto">
        <a:xfrm>
          <a:off x="612552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16</xdr:row>
      <xdr:rowOff>57150</xdr:rowOff>
    </xdr:from>
    <xdr:to>
      <xdr:col>116</xdr:col>
      <xdr:colOff>123825</xdr:colOff>
      <xdr:row>16</xdr:row>
      <xdr:rowOff>57150</xdr:rowOff>
    </xdr:to>
    <xdr:sp macro="" textlink="">
      <xdr:nvSpPr>
        <xdr:cNvPr id="838111" name="Line 225"/>
        <xdr:cNvSpPr>
          <a:spLocks noChangeShapeType="1"/>
        </xdr:cNvSpPr>
      </xdr:nvSpPr>
      <xdr:spPr bwMode="auto">
        <a:xfrm flipH="1">
          <a:off x="611409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9525</xdr:colOff>
      <xdr:row>19</xdr:row>
      <xdr:rowOff>95250</xdr:rowOff>
    </xdr:from>
    <xdr:to>
      <xdr:col>116</xdr:col>
      <xdr:colOff>114300</xdr:colOff>
      <xdr:row>19</xdr:row>
      <xdr:rowOff>95250</xdr:rowOff>
    </xdr:to>
    <xdr:sp macro="" textlink="">
      <xdr:nvSpPr>
        <xdr:cNvPr id="838112" name="Line 226"/>
        <xdr:cNvSpPr>
          <a:spLocks noChangeShapeType="1"/>
        </xdr:cNvSpPr>
      </xdr:nvSpPr>
      <xdr:spPr bwMode="auto">
        <a:xfrm flipH="1">
          <a:off x="611505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6</xdr:row>
      <xdr:rowOff>76200</xdr:rowOff>
    </xdr:from>
    <xdr:to>
      <xdr:col>116</xdr:col>
      <xdr:colOff>123825</xdr:colOff>
      <xdr:row>7</xdr:row>
      <xdr:rowOff>142875</xdr:rowOff>
    </xdr:to>
    <xdr:sp macro="" textlink="">
      <xdr:nvSpPr>
        <xdr:cNvPr id="838113" name="Line 227"/>
        <xdr:cNvSpPr>
          <a:spLocks noChangeShapeType="1"/>
        </xdr:cNvSpPr>
      </xdr:nvSpPr>
      <xdr:spPr bwMode="auto">
        <a:xfrm>
          <a:off x="612648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6</xdr:row>
      <xdr:rowOff>76200</xdr:rowOff>
    </xdr:from>
    <xdr:to>
      <xdr:col>116</xdr:col>
      <xdr:colOff>123825</xdr:colOff>
      <xdr:row>6</xdr:row>
      <xdr:rowOff>76200</xdr:rowOff>
    </xdr:to>
    <xdr:sp macro="" textlink="">
      <xdr:nvSpPr>
        <xdr:cNvPr id="838114" name="Line 228"/>
        <xdr:cNvSpPr>
          <a:spLocks noChangeShapeType="1"/>
        </xdr:cNvSpPr>
      </xdr:nvSpPr>
      <xdr:spPr bwMode="auto">
        <a:xfrm flipH="1" flipV="1">
          <a:off x="611409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7</xdr:row>
      <xdr:rowOff>133350</xdr:rowOff>
    </xdr:from>
    <xdr:to>
      <xdr:col>116</xdr:col>
      <xdr:colOff>123825</xdr:colOff>
      <xdr:row>7</xdr:row>
      <xdr:rowOff>133350</xdr:rowOff>
    </xdr:to>
    <xdr:sp macro="" textlink="">
      <xdr:nvSpPr>
        <xdr:cNvPr id="838115" name="Line 229"/>
        <xdr:cNvSpPr>
          <a:spLocks noChangeShapeType="1"/>
        </xdr:cNvSpPr>
      </xdr:nvSpPr>
      <xdr:spPr bwMode="auto">
        <a:xfrm flipH="1">
          <a:off x="611409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8</xdr:row>
      <xdr:rowOff>76200</xdr:rowOff>
    </xdr:from>
    <xdr:to>
      <xdr:col>116</xdr:col>
      <xdr:colOff>123825</xdr:colOff>
      <xdr:row>9</xdr:row>
      <xdr:rowOff>142875</xdr:rowOff>
    </xdr:to>
    <xdr:sp macro="" textlink="">
      <xdr:nvSpPr>
        <xdr:cNvPr id="838116" name="Line 230"/>
        <xdr:cNvSpPr>
          <a:spLocks noChangeShapeType="1"/>
        </xdr:cNvSpPr>
      </xdr:nvSpPr>
      <xdr:spPr bwMode="auto">
        <a:xfrm>
          <a:off x="612648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8</xdr:row>
      <xdr:rowOff>76200</xdr:rowOff>
    </xdr:from>
    <xdr:to>
      <xdr:col>116</xdr:col>
      <xdr:colOff>123825</xdr:colOff>
      <xdr:row>8</xdr:row>
      <xdr:rowOff>76200</xdr:rowOff>
    </xdr:to>
    <xdr:sp macro="" textlink="">
      <xdr:nvSpPr>
        <xdr:cNvPr id="838117" name="Line 231"/>
        <xdr:cNvSpPr>
          <a:spLocks noChangeShapeType="1"/>
        </xdr:cNvSpPr>
      </xdr:nvSpPr>
      <xdr:spPr bwMode="auto">
        <a:xfrm flipH="1" flipV="1">
          <a:off x="611409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9</xdr:row>
      <xdr:rowOff>133350</xdr:rowOff>
    </xdr:from>
    <xdr:to>
      <xdr:col>116</xdr:col>
      <xdr:colOff>123825</xdr:colOff>
      <xdr:row>9</xdr:row>
      <xdr:rowOff>133350</xdr:rowOff>
    </xdr:to>
    <xdr:sp macro="" textlink="">
      <xdr:nvSpPr>
        <xdr:cNvPr id="838118" name="Line 232"/>
        <xdr:cNvSpPr>
          <a:spLocks noChangeShapeType="1"/>
        </xdr:cNvSpPr>
      </xdr:nvSpPr>
      <xdr:spPr bwMode="auto">
        <a:xfrm flipH="1">
          <a:off x="611409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12</xdr:row>
      <xdr:rowOff>76200</xdr:rowOff>
    </xdr:from>
    <xdr:to>
      <xdr:col>116</xdr:col>
      <xdr:colOff>123825</xdr:colOff>
      <xdr:row>13</xdr:row>
      <xdr:rowOff>142875</xdr:rowOff>
    </xdr:to>
    <xdr:sp macro="" textlink="">
      <xdr:nvSpPr>
        <xdr:cNvPr id="838119" name="Line 233"/>
        <xdr:cNvSpPr>
          <a:spLocks noChangeShapeType="1"/>
        </xdr:cNvSpPr>
      </xdr:nvSpPr>
      <xdr:spPr bwMode="auto">
        <a:xfrm>
          <a:off x="612648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12</xdr:row>
      <xdr:rowOff>76200</xdr:rowOff>
    </xdr:from>
    <xdr:to>
      <xdr:col>116</xdr:col>
      <xdr:colOff>123825</xdr:colOff>
      <xdr:row>12</xdr:row>
      <xdr:rowOff>76200</xdr:rowOff>
    </xdr:to>
    <xdr:sp macro="" textlink="">
      <xdr:nvSpPr>
        <xdr:cNvPr id="838120" name="Line 234"/>
        <xdr:cNvSpPr>
          <a:spLocks noChangeShapeType="1"/>
        </xdr:cNvSpPr>
      </xdr:nvSpPr>
      <xdr:spPr bwMode="auto">
        <a:xfrm flipH="1" flipV="1">
          <a:off x="611409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13</xdr:row>
      <xdr:rowOff>133350</xdr:rowOff>
    </xdr:from>
    <xdr:to>
      <xdr:col>116</xdr:col>
      <xdr:colOff>123825</xdr:colOff>
      <xdr:row>13</xdr:row>
      <xdr:rowOff>133350</xdr:rowOff>
    </xdr:to>
    <xdr:sp macro="" textlink="">
      <xdr:nvSpPr>
        <xdr:cNvPr id="838121" name="Line 235"/>
        <xdr:cNvSpPr>
          <a:spLocks noChangeShapeType="1"/>
        </xdr:cNvSpPr>
      </xdr:nvSpPr>
      <xdr:spPr bwMode="auto">
        <a:xfrm flipH="1">
          <a:off x="611409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14</xdr:row>
      <xdr:rowOff>76200</xdr:rowOff>
    </xdr:from>
    <xdr:to>
      <xdr:col>116</xdr:col>
      <xdr:colOff>123825</xdr:colOff>
      <xdr:row>15</xdr:row>
      <xdr:rowOff>142875</xdr:rowOff>
    </xdr:to>
    <xdr:sp macro="" textlink="">
      <xdr:nvSpPr>
        <xdr:cNvPr id="838122" name="Line 236"/>
        <xdr:cNvSpPr>
          <a:spLocks noChangeShapeType="1"/>
        </xdr:cNvSpPr>
      </xdr:nvSpPr>
      <xdr:spPr bwMode="auto">
        <a:xfrm>
          <a:off x="612648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14</xdr:row>
      <xdr:rowOff>76200</xdr:rowOff>
    </xdr:from>
    <xdr:to>
      <xdr:col>116</xdr:col>
      <xdr:colOff>123825</xdr:colOff>
      <xdr:row>14</xdr:row>
      <xdr:rowOff>76200</xdr:rowOff>
    </xdr:to>
    <xdr:sp macro="" textlink="">
      <xdr:nvSpPr>
        <xdr:cNvPr id="838123" name="Line 237"/>
        <xdr:cNvSpPr>
          <a:spLocks noChangeShapeType="1"/>
        </xdr:cNvSpPr>
      </xdr:nvSpPr>
      <xdr:spPr bwMode="auto">
        <a:xfrm flipH="1" flipV="1">
          <a:off x="611409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15</xdr:row>
      <xdr:rowOff>133350</xdr:rowOff>
    </xdr:from>
    <xdr:to>
      <xdr:col>116</xdr:col>
      <xdr:colOff>123825</xdr:colOff>
      <xdr:row>15</xdr:row>
      <xdr:rowOff>133350</xdr:rowOff>
    </xdr:to>
    <xdr:sp macro="" textlink="">
      <xdr:nvSpPr>
        <xdr:cNvPr id="838124" name="Line 238"/>
        <xdr:cNvSpPr>
          <a:spLocks noChangeShapeType="1"/>
        </xdr:cNvSpPr>
      </xdr:nvSpPr>
      <xdr:spPr bwMode="auto">
        <a:xfrm flipH="1">
          <a:off x="611409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123825</xdr:colOff>
      <xdr:row>10</xdr:row>
      <xdr:rowOff>76200</xdr:rowOff>
    </xdr:from>
    <xdr:to>
      <xdr:col>116</xdr:col>
      <xdr:colOff>123825</xdr:colOff>
      <xdr:row>11</xdr:row>
      <xdr:rowOff>142875</xdr:rowOff>
    </xdr:to>
    <xdr:sp macro="" textlink="">
      <xdr:nvSpPr>
        <xdr:cNvPr id="838125" name="Line 240"/>
        <xdr:cNvSpPr>
          <a:spLocks noChangeShapeType="1"/>
        </xdr:cNvSpPr>
      </xdr:nvSpPr>
      <xdr:spPr bwMode="auto">
        <a:xfrm>
          <a:off x="612648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10</xdr:row>
      <xdr:rowOff>76200</xdr:rowOff>
    </xdr:from>
    <xdr:to>
      <xdr:col>116</xdr:col>
      <xdr:colOff>123825</xdr:colOff>
      <xdr:row>10</xdr:row>
      <xdr:rowOff>76200</xdr:rowOff>
    </xdr:to>
    <xdr:sp macro="" textlink="">
      <xdr:nvSpPr>
        <xdr:cNvPr id="838126" name="Line 241"/>
        <xdr:cNvSpPr>
          <a:spLocks noChangeShapeType="1"/>
        </xdr:cNvSpPr>
      </xdr:nvSpPr>
      <xdr:spPr bwMode="auto">
        <a:xfrm flipH="1" flipV="1">
          <a:off x="611409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11</xdr:row>
      <xdr:rowOff>133350</xdr:rowOff>
    </xdr:from>
    <xdr:to>
      <xdr:col>116</xdr:col>
      <xdr:colOff>123825</xdr:colOff>
      <xdr:row>11</xdr:row>
      <xdr:rowOff>133350</xdr:rowOff>
    </xdr:to>
    <xdr:sp macro="" textlink="">
      <xdr:nvSpPr>
        <xdr:cNvPr id="838127" name="Line 242"/>
        <xdr:cNvSpPr>
          <a:spLocks noChangeShapeType="1"/>
        </xdr:cNvSpPr>
      </xdr:nvSpPr>
      <xdr:spPr bwMode="auto">
        <a:xfrm flipH="1">
          <a:off x="611409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6</xdr:row>
      <xdr:rowOff>76200</xdr:rowOff>
    </xdr:from>
    <xdr:to>
      <xdr:col>126</xdr:col>
      <xdr:colOff>123825</xdr:colOff>
      <xdr:row>7</xdr:row>
      <xdr:rowOff>142875</xdr:rowOff>
    </xdr:to>
    <xdr:sp macro="" textlink="">
      <xdr:nvSpPr>
        <xdr:cNvPr id="838128" name="Line 216"/>
        <xdr:cNvSpPr>
          <a:spLocks noChangeShapeType="1"/>
        </xdr:cNvSpPr>
      </xdr:nvSpPr>
      <xdr:spPr bwMode="auto">
        <a:xfrm>
          <a:off x="68103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6</xdr:row>
      <xdr:rowOff>76200</xdr:rowOff>
    </xdr:from>
    <xdr:to>
      <xdr:col>126</xdr:col>
      <xdr:colOff>123825</xdr:colOff>
      <xdr:row>6</xdr:row>
      <xdr:rowOff>76200</xdr:rowOff>
    </xdr:to>
    <xdr:sp macro="" textlink="">
      <xdr:nvSpPr>
        <xdr:cNvPr id="838129" name="Line 217"/>
        <xdr:cNvSpPr>
          <a:spLocks noChangeShapeType="1"/>
        </xdr:cNvSpPr>
      </xdr:nvSpPr>
      <xdr:spPr bwMode="auto">
        <a:xfrm flipH="1" flipV="1">
          <a:off x="67979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7</xdr:row>
      <xdr:rowOff>133350</xdr:rowOff>
    </xdr:from>
    <xdr:to>
      <xdr:col>126</xdr:col>
      <xdr:colOff>123825</xdr:colOff>
      <xdr:row>7</xdr:row>
      <xdr:rowOff>133350</xdr:rowOff>
    </xdr:to>
    <xdr:sp macro="" textlink="">
      <xdr:nvSpPr>
        <xdr:cNvPr id="838130" name="Line 218"/>
        <xdr:cNvSpPr>
          <a:spLocks noChangeShapeType="1"/>
        </xdr:cNvSpPr>
      </xdr:nvSpPr>
      <xdr:spPr bwMode="auto">
        <a:xfrm flipH="1">
          <a:off x="67979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114300</xdr:colOff>
      <xdr:row>16</xdr:row>
      <xdr:rowOff>66675</xdr:rowOff>
    </xdr:from>
    <xdr:to>
      <xdr:col>126</xdr:col>
      <xdr:colOff>114300</xdr:colOff>
      <xdr:row>19</xdr:row>
      <xdr:rowOff>85725</xdr:rowOff>
    </xdr:to>
    <xdr:sp macro="" textlink="">
      <xdr:nvSpPr>
        <xdr:cNvPr id="838131" name="Line 219"/>
        <xdr:cNvSpPr>
          <a:spLocks noChangeShapeType="1"/>
        </xdr:cNvSpPr>
      </xdr:nvSpPr>
      <xdr:spPr bwMode="auto">
        <a:xfrm>
          <a:off x="68094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16</xdr:row>
      <xdr:rowOff>57150</xdr:rowOff>
    </xdr:from>
    <xdr:to>
      <xdr:col>126</xdr:col>
      <xdr:colOff>123825</xdr:colOff>
      <xdr:row>16</xdr:row>
      <xdr:rowOff>57150</xdr:rowOff>
    </xdr:to>
    <xdr:sp macro="" textlink="">
      <xdr:nvSpPr>
        <xdr:cNvPr id="838132" name="Line 220"/>
        <xdr:cNvSpPr>
          <a:spLocks noChangeShapeType="1"/>
        </xdr:cNvSpPr>
      </xdr:nvSpPr>
      <xdr:spPr bwMode="auto">
        <a:xfrm flipH="1">
          <a:off x="67979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9525</xdr:colOff>
      <xdr:row>19</xdr:row>
      <xdr:rowOff>95250</xdr:rowOff>
    </xdr:from>
    <xdr:to>
      <xdr:col>126</xdr:col>
      <xdr:colOff>114300</xdr:colOff>
      <xdr:row>19</xdr:row>
      <xdr:rowOff>95250</xdr:rowOff>
    </xdr:to>
    <xdr:sp macro="" textlink="">
      <xdr:nvSpPr>
        <xdr:cNvPr id="838133" name="Line 221"/>
        <xdr:cNvSpPr>
          <a:spLocks noChangeShapeType="1"/>
        </xdr:cNvSpPr>
      </xdr:nvSpPr>
      <xdr:spPr bwMode="auto">
        <a:xfrm flipH="1">
          <a:off x="67989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114300</xdr:colOff>
      <xdr:row>16</xdr:row>
      <xdr:rowOff>66675</xdr:rowOff>
    </xdr:from>
    <xdr:to>
      <xdr:col>126</xdr:col>
      <xdr:colOff>114300</xdr:colOff>
      <xdr:row>19</xdr:row>
      <xdr:rowOff>85725</xdr:rowOff>
    </xdr:to>
    <xdr:sp macro="" textlink="">
      <xdr:nvSpPr>
        <xdr:cNvPr id="838134" name="Line 224"/>
        <xdr:cNvSpPr>
          <a:spLocks noChangeShapeType="1"/>
        </xdr:cNvSpPr>
      </xdr:nvSpPr>
      <xdr:spPr bwMode="auto">
        <a:xfrm>
          <a:off x="68094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16</xdr:row>
      <xdr:rowOff>57150</xdr:rowOff>
    </xdr:from>
    <xdr:to>
      <xdr:col>126</xdr:col>
      <xdr:colOff>123825</xdr:colOff>
      <xdr:row>16</xdr:row>
      <xdr:rowOff>57150</xdr:rowOff>
    </xdr:to>
    <xdr:sp macro="" textlink="">
      <xdr:nvSpPr>
        <xdr:cNvPr id="838135" name="Line 225"/>
        <xdr:cNvSpPr>
          <a:spLocks noChangeShapeType="1"/>
        </xdr:cNvSpPr>
      </xdr:nvSpPr>
      <xdr:spPr bwMode="auto">
        <a:xfrm flipH="1">
          <a:off x="67979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9525</xdr:colOff>
      <xdr:row>19</xdr:row>
      <xdr:rowOff>95250</xdr:rowOff>
    </xdr:from>
    <xdr:to>
      <xdr:col>126</xdr:col>
      <xdr:colOff>114300</xdr:colOff>
      <xdr:row>19</xdr:row>
      <xdr:rowOff>95250</xdr:rowOff>
    </xdr:to>
    <xdr:sp macro="" textlink="">
      <xdr:nvSpPr>
        <xdr:cNvPr id="838136" name="Line 226"/>
        <xdr:cNvSpPr>
          <a:spLocks noChangeShapeType="1"/>
        </xdr:cNvSpPr>
      </xdr:nvSpPr>
      <xdr:spPr bwMode="auto">
        <a:xfrm flipH="1">
          <a:off x="67989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6</xdr:row>
      <xdr:rowOff>76200</xdr:rowOff>
    </xdr:from>
    <xdr:to>
      <xdr:col>126</xdr:col>
      <xdr:colOff>123825</xdr:colOff>
      <xdr:row>7</xdr:row>
      <xdr:rowOff>142875</xdr:rowOff>
    </xdr:to>
    <xdr:sp macro="" textlink="">
      <xdr:nvSpPr>
        <xdr:cNvPr id="838137" name="Line 227"/>
        <xdr:cNvSpPr>
          <a:spLocks noChangeShapeType="1"/>
        </xdr:cNvSpPr>
      </xdr:nvSpPr>
      <xdr:spPr bwMode="auto">
        <a:xfrm>
          <a:off x="68103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6</xdr:row>
      <xdr:rowOff>76200</xdr:rowOff>
    </xdr:from>
    <xdr:to>
      <xdr:col>126</xdr:col>
      <xdr:colOff>123825</xdr:colOff>
      <xdr:row>6</xdr:row>
      <xdr:rowOff>76200</xdr:rowOff>
    </xdr:to>
    <xdr:sp macro="" textlink="">
      <xdr:nvSpPr>
        <xdr:cNvPr id="838138" name="Line 228"/>
        <xdr:cNvSpPr>
          <a:spLocks noChangeShapeType="1"/>
        </xdr:cNvSpPr>
      </xdr:nvSpPr>
      <xdr:spPr bwMode="auto">
        <a:xfrm flipH="1" flipV="1">
          <a:off x="67979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7</xdr:row>
      <xdr:rowOff>133350</xdr:rowOff>
    </xdr:from>
    <xdr:to>
      <xdr:col>126</xdr:col>
      <xdr:colOff>123825</xdr:colOff>
      <xdr:row>7</xdr:row>
      <xdr:rowOff>133350</xdr:rowOff>
    </xdr:to>
    <xdr:sp macro="" textlink="">
      <xdr:nvSpPr>
        <xdr:cNvPr id="838139" name="Line 229"/>
        <xdr:cNvSpPr>
          <a:spLocks noChangeShapeType="1"/>
        </xdr:cNvSpPr>
      </xdr:nvSpPr>
      <xdr:spPr bwMode="auto">
        <a:xfrm flipH="1">
          <a:off x="67979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8</xdr:row>
      <xdr:rowOff>76200</xdr:rowOff>
    </xdr:from>
    <xdr:to>
      <xdr:col>126</xdr:col>
      <xdr:colOff>123825</xdr:colOff>
      <xdr:row>9</xdr:row>
      <xdr:rowOff>142875</xdr:rowOff>
    </xdr:to>
    <xdr:sp macro="" textlink="">
      <xdr:nvSpPr>
        <xdr:cNvPr id="838140" name="Line 230"/>
        <xdr:cNvSpPr>
          <a:spLocks noChangeShapeType="1"/>
        </xdr:cNvSpPr>
      </xdr:nvSpPr>
      <xdr:spPr bwMode="auto">
        <a:xfrm>
          <a:off x="68103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8</xdr:row>
      <xdr:rowOff>76200</xdr:rowOff>
    </xdr:from>
    <xdr:to>
      <xdr:col>126</xdr:col>
      <xdr:colOff>123825</xdr:colOff>
      <xdr:row>8</xdr:row>
      <xdr:rowOff>76200</xdr:rowOff>
    </xdr:to>
    <xdr:sp macro="" textlink="">
      <xdr:nvSpPr>
        <xdr:cNvPr id="838141" name="Line 231"/>
        <xdr:cNvSpPr>
          <a:spLocks noChangeShapeType="1"/>
        </xdr:cNvSpPr>
      </xdr:nvSpPr>
      <xdr:spPr bwMode="auto">
        <a:xfrm flipH="1" flipV="1">
          <a:off x="67979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9</xdr:row>
      <xdr:rowOff>133350</xdr:rowOff>
    </xdr:from>
    <xdr:to>
      <xdr:col>126</xdr:col>
      <xdr:colOff>123825</xdr:colOff>
      <xdr:row>9</xdr:row>
      <xdr:rowOff>133350</xdr:rowOff>
    </xdr:to>
    <xdr:sp macro="" textlink="">
      <xdr:nvSpPr>
        <xdr:cNvPr id="838142" name="Line 232"/>
        <xdr:cNvSpPr>
          <a:spLocks noChangeShapeType="1"/>
        </xdr:cNvSpPr>
      </xdr:nvSpPr>
      <xdr:spPr bwMode="auto">
        <a:xfrm flipH="1">
          <a:off x="67979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12</xdr:row>
      <xdr:rowOff>76200</xdr:rowOff>
    </xdr:from>
    <xdr:to>
      <xdr:col>126</xdr:col>
      <xdr:colOff>123825</xdr:colOff>
      <xdr:row>13</xdr:row>
      <xdr:rowOff>142875</xdr:rowOff>
    </xdr:to>
    <xdr:sp macro="" textlink="">
      <xdr:nvSpPr>
        <xdr:cNvPr id="838143" name="Line 233"/>
        <xdr:cNvSpPr>
          <a:spLocks noChangeShapeType="1"/>
        </xdr:cNvSpPr>
      </xdr:nvSpPr>
      <xdr:spPr bwMode="auto">
        <a:xfrm>
          <a:off x="68103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12</xdr:row>
      <xdr:rowOff>76200</xdr:rowOff>
    </xdr:from>
    <xdr:to>
      <xdr:col>126</xdr:col>
      <xdr:colOff>123825</xdr:colOff>
      <xdr:row>12</xdr:row>
      <xdr:rowOff>76200</xdr:rowOff>
    </xdr:to>
    <xdr:sp macro="" textlink="">
      <xdr:nvSpPr>
        <xdr:cNvPr id="838144" name="Line 234"/>
        <xdr:cNvSpPr>
          <a:spLocks noChangeShapeType="1"/>
        </xdr:cNvSpPr>
      </xdr:nvSpPr>
      <xdr:spPr bwMode="auto">
        <a:xfrm flipH="1" flipV="1">
          <a:off x="67979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13</xdr:row>
      <xdr:rowOff>133350</xdr:rowOff>
    </xdr:from>
    <xdr:to>
      <xdr:col>126</xdr:col>
      <xdr:colOff>123825</xdr:colOff>
      <xdr:row>13</xdr:row>
      <xdr:rowOff>133350</xdr:rowOff>
    </xdr:to>
    <xdr:sp macro="" textlink="">
      <xdr:nvSpPr>
        <xdr:cNvPr id="838145" name="Line 235"/>
        <xdr:cNvSpPr>
          <a:spLocks noChangeShapeType="1"/>
        </xdr:cNvSpPr>
      </xdr:nvSpPr>
      <xdr:spPr bwMode="auto">
        <a:xfrm flipH="1">
          <a:off x="67979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14</xdr:row>
      <xdr:rowOff>76200</xdr:rowOff>
    </xdr:from>
    <xdr:to>
      <xdr:col>126</xdr:col>
      <xdr:colOff>123825</xdr:colOff>
      <xdr:row>15</xdr:row>
      <xdr:rowOff>142875</xdr:rowOff>
    </xdr:to>
    <xdr:sp macro="" textlink="">
      <xdr:nvSpPr>
        <xdr:cNvPr id="838146" name="Line 236"/>
        <xdr:cNvSpPr>
          <a:spLocks noChangeShapeType="1"/>
        </xdr:cNvSpPr>
      </xdr:nvSpPr>
      <xdr:spPr bwMode="auto">
        <a:xfrm>
          <a:off x="68103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14</xdr:row>
      <xdr:rowOff>76200</xdr:rowOff>
    </xdr:from>
    <xdr:to>
      <xdr:col>126</xdr:col>
      <xdr:colOff>123825</xdr:colOff>
      <xdr:row>14</xdr:row>
      <xdr:rowOff>76200</xdr:rowOff>
    </xdr:to>
    <xdr:sp macro="" textlink="">
      <xdr:nvSpPr>
        <xdr:cNvPr id="838147" name="Line 237"/>
        <xdr:cNvSpPr>
          <a:spLocks noChangeShapeType="1"/>
        </xdr:cNvSpPr>
      </xdr:nvSpPr>
      <xdr:spPr bwMode="auto">
        <a:xfrm flipH="1" flipV="1">
          <a:off x="67979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15</xdr:row>
      <xdr:rowOff>133350</xdr:rowOff>
    </xdr:from>
    <xdr:to>
      <xdr:col>126</xdr:col>
      <xdr:colOff>123825</xdr:colOff>
      <xdr:row>15</xdr:row>
      <xdr:rowOff>133350</xdr:rowOff>
    </xdr:to>
    <xdr:sp macro="" textlink="">
      <xdr:nvSpPr>
        <xdr:cNvPr id="838148" name="Line 238"/>
        <xdr:cNvSpPr>
          <a:spLocks noChangeShapeType="1"/>
        </xdr:cNvSpPr>
      </xdr:nvSpPr>
      <xdr:spPr bwMode="auto">
        <a:xfrm flipH="1">
          <a:off x="67979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123825</xdr:colOff>
      <xdr:row>10</xdr:row>
      <xdr:rowOff>76200</xdr:rowOff>
    </xdr:from>
    <xdr:to>
      <xdr:col>126</xdr:col>
      <xdr:colOff>123825</xdr:colOff>
      <xdr:row>11</xdr:row>
      <xdr:rowOff>142875</xdr:rowOff>
    </xdr:to>
    <xdr:sp macro="" textlink="">
      <xdr:nvSpPr>
        <xdr:cNvPr id="838149" name="Line 240"/>
        <xdr:cNvSpPr>
          <a:spLocks noChangeShapeType="1"/>
        </xdr:cNvSpPr>
      </xdr:nvSpPr>
      <xdr:spPr bwMode="auto">
        <a:xfrm>
          <a:off x="68103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10</xdr:row>
      <xdr:rowOff>76200</xdr:rowOff>
    </xdr:from>
    <xdr:to>
      <xdr:col>126</xdr:col>
      <xdr:colOff>123825</xdr:colOff>
      <xdr:row>10</xdr:row>
      <xdr:rowOff>76200</xdr:rowOff>
    </xdr:to>
    <xdr:sp macro="" textlink="">
      <xdr:nvSpPr>
        <xdr:cNvPr id="838150" name="Line 241"/>
        <xdr:cNvSpPr>
          <a:spLocks noChangeShapeType="1"/>
        </xdr:cNvSpPr>
      </xdr:nvSpPr>
      <xdr:spPr bwMode="auto">
        <a:xfrm flipH="1" flipV="1">
          <a:off x="67979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126</xdr:col>
      <xdr:colOff>0</xdr:colOff>
      <xdr:row>11</xdr:row>
      <xdr:rowOff>133350</xdr:rowOff>
    </xdr:from>
    <xdr:to>
      <xdr:col>126</xdr:col>
      <xdr:colOff>123825</xdr:colOff>
      <xdr:row>11</xdr:row>
      <xdr:rowOff>133350</xdr:rowOff>
    </xdr:to>
    <xdr:sp macro="" textlink="">
      <xdr:nvSpPr>
        <xdr:cNvPr id="838151" name="Line 242"/>
        <xdr:cNvSpPr>
          <a:spLocks noChangeShapeType="1"/>
        </xdr:cNvSpPr>
      </xdr:nvSpPr>
      <xdr:spPr bwMode="auto">
        <a:xfrm flipH="1">
          <a:off x="67979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6</xdr:row>
      <xdr:rowOff>76200</xdr:rowOff>
    </xdr:from>
    <xdr:to>
      <xdr:col>131</xdr:col>
      <xdr:colOff>123825</xdr:colOff>
      <xdr:row>7</xdr:row>
      <xdr:rowOff>142875</xdr:rowOff>
    </xdr:to>
    <xdr:sp macro="" textlink="">
      <xdr:nvSpPr>
        <xdr:cNvPr id="838152" name="Line 216"/>
        <xdr:cNvSpPr>
          <a:spLocks noChangeShapeType="1"/>
        </xdr:cNvSpPr>
      </xdr:nvSpPr>
      <xdr:spPr bwMode="auto">
        <a:xfrm>
          <a:off x="715232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6</xdr:row>
      <xdr:rowOff>76200</xdr:rowOff>
    </xdr:from>
    <xdr:to>
      <xdr:col>131</xdr:col>
      <xdr:colOff>123825</xdr:colOff>
      <xdr:row>6</xdr:row>
      <xdr:rowOff>76200</xdr:rowOff>
    </xdr:to>
    <xdr:sp macro="" textlink="">
      <xdr:nvSpPr>
        <xdr:cNvPr id="838153" name="Line 217"/>
        <xdr:cNvSpPr>
          <a:spLocks noChangeShapeType="1"/>
        </xdr:cNvSpPr>
      </xdr:nvSpPr>
      <xdr:spPr bwMode="auto">
        <a:xfrm flipH="1" flipV="1">
          <a:off x="713994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7</xdr:row>
      <xdr:rowOff>133350</xdr:rowOff>
    </xdr:from>
    <xdr:to>
      <xdr:col>131</xdr:col>
      <xdr:colOff>123825</xdr:colOff>
      <xdr:row>7</xdr:row>
      <xdr:rowOff>133350</xdr:rowOff>
    </xdr:to>
    <xdr:sp macro="" textlink="">
      <xdr:nvSpPr>
        <xdr:cNvPr id="838154" name="Line 218"/>
        <xdr:cNvSpPr>
          <a:spLocks noChangeShapeType="1"/>
        </xdr:cNvSpPr>
      </xdr:nvSpPr>
      <xdr:spPr bwMode="auto">
        <a:xfrm flipH="1">
          <a:off x="713994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114300</xdr:colOff>
      <xdr:row>16</xdr:row>
      <xdr:rowOff>66675</xdr:rowOff>
    </xdr:from>
    <xdr:to>
      <xdr:col>131</xdr:col>
      <xdr:colOff>114300</xdr:colOff>
      <xdr:row>19</xdr:row>
      <xdr:rowOff>85725</xdr:rowOff>
    </xdr:to>
    <xdr:sp macro="" textlink="">
      <xdr:nvSpPr>
        <xdr:cNvPr id="838155" name="Line 219"/>
        <xdr:cNvSpPr>
          <a:spLocks noChangeShapeType="1"/>
        </xdr:cNvSpPr>
      </xdr:nvSpPr>
      <xdr:spPr bwMode="auto">
        <a:xfrm>
          <a:off x="715137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16</xdr:row>
      <xdr:rowOff>57150</xdr:rowOff>
    </xdr:from>
    <xdr:to>
      <xdr:col>131</xdr:col>
      <xdr:colOff>123825</xdr:colOff>
      <xdr:row>16</xdr:row>
      <xdr:rowOff>57150</xdr:rowOff>
    </xdr:to>
    <xdr:sp macro="" textlink="">
      <xdr:nvSpPr>
        <xdr:cNvPr id="838156" name="Line 220"/>
        <xdr:cNvSpPr>
          <a:spLocks noChangeShapeType="1"/>
        </xdr:cNvSpPr>
      </xdr:nvSpPr>
      <xdr:spPr bwMode="auto">
        <a:xfrm flipH="1">
          <a:off x="713994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9525</xdr:colOff>
      <xdr:row>19</xdr:row>
      <xdr:rowOff>95250</xdr:rowOff>
    </xdr:from>
    <xdr:to>
      <xdr:col>131</xdr:col>
      <xdr:colOff>114300</xdr:colOff>
      <xdr:row>19</xdr:row>
      <xdr:rowOff>95250</xdr:rowOff>
    </xdr:to>
    <xdr:sp macro="" textlink="">
      <xdr:nvSpPr>
        <xdr:cNvPr id="838157" name="Line 221"/>
        <xdr:cNvSpPr>
          <a:spLocks noChangeShapeType="1"/>
        </xdr:cNvSpPr>
      </xdr:nvSpPr>
      <xdr:spPr bwMode="auto">
        <a:xfrm flipH="1">
          <a:off x="714089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114300</xdr:colOff>
      <xdr:row>16</xdr:row>
      <xdr:rowOff>66675</xdr:rowOff>
    </xdr:from>
    <xdr:to>
      <xdr:col>131</xdr:col>
      <xdr:colOff>114300</xdr:colOff>
      <xdr:row>19</xdr:row>
      <xdr:rowOff>85725</xdr:rowOff>
    </xdr:to>
    <xdr:sp macro="" textlink="">
      <xdr:nvSpPr>
        <xdr:cNvPr id="838158" name="Line 224"/>
        <xdr:cNvSpPr>
          <a:spLocks noChangeShapeType="1"/>
        </xdr:cNvSpPr>
      </xdr:nvSpPr>
      <xdr:spPr bwMode="auto">
        <a:xfrm>
          <a:off x="715137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16</xdr:row>
      <xdr:rowOff>57150</xdr:rowOff>
    </xdr:from>
    <xdr:to>
      <xdr:col>131</xdr:col>
      <xdr:colOff>123825</xdr:colOff>
      <xdr:row>16</xdr:row>
      <xdr:rowOff>57150</xdr:rowOff>
    </xdr:to>
    <xdr:sp macro="" textlink="">
      <xdr:nvSpPr>
        <xdr:cNvPr id="838159" name="Line 225"/>
        <xdr:cNvSpPr>
          <a:spLocks noChangeShapeType="1"/>
        </xdr:cNvSpPr>
      </xdr:nvSpPr>
      <xdr:spPr bwMode="auto">
        <a:xfrm flipH="1">
          <a:off x="713994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9525</xdr:colOff>
      <xdr:row>19</xdr:row>
      <xdr:rowOff>95250</xdr:rowOff>
    </xdr:from>
    <xdr:to>
      <xdr:col>131</xdr:col>
      <xdr:colOff>114300</xdr:colOff>
      <xdr:row>19</xdr:row>
      <xdr:rowOff>95250</xdr:rowOff>
    </xdr:to>
    <xdr:sp macro="" textlink="">
      <xdr:nvSpPr>
        <xdr:cNvPr id="838160" name="Line 226"/>
        <xdr:cNvSpPr>
          <a:spLocks noChangeShapeType="1"/>
        </xdr:cNvSpPr>
      </xdr:nvSpPr>
      <xdr:spPr bwMode="auto">
        <a:xfrm flipH="1">
          <a:off x="714089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6</xdr:row>
      <xdr:rowOff>76200</xdr:rowOff>
    </xdr:from>
    <xdr:to>
      <xdr:col>131</xdr:col>
      <xdr:colOff>123825</xdr:colOff>
      <xdr:row>7</xdr:row>
      <xdr:rowOff>142875</xdr:rowOff>
    </xdr:to>
    <xdr:sp macro="" textlink="">
      <xdr:nvSpPr>
        <xdr:cNvPr id="838161" name="Line 227"/>
        <xdr:cNvSpPr>
          <a:spLocks noChangeShapeType="1"/>
        </xdr:cNvSpPr>
      </xdr:nvSpPr>
      <xdr:spPr bwMode="auto">
        <a:xfrm>
          <a:off x="715232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6</xdr:row>
      <xdr:rowOff>76200</xdr:rowOff>
    </xdr:from>
    <xdr:to>
      <xdr:col>131</xdr:col>
      <xdr:colOff>123825</xdr:colOff>
      <xdr:row>6</xdr:row>
      <xdr:rowOff>76200</xdr:rowOff>
    </xdr:to>
    <xdr:sp macro="" textlink="">
      <xdr:nvSpPr>
        <xdr:cNvPr id="838162" name="Line 228"/>
        <xdr:cNvSpPr>
          <a:spLocks noChangeShapeType="1"/>
        </xdr:cNvSpPr>
      </xdr:nvSpPr>
      <xdr:spPr bwMode="auto">
        <a:xfrm flipH="1" flipV="1">
          <a:off x="713994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7</xdr:row>
      <xdr:rowOff>133350</xdr:rowOff>
    </xdr:from>
    <xdr:to>
      <xdr:col>131</xdr:col>
      <xdr:colOff>123825</xdr:colOff>
      <xdr:row>7</xdr:row>
      <xdr:rowOff>133350</xdr:rowOff>
    </xdr:to>
    <xdr:sp macro="" textlink="">
      <xdr:nvSpPr>
        <xdr:cNvPr id="838163" name="Line 229"/>
        <xdr:cNvSpPr>
          <a:spLocks noChangeShapeType="1"/>
        </xdr:cNvSpPr>
      </xdr:nvSpPr>
      <xdr:spPr bwMode="auto">
        <a:xfrm flipH="1">
          <a:off x="713994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8</xdr:row>
      <xdr:rowOff>76200</xdr:rowOff>
    </xdr:from>
    <xdr:to>
      <xdr:col>131</xdr:col>
      <xdr:colOff>123825</xdr:colOff>
      <xdr:row>9</xdr:row>
      <xdr:rowOff>142875</xdr:rowOff>
    </xdr:to>
    <xdr:sp macro="" textlink="">
      <xdr:nvSpPr>
        <xdr:cNvPr id="838164" name="Line 230"/>
        <xdr:cNvSpPr>
          <a:spLocks noChangeShapeType="1"/>
        </xdr:cNvSpPr>
      </xdr:nvSpPr>
      <xdr:spPr bwMode="auto">
        <a:xfrm>
          <a:off x="715232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8</xdr:row>
      <xdr:rowOff>76200</xdr:rowOff>
    </xdr:from>
    <xdr:to>
      <xdr:col>131</xdr:col>
      <xdr:colOff>123825</xdr:colOff>
      <xdr:row>8</xdr:row>
      <xdr:rowOff>76200</xdr:rowOff>
    </xdr:to>
    <xdr:sp macro="" textlink="">
      <xdr:nvSpPr>
        <xdr:cNvPr id="838165" name="Line 231"/>
        <xdr:cNvSpPr>
          <a:spLocks noChangeShapeType="1"/>
        </xdr:cNvSpPr>
      </xdr:nvSpPr>
      <xdr:spPr bwMode="auto">
        <a:xfrm flipH="1" flipV="1">
          <a:off x="713994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9</xdr:row>
      <xdr:rowOff>133350</xdr:rowOff>
    </xdr:from>
    <xdr:to>
      <xdr:col>131</xdr:col>
      <xdr:colOff>123825</xdr:colOff>
      <xdr:row>9</xdr:row>
      <xdr:rowOff>133350</xdr:rowOff>
    </xdr:to>
    <xdr:sp macro="" textlink="">
      <xdr:nvSpPr>
        <xdr:cNvPr id="838166" name="Line 232"/>
        <xdr:cNvSpPr>
          <a:spLocks noChangeShapeType="1"/>
        </xdr:cNvSpPr>
      </xdr:nvSpPr>
      <xdr:spPr bwMode="auto">
        <a:xfrm flipH="1">
          <a:off x="713994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12</xdr:row>
      <xdr:rowOff>76200</xdr:rowOff>
    </xdr:from>
    <xdr:to>
      <xdr:col>131</xdr:col>
      <xdr:colOff>123825</xdr:colOff>
      <xdr:row>13</xdr:row>
      <xdr:rowOff>142875</xdr:rowOff>
    </xdr:to>
    <xdr:sp macro="" textlink="">
      <xdr:nvSpPr>
        <xdr:cNvPr id="838167" name="Line 233"/>
        <xdr:cNvSpPr>
          <a:spLocks noChangeShapeType="1"/>
        </xdr:cNvSpPr>
      </xdr:nvSpPr>
      <xdr:spPr bwMode="auto">
        <a:xfrm>
          <a:off x="715232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12</xdr:row>
      <xdr:rowOff>76200</xdr:rowOff>
    </xdr:from>
    <xdr:to>
      <xdr:col>131</xdr:col>
      <xdr:colOff>123825</xdr:colOff>
      <xdr:row>12</xdr:row>
      <xdr:rowOff>76200</xdr:rowOff>
    </xdr:to>
    <xdr:sp macro="" textlink="">
      <xdr:nvSpPr>
        <xdr:cNvPr id="838168" name="Line 234"/>
        <xdr:cNvSpPr>
          <a:spLocks noChangeShapeType="1"/>
        </xdr:cNvSpPr>
      </xdr:nvSpPr>
      <xdr:spPr bwMode="auto">
        <a:xfrm flipH="1" flipV="1">
          <a:off x="713994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13</xdr:row>
      <xdr:rowOff>133350</xdr:rowOff>
    </xdr:from>
    <xdr:to>
      <xdr:col>131</xdr:col>
      <xdr:colOff>123825</xdr:colOff>
      <xdr:row>13</xdr:row>
      <xdr:rowOff>133350</xdr:rowOff>
    </xdr:to>
    <xdr:sp macro="" textlink="">
      <xdr:nvSpPr>
        <xdr:cNvPr id="838169" name="Line 235"/>
        <xdr:cNvSpPr>
          <a:spLocks noChangeShapeType="1"/>
        </xdr:cNvSpPr>
      </xdr:nvSpPr>
      <xdr:spPr bwMode="auto">
        <a:xfrm flipH="1">
          <a:off x="713994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14</xdr:row>
      <xdr:rowOff>76200</xdr:rowOff>
    </xdr:from>
    <xdr:to>
      <xdr:col>131</xdr:col>
      <xdr:colOff>123825</xdr:colOff>
      <xdr:row>15</xdr:row>
      <xdr:rowOff>142875</xdr:rowOff>
    </xdr:to>
    <xdr:sp macro="" textlink="">
      <xdr:nvSpPr>
        <xdr:cNvPr id="838170" name="Line 236"/>
        <xdr:cNvSpPr>
          <a:spLocks noChangeShapeType="1"/>
        </xdr:cNvSpPr>
      </xdr:nvSpPr>
      <xdr:spPr bwMode="auto">
        <a:xfrm>
          <a:off x="715232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14</xdr:row>
      <xdr:rowOff>76200</xdr:rowOff>
    </xdr:from>
    <xdr:to>
      <xdr:col>131</xdr:col>
      <xdr:colOff>123825</xdr:colOff>
      <xdr:row>14</xdr:row>
      <xdr:rowOff>76200</xdr:rowOff>
    </xdr:to>
    <xdr:sp macro="" textlink="">
      <xdr:nvSpPr>
        <xdr:cNvPr id="838171" name="Line 237"/>
        <xdr:cNvSpPr>
          <a:spLocks noChangeShapeType="1"/>
        </xdr:cNvSpPr>
      </xdr:nvSpPr>
      <xdr:spPr bwMode="auto">
        <a:xfrm flipH="1" flipV="1">
          <a:off x="713994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15</xdr:row>
      <xdr:rowOff>133350</xdr:rowOff>
    </xdr:from>
    <xdr:to>
      <xdr:col>131</xdr:col>
      <xdr:colOff>123825</xdr:colOff>
      <xdr:row>15</xdr:row>
      <xdr:rowOff>133350</xdr:rowOff>
    </xdr:to>
    <xdr:sp macro="" textlink="">
      <xdr:nvSpPr>
        <xdr:cNvPr id="838172" name="Line 238"/>
        <xdr:cNvSpPr>
          <a:spLocks noChangeShapeType="1"/>
        </xdr:cNvSpPr>
      </xdr:nvSpPr>
      <xdr:spPr bwMode="auto">
        <a:xfrm flipH="1">
          <a:off x="713994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123825</xdr:colOff>
      <xdr:row>10</xdr:row>
      <xdr:rowOff>76200</xdr:rowOff>
    </xdr:from>
    <xdr:to>
      <xdr:col>131</xdr:col>
      <xdr:colOff>123825</xdr:colOff>
      <xdr:row>11</xdr:row>
      <xdr:rowOff>142875</xdr:rowOff>
    </xdr:to>
    <xdr:sp macro="" textlink="">
      <xdr:nvSpPr>
        <xdr:cNvPr id="838173" name="Line 240"/>
        <xdr:cNvSpPr>
          <a:spLocks noChangeShapeType="1"/>
        </xdr:cNvSpPr>
      </xdr:nvSpPr>
      <xdr:spPr bwMode="auto">
        <a:xfrm>
          <a:off x="715232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10</xdr:row>
      <xdr:rowOff>76200</xdr:rowOff>
    </xdr:from>
    <xdr:to>
      <xdr:col>131</xdr:col>
      <xdr:colOff>123825</xdr:colOff>
      <xdr:row>10</xdr:row>
      <xdr:rowOff>76200</xdr:rowOff>
    </xdr:to>
    <xdr:sp macro="" textlink="">
      <xdr:nvSpPr>
        <xdr:cNvPr id="838174" name="Line 241"/>
        <xdr:cNvSpPr>
          <a:spLocks noChangeShapeType="1"/>
        </xdr:cNvSpPr>
      </xdr:nvSpPr>
      <xdr:spPr bwMode="auto">
        <a:xfrm flipH="1" flipV="1">
          <a:off x="713994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131</xdr:col>
      <xdr:colOff>0</xdr:colOff>
      <xdr:row>11</xdr:row>
      <xdr:rowOff>133350</xdr:rowOff>
    </xdr:from>
    <xdr:to>
      <xdr:col>131</xdr:col>
      <xdr:colOff>123825</xdr:colOff>
      <xdr:row>11</xdr:row>
      <xdr:rowOff>133350</xdr:rowOff>
    </xdr:to>
    <xdr:sp macro="" textlink="">
      <xdr:nvSpPr>
        <xdr:cNvPr id="838175" name="Line 242"/>
        <xdr:cNvSpPr>
          <a:spLocks noChangeShapeType="1"/>
        </xdr:cNvSpPr>
      </xdr:nvSpPr>
      <xdr:spPr bwMode="auto">
        <a:xfrm flipH="1">
          <a:off x="713994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6</xdr:row>
      <xdr:rowOff>76200</xdr:rowOff>
    </xdr:from>
    <xdr:to>
      <xdr:col>136</xdr:col>
      <xdr:colOff>123825</xdr:colOff>
      <xdr:row>7</xdr:row>
      <xdr:rowOff>142875</xdr:rowOff>
    </xdr:to>
    <xdr:sp macro="" textlink="">
      <xdr:nvSpPr>
        <xdr:cNvPr id="838176" name="Line 216"/>
        <xdr:cNvSpPr>
          <a:spLocks noChangeShapeType="1"/>
        </xdr:cNvSpPr>
      </xdr:nvSpPr>
      <xdr:spPr bwMode="auto">
        <a:xfrm>
          <a:off x="749427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6</xdr:row>
      <xdr:rowOff>76200</xdr:rowOff>
    </xdr:from>
    <xdr:to>
      <xdr:col>136</xdr:col>
      <xdr:colOff>123825</xdr:colOff>
      <xdr:row>6</xdr:row>
      <xdr:rowOff>76200</xdr:rowOff>
    </xdr:to>
    <xdr:sp macro="" textlink="">
      <xdr:nvSpPr>
        <xdr:cNvPr id="838177" name="Line 217"/>
        <xdr:cNvSpPr>
          <a:spLocks noChangeShapeType="1"/>
        </xdr:cNvSpPr>
      </xdr:nvSpPr>
      <xdr:spPr bwMode="auto">
        <a:xfrm flipH="1" flipV="1">
          <a:off x="748188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7</xdr:row>
      <xdr:rowOff>133350</xdr:rowOff>
    </xdr:from>
    <xdr:to>
      <xdr:col>136</xdr:col>
      <xdr:colOff>123825</xdr:colOff>
      <xdr:row>7</xdr:row>
      <xdr:rowOff>133350</xdr:rowOff>
    </xdr:to>
    <xdr:sp macro="" textlink="">
      <xdr:nvSpPr>
        <xdr:cNvPr id="838178" name="Line 218"/>
        <xdr:cNvSpPr>
          <a:spLocks noChangeShapeType="1"/>
        </xdr:cNvSpPr>
      </xdr:nvSpPr>
      <xdr:spPr bwMode="auto">
        <a:xfrm flipH="1">
          <a:off x="748188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114300</xdr:colOff>
      <xdr:row>16</xdr:row>
      <xdr:rowOff>66675</xdr:rowOff>
    </xdr:from>
    <xdr:to>
      <xdr:col>136</xdr:col>
      <xdr:colOff>114300</xdr:colOff>
      <xdr:row>19</xdr:row>
      <xdr:rowOff>85725</xdr:rowOff>
    </xdr:to>
    <xdr:sp macro="" textlink="">
      <xdr:nvSpPr>
        <xdr:cNvPr id="838179" name="Line 219"/>
        <xdr:cNvSpPr>
          <a:spLocks noChangeShapeType="1"/>
        </xdr:cNvSpPr>
      </xdr:nvSpPr>
      <xdr:spPr bwMode="auto">
        <a:xfrm>
          <a:off x="749331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16</xdr:row>
      <xdr:rowOff>57150</xdr:rowOff>
    </xdr:from>
    <xdr:to>
      <xdr:col>136</xdr:col>
      <xdr:colOff>123825</xdr:colOff>
      <xdr:row>16</xdr:row>
      <xdr:rowOff>57150</xdr:rowOff>
    </xdr:to>
    <xdr:sp macro="" textlink="">
      <xdr:nvSpPr>
        <xdr:cNvPr id="838180" name="Line 220"/>
        <xdr:cNvSpPr>
          <a:spLocks noChangeShapeType="1"/>
        </xdr:cNvSpPr>
      </xdr:nvSpPr>
      <xdr:spPr bwMode="auto">
        <a:xfrm flipH="1">
          <a:off x="748188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19</xdr:row>
      <xdr:rowOff>95250</xdr:rowOff>
    </xdr:from>
    <xdr:to>
      <xdr:col>136</xdr:col>
      <xdr:colOff>114300</xdr:colOff>
      <xdr:row>19</xdr:row>
      <xdr:rowOff>95250</xdr:rowOff>
    </xdr:to>
    <xdr:sp macro="" textlink="">
      <xdr:nvSpPr>
        <xdr:cNvPr id="838181" name="Line 221"/>
        <xdr:cNvSpPr>
          <a:spLocks noChangeShapeType="1"/>
        </xdr:cNvSpPr>
      </xdr:nvSpPr>
      <xdr:spPr bwMode="auto">
        <a:xfrm flipH="1">
          <a:off x="748284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114300</xdr:colOff>
      <xdr:row>16</xdr:row>
      <xdr:rowOff>66675</xdr:rowOff>
    </xdr:from>
    <xdr:to>
      <xdr:col>136</xdr:col>
      <xdr:colOff>114300</xdr:colOff>
      <xdr:row>19</xdr:row>
      <xdr:rowOff>85725</xdr:rowOff>
    </xdr:to>
    <xdr:sp macro="" textlink="">
      <xdr:nvSpPr>
        <xdr:cNvPr id="838182" name="Line 224"/>
        <xdr:cNvSpPr>
          <a:spLocks noChangeShapeType="1"/>
        </xdr:cNvSpPr>
      </xdr:nvSpPr>
      <xdr:spPr bwMode="auto">
        <a:xfrm>
          <a:off x="7493317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16</xdr:row>
      <xdr:rowOff>57150</xdr:rowOff>
    </xdr:from>
    <xdr:to>
      <xdr:col>136</xdr:col>
      <xdr:colOff>123825</xdr:colOff>
      <xdr:row>16</xdr:row>
      <xdr:rowOff>57150</xdr:rowOff>
    </xdr:to>
    <xdr:sp macro="" textlink="">
      <xdr:nvSpPr>
        <xdr:cNvPr id="838183" name="Line 225"/>
        <xdr:cNvSpPr>
          <a:spLocks noChangeShapeType="1"/>
        </xdr:cNvSpPr>
      </xdr:nvSpPr>
      <xdr:spPr bwMode="auto">
        <a:xfrm flipH="1">
          <a:off x="7481887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19</xdr:row>
      <xdr:rowOff>95250</xdr:rowOff>
    </xdr:from>
    <xdr:to>
      <xdr:col>136</xdr:col>
      <xdr:colOff>114300</xdr:colOff>
      <xdr:row>19</xdr:row>
      <xdr:rowOff>95250</xdr:rowOff>
    </xdr:to>
    <xdr:sp macro="" textlink="">
      <xdr:nvSpPr>
        <xdr:cNvPr id="838184" name="Line 226"/>
        <xdr:cNvSpPr>
          <a:spLocks noChangeShapeType="1"/>
        </xdr:cNvSpPr>
      </xdr:nvSpPr>
      <xdr:spPr bwMode="auto">
        <a:xfrm flipH="1">
          <a:off x="7482840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6</xdr:row>
      <xdr:rowOff>76200</xdr:rowOff>
    </xdr:from>
    <xdr:to>
      <xdr:col>136</xdr:col>
      <xdr:colOff>123825</xdr:colOff>
      <xdr:row>7</xdr:row>
      <xdr:rowOff>142875</xdr:rowOff>
    </xdr:to>
    <xdr:sp macro="" textlink="">
      <xdr:nvSpPr>
        <xdr:cNvPr id="838185" name="Line 227"/>
        <xdr:cNvSpPr>
          <a:spLocks noChangeShapeType="1"/>
        </xdr:cNvSpPr>
      </xdr:nvSpPr>
      <xdr:spPr bwMode="auto">
        <a:xfrm>
          <a:off x="7494270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6</xdr:row>
      <xdr:rowOff>76200</xdr:rowOff>
    </xdr:from>
    <xdr:to>
      <xdr:col>136</xdr:col>
      <xdr:colOff>123825</xdr:colOff>
      <xdr:row>6</xdr:row>
      <xdr:rowOff>76200</xdr:rowOff>
    </xdr:to>
    <xdr:sp macro="" textlink="">
      <xdr:nvSpPr>
        <xdr:cNvPr id="838186" name="Line 228"/>
        <xdr:cNvSpPr>
          <a:spLocks noChangeShapeType="1"/>
        </xdr:cNvSpPr>
      </xdr:nvSpPr>
      <xdr:spPr bwMode="auto">
        <a:xfrm flipH="1" flipV="1">
          <a:off x="7481887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7</xdr:row>
      <xdr:rowOff>133350</xdr:rowOff>
    </xdr:from>
    <xdr:to>
      <xdr:col>136</xdr:col>
      <xdr:colOff>123825</xdr:colOff>
      <xdr:row>7</xdr:row>
      <xdr:rowOff>133350</xdr:rowOff>
    </xdr:to>
    <xdr:sp macro="" textlink="">
      <xdr:nvSpPr>
        <xdr:cNvPr id="838187" name="Line 229"/>
        <xdr:cNvSpPr>
          <a:spLocks noChangeShapeType="1"/>
        </xdr:cNvSpPr>
      </xdr:nvSpPr>
      <xdr:spPr bwMode="auto">
        <a:xfrm flipH="1">
          <a:off x="7481887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8</xdr:row>
      <xdr:rowOff>76200</xdr:rowOff>
    </xdr:from>
    <xdr:to>
      <xdr:col>136</xdr:col>
      <xdr:colOff>123825</xdr:colOff>
      <xdr:row>9</xdr:row>
      <xdr:rowOff>142875</xdr:rowOff>
    </xdr:to>
    <xdr:sp macro="" textlink="">
      <xdr:nvSpPr>
        <xdr:cNvPr id="838188" name="Line 230"/>
        <xdr:cNvSpPr>
          <a:spLocks noChangeShapeType="1"/>
        </xdr:cNvSpPr>
      </xdr:nvSpPr>
      <xdr:spPr bwMode="auto">
        <a:xfrm>
          <a:off x="7494270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8</xdr:row>
      <xdr:rowOff>76200</xdr:rowOff>
    </xdr:from>
    <xdr:to>
      <xdr:col>136</xdr:col>
      <xdr:colOff>123825</xdr:colOff>
      <xdr:row>8</xdr:row>
      <xdr:rowOff>76200</xdr:rowOff>
    </xdr:to>
    <xdr:sp macro="" textlink="">
      <xdr:nvSpPr>
        <xdr:cNvPr id="838189" name="Line 231"/>
        <xdr:cNvSpPr>
          <a:spLocks noChangeShapeType="1"/>
        </xdr:cNvSpPr>
      </xdr:nvSpPr>
      <xdr:spPr bwMode="auto">
        <a:xfrm flipH="1" flipV="1">
          <a:off x="7481887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9</xdr:row>
      <xdr:rowOff>133350</xdr:rowOff>
    </xdr:from>
    <xdr:to>
      <xdr:col>136</xdr:col>
      <xdr:colOff>123825</xdr:colOff>
      <xdr:row>9</xdr:row>
      <xdr:rowOff>133350</xdr:rowOff>
    </xdr:to>
    <xdr:sp macro="" textlink="">
      <xdr:nvSpPr>
        <xdr:cNvPr id="838190" name="Line 232"/>
        <xdr:cNvSpPr>
          <a:spLocks noChangeShapeType="1"/>
        </xdr:cNvSpPr>
      </xdr:nvSpPr>
      <xdr:spPr bwMode="auto">
        <a:xfrm flipH="1">
          <a:off x="7481887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12</xdr:row>
      <xdr:rowOff>76200</xdr:rowOff>
    </xdr:from>
    <xdr:to>
      <xdr:col>136</xdr:col>
      <xdr:colOff>123825</xdr:colOff>
      <xdr:row>13</xdr:row>
      <xdr:rowOff>142875</xdr:rowOff>
    </xdr:to>
    <xdr:sp macro="" textlink="">
      <xdr:nvSpPr>
        <xdr:cNvPr id="838191" name="Line 233"/>
        <xdr:cNvSpPr>
          <a:spLocks noChangeShapeType="1"/>
        </xdr:cNvSpPr>
      </xdr:nvSpPr>
      <xdr:spPr bwMode="auto">
        <a:xfrm>
          <a:off x="7494270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12</xdr:row>
      <xdr:rowOff>76200</xdr:rowOff>
    </xdr:from>
    <xdr:to>
      <xdr:col>136</xdr:col>
      <xdr:colOff>123825</xdr:colOff>
      <xdr:row>12</xdr:row>
      <xdr:rowOff>76200</xdr:rowOff>
    </xdr:to>
    <xdr:sp macro="" textlink="">
      <xdr:nvSpPr>
        <xdr:cNvPr id="838192" name="Line 234"/>
        <xdr:cNvSpPr>
          <a:spLocks noChangeShapeType="1"/>
        </xdr:cNvSpPr>
      </xdr:nvSpPr>
      <xdr:spPr bwMode="auto">
        <a:xfrm flipH="1" flipV="1">
          <a:off x="7481887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13</xdr:row>
      <xdr:rowOff>133350</xdr:rowOff>
    </xdr:from>
    <xdr:to>
      <xdr:col>136</xdr:col>
      <xdr:colOff>123825</xdr:colOff>
      <xdr:row>13</xdr:row>
      <xdr:rowOff>133350</xdr:rowOff>
    </xdr:to>
    <xdr:sp macro="" textlink="">
      <xdr:nvSpPr>
        <xdr:cNvPr id="838193" name="Line 235"/>
        <xdr:cNvSpPr>
          <a:spLocks noChangeShapeType="1"/>
        </xdr:cNvSpPr>
      </xdr:nvSpPr>
      <xdr:spPr bwMode="auto">
        <a:xfrm flipH="1">
          <a:off x="7481887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14</xdr:row>
      <xdr:rowOff>76200</xdr:rowOff>
    </xdr:from>
    <xdr:to>
      <xdr:col>136</xdr:col>
      <xdr:colOff>123825</xdr:colOff>
      <xdr:row>15</xdr:row>
      <xdr:rowOff>142875</xdr:rowOff>
    </xdr:to>
    <xdr:sp macro="" textlink="">
      <xdr:nvSpPr>
        <xdr:cNvPr id="838194" name="Line 236"/>
        <xdr:cNvSpPr>
          <a:spLocks noChangeShapeType="1"/>
        </xdr:cNvSpPr>
      </xdr:nvSpPr>
      <xdr:spPr bwMode="auto">
        <a:xfrm>
          <a:off x="7494270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14</xdr:row>
      <xdr:rowOff>76200</xdr:rowOff>
    </xdr:from>
    <xdr:to>
      <xdr:col>136</xdr:col>
      <xdr:colOff>123825</xdr:colOff>
      <xdr:row>14</xdr:row>
      <xdr:rowOff>76200</xdr:rowOff>
    </xdr:to>
    <xdr:sp macro="" textlink="">
      <xdr:nvSpPr>
        <xdr:cNvPr id="838195" name="Line 237"/>
        <xdr:cNvSpPr>
          <a:spLocks noChangeShapeType="1"/>
        </xdr:cNvSpPr>
      </xdr:nvSpPr>
      <xdr:spPr bwMode="auto">
        <a:xfrm flipH="1" flipV="1">
          <a:off x="7481887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15</xdr:row>
      <xdr:rowOff>133350</xdr:rowOff>
    </xdr:from>
    <xdr:to>
      <xdr:col>136</xdr:col>
      <xdr:colOff>123825</xdr:colOff>
      <xdr:row>15</xdr:row>
      <xdr:rowOff>133350</xdr:rowOff>
    </xdr:to>
    <xdr:sp macro="" textlink="">
      <xdr:nvSpPr>
        <xdr:cNvPr id="838196" name="Line 238"/>
        <xdr:cNvSpPr>
          <a:spLocks noChangeShapeType="1"/>
        </xdr:cNvSpPr>
      </xdr:nvSpPr>
      <xdr:spPr bwMode="auto">
        <a:xfrm flipH="1">
          <a:off x="7481887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123825</xdr:colOff>
      <xdr:row>10</xdr:row>
      <xdr:rowOff>76200</xdr:rowOff>
    </xdr:from>
    <xdr:to>
      <xdr:col>136</xdr:col>
      <xdr:colOff>123825</xdr:colOff>
      <xdr:row>11</xdr:row>
      <xdr:rowOff>142875</xdr:rowOff>
    </xdr:to>
    <xdr:sp macro="" textlink="">
      <xdr:nvSpPr>
        <xdr:cNvPr id="838197" name="Line 240"/>
        <xdr:cNvSpPr>
          <a:spLocks noChangeShapeType="1"/>
        </xdr:cNvSpPr>
      </xdr:nvSpPr>
      <xdr:spPr bwMode="auto">
        <a:xfrm>
          <a:off x="7494270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10</xdr:row>
      <xdr:rowOff>76200</xdr:rowOff>
    </xdr:from>
    <xdr:to>
      <xdr:col>136</xdr:col>
      <xdr:colOff>123825</xdr:colOff>
      <xdr:row>10</xdr:row>
      <xdr:rowOff>76200</xdr:rowOff>
    </xdr:to>
    <xdr:sp macro="" textlink="">
      <xdr:nvSpPr>
        <xdr:cNvPr id="838198" name="Line 241"/>
        <xdr:cNvSpPr>
          <a:spLocks noChangeShapeType="1"/>
        </xdr:cNvSpPr>
      </xdr:nvSpPr>
      <xdr:spPr bwMode="auto">
        <a:xfrm flipH="1" flipV="1">
          <a:off x="7481887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0</xdr:colOff>
      <xdr:row>11</xdr:row>
      <xdr:rowOff>133350</xdr:rowOff>
    </xdr:from>
    <xdr:to>
      <xdr:col>136</xdr:col>
      <xdr:colOff>123825</xdr:colOff>
      <xdr:row>11</xdr:row>
      <xdr:rowOff>133350</xdr:rowOff>
    </xdr:to>
    <xdr:sp macro="" textlink="">
      <xdr:nvSpPr>
        <xdr:cNvPr id="838199" name="Line 242"/>
        <xdr:cNvSpPr>
          <a:spLocks noChangeShapeType="1"/>
        </xdr:cNvSpPr>
      </xdr:nvSpPr>
      <xdr:spPr bwMode="auto">
        <a:xfrm flipH="1">
          <a:off x="7481887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6</xdr:row>
      <xdr:rowOff>76200</xdr:rowOff>
    </xdr:from>
    <xdr:to>
      <xdr:col>141</xdr:col>
      <xdr:colOff>123825</xdr:colOff>
      <xdr:row>7</xdr:row>
      <xdr:rowOff>142875</xdr:rowOff>
    </xdr:to>
    <xdr:sp macro="" textlink="">
      <xdr:nvSpPr>
        <xdr:cNvPr id="838200" name="Line 216"/>
        <xdr:cNvSpPr>
          <a:spLocks noChangeShapeType="1"/>
        </xdr:cNvSpPr>
      </xdr:nvSpPr>
      <xdr:spPr bwMode="auto">
        <a:xfrm>
          <a:off x="7845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6</xdr:row>
      <xdr:rowOff>76200</xdr:rowOff>
    </xdr:from>
    <xdr:to>
      <xdr:col>141</xdr:col>
      <xdr:colOff>123825</xdr:colOff>
      <xdr:row>6</xdr:row>
      <xdr:rowOff>76200</xdr:rowOff>
    </xdr:to>
    <xdr:sp macro="" textlink="">
      <xdr:nvSpPr>
        <xdr:cNvPr id="838201" name="Line 217"/>
        <xdr:cNvSpPr>
          <a:spLocks noChangeShapeType="1"/>
        </xdr:cNvSpPr>
      </xdr:nvSpPr>
      <xdr:spPr bwMode="auto">
        <a:xfrm flipH="1" flipV="1">
          <a:off x="7833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7</xdr:row>
      <xdr:rowOff>133350</xdr:rowOff>
    </xdr:from>
    <xdr:to>
      <xdr:col>141</xdr:col>
      <xdr:colOff>123825</xdr:colOff>
      <xdr:row>7</xdr:row>
      <xdr:rowOff>133350</xdr:rowOff>
    </xdr:to>
    <xdr:sp macro="" textlink="">
      <xdr:nvSpPr>
        <xdr:cNvPr id="838202" name="Line 218"/>
        <xdr:cNvSpPr>
          <a:spLocks noChangeShapeType="1"/>
        </xdr:cNvSpPr>
      </xdr:nvSpPr>
      <xdr:spPr bwMode="auto">
        <a:xfrm flipH="1">
          <a:off x="7833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114300</xdr:colOff>
      <xdr:row>16</xdr:row>
      <xdr:rowOff>66675</xdr:rowOff>
    </xdr:from>
    <xdr:to>
      <xdr:col>141</xdr:col>
      <xdr:colOff>114300</xdr:colOff>
      <xdr:row>19</xdr:row>
      <xdr:rowOff>85725</xdr:rowOff>
    </xdr:to>
    <xdr:sp macro="" textlink="">
      <xdr:nvSpPr>
        <xdr:cNvPr id="838203" name="Line 219"/>
        <xdr:cNvSpPr>
          <a:spLocks noChangeShapeType="1"/>
        </xdr:cNvSpPr>
      </xdr:nvSpPr>
      <xdr:spPr bwMode="auto">
        <a:xfrm>
          <a:off x="7844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16</xdr:row>
      <xdr:rowOff>57150</xdr:rowOff>
    </xdr:from>
    <xdr:to>
      <xdr:col>141</xdr:col>
      <xdr:colOff>123825</xdr:colOff>
      <xdr:row>16</xdr:row>
      <xdr:rowOff>57150</xdr:rowOff>
    </xdr:to>
    <xdr:sp macro="" textlink="">
      <xdr:nvSpPr>
        <xdr:cNvPr id="838204" name="Line 220"/>
        <xdr:cNvSpPr>
          <a:spLocks noChangeShapeType="1"/>
        </xdr:cNvSpPr>
      </xdr:nvSpPr>
      <xdr:spPr bwMode="auto">
        <a:xfrm flipH="1">
          <a:off x="7833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9525</xdr:colOff>
      <xdr:row>19</xdr:row>
      <xdr:rowOff>95250</xdr:rowOff>
    </xdr:from>
    <xdr:to>
      <xdr:col>141</xdr:col>
      <xdr:colOff>114300</xdr:colOff>
      <xdr:row>19</xdr:row>
      <xdr:rowOff>95250</xdr:rowOff>
    </xdr:to>
    <xdr:sp macro="" textlink="">
      <xdr:nvSpPr>
        <xdr:cNvPr id="838205" name="Line 221"/>
        <xdr:cNvSpPr>
          <a:spLocks noChangeShapeType="1"/>
        </xdr:cNvSpPr>
      </xdr:nvSpPr>
      <xdr:spPr bwMode="auto">
        <a:xfrm flipH="1">
          <a:off x="7834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114300</xdr:colOff>
      <xdr:row>16</xdr:row>
      <xdr:rowOff>66675</xdr:rowOff>
    </xdr:from>
    <xdr:to>
      <xdr:col>141</xdr:col>
      <xdr:colOff>114300</xdr:colOff>
      <xdr:row>19</xdr:row>
      <xdr:rowOff>85725</xdr:rowOff>
    </xdr:to>
    <xdr:sp macro="" textlink="">
      <xdr:nvSpPr>
        <xdr:cNvPr id="838206" name="Line 224"/>
        <xdr:cNvSpPr>
          <a:spLocks noChangeShapeType="1"/>
        </xdr:cNvSpPr>
      </xdr:nvSpPr>
      <xdr:spPr bwMode="auto">
        <a:xfrm>
          <a:off x="78447900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16</xdr:row>
      <xdr:rowOff>57150</xdr:rowOff>
    </xdr:from>
    <xdr:to>
      <xdr:col>141</xdr:col>
      <xdr:colOff>123825</xdr:colOff>
      <xdr:row>16</xdr:row>
      <xdr:rowOff>57150</xdr:rowOff>
    </xdr:to>
    <xdr:sp macro="" textlink="">
      <xdr:nvSpPr>
        <xdr:cNvPr id="838207" name="Line 225"/>
        <xdr:cNvSpPr>
          <a:spLocks noChangeShapeType="1"/>
        </xdr:cNvSpPr>
      </xdr:nvSpPr>
      <xdr:spPr bwMode="auto">
        <a:xfrm flipH="1">
          <a:off x="78333600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9525</xdr:colOff>
      <xdr:row>19</xdr:row>
      <xdr:rowOff>95250</xdr:rowOff>
    </xdr:from>
    <xdr:to>
      <xdr:col>141</xdr:col>
      <xdr:colOff>114300</xdr:colOff>
      <xdr:row>19</xdr:row>
      <xdr:rowOff>95250</xdr:rowOff>
    </xdr:to>
    <xdr:sp macro="" textlink="">
      <xdr:nvSpPr>
        <xdr:cNvPr id="838208" name="Line 226"/>
        <xdr:cNvSpPr>
          <a:spLocks noChangeShapeType="1"/>
        </xdr:cNvSpPr>
      </xdr:nvSpPr>
      <xdr:spPr bwMode="auto">
        <a:xfrm flipH="1">
          <a:off x="78343125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6</xdr:row>
      <xdr:rowOff>76200</xdr:rowOff>
    </xdr:from>
    <xdr:to>
      <xdr:col>141</xdr:col>
      <xdr:colOff>123825</xdr:colOff>
      <xdr:row>7</xdr:row>
      <xdr:rowOff>142875</xdr:rowOff>
    </xdr:to>
    <xdr:sp macro="" textlink="">
      <xdr:nvSpPr>
        <xdr:cNvPr id="838209" name="Line 227"/>
        <xdr:cNvSpPr>
          <a:spLocks noChangeShapeType="1"/>
        </xdr:cNvSpPr>
      </xdr:nvSpPr>
      <xdr:spPr bwMode="auto">
        <a:xfrm>
          <a:off x="78457425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6</xdr:row>
      <xdr:rowOff>76200</xdr:rowOff>
    </xdr:from>
    <xdr:to>
      <xdr:col>141</xdr:col>
      <xdr:colOff>123825</xdr:colOff>
      <xdr:row>6</xdr:row>
      <xdr:rowOff>76200</xdr:rowOff>
    </xdr:to>
    <xdr:sp macro="" textlink="">
      <xdr:nvSpPr>
        <xdr:cNvPr id="838210" name="Line 228"/>
        <xdr:cNvSpPr>
          <a:spLocks noChangeShapeType="1"/>
        </xdr:cNvSpPr>
      </xdr:nvSpPr>
      <xdr:spPr bwMode="auto">
        <a:xfrm flipH="1" flipV="1">
          <a:off x="78333600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7</xdr:row>
      <xdr:rowOff>133350</xdr:rowOff>
    </xdr:from>
    <xdr:to>
      <xdr:col>141</xdr:col>
      <xdr:colOff>123825</xdr:colOff>
      <xdr:row>7</xdr:row>
      <xdr:rowOff>133350</xdr:rowOff>
    </xdr:to>
    <xdr:sp macro="" textlink="">
      <xdr:nvSpPr>
        <xdr:cNvPr id="838211" name="Line 229"/>
        <xdr:cNvSpPr>
          <a:spLocks noChangeShapeType="1"/>
        </xdr:cNvSpPr>
      </xdr:nvSpPr>
      <xdr:spPr bwMode="auto">
        <a:xfrm flipH="1">
          <a:off x="78333600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8</xdr:row>
      <xdr:rowOff>76200</xdr:rowOff>
    </xdr:from>
    <xdr:to>
      <xdr:col>141</xdr:col>
      <xdr:colOff>123825</xdr:colOff>
      <xdr:row>9</xdr:row>
      <xdr:rowOff>142875</xdr:rowOff>
    </xdr:to>
    <xdr:sp macro="" textlink="">
      <xdr:nvSpPr>
        <xdr:cNvPr id="838212" name="Line 230"/>
        <xdr:cNvSpPr>
          <a:spLocks noChangeShapeType="1"/>
        </xdr:cNvSpPr>
      </xdr:nvSpPr>
      <xdr:spPr bwMode="auto">
        <a:xfrm>
          <a:off x="78457425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8</xdr:row>
      <xdr:rowOff>76200</xdr:rowOff>
    </xdr:from>
    <xdr:to>
      <xdr:col>141</xdr:col>
      <xdr:colOff>123825</xdr:colOff>
      <xdr:row>8</xdr:row>
      <xdr:rowOff>76200</xdr:rowOff>
    </xdr:to>
    <xdr:sp macro="" textlink="">
      <xdr:nvSpPr>
        <xdr:cNvPr id="838213" name="Line 231"/>
        <xdr:cNvSpPr>
          <a:spLocks noChangeShapeType="1"/>
        </xdr:cNvSpPr>
      </xdr:nvSpPr>
      <xdr:spPr bwMode="auto">
        <a:xfrm flipH="1" flipV="1">
          <a:off x="78333600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9</xdr:row>
      <xdr:rowOff>133350</xdr:rowOff>
    </xdr:from>
    <xdr:to>
      <xdr:col>141</xdr:col>
      <xdr:colOff>123825</xdr:colOff>
      <xdr:row>9</xdr:row>
      <xdr:rowOff>133350</xdr:rowOff>
    </xdr:to>
    <xdr:sp macro="" textlink="">
      <xdr:nvSpPr>
        <xdr:cNvPr id="838214" name="Line 232"/>
        <xdr:cNvSpPr>
          <a:spLocks noChangeShapeType="1"/>
        </xdr:cNvSpPr>
      </xdr:nvSpPr>
      <xdr:spPr bwMode="auto">
        <a:xfrm flipH="1">
          <a:off x="78333600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12</xdr:row>
      <xdr:rowOff>76200</xdr:rowOff>
    </xdr:from>
    <xdr:to>
      <xdr:col>141</xdr:col>
      <xdr:colOff>123825</xdr:colOff>
      <xdr:row>13</xdr:row>
      <xdr:rowOff>142875</xdr:rowOff>
    </xdr:to>
    <xdr:sp macro="" textlink="">
      <xdr:nvSpPr>
        <xdr:cNvPr id="838215" name="Line 233"/>
        <xdr:cNvSpPr>
          <a:spLocks noChangeShapeType="1"/>
        </xdr:cNvSpPr>
      </xdr:nvSpPr>
      <xdr:spPr bwMode="auto">
        <a:xfrm>
          <a:off x="78457425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12</xdr:row>
      <xdr:rowOff>76200</xdr:rowOff>
    </xdr:from>
    <xdr:to>
      <xdr:col>141</xdr:col>
      <xdr:colOff>123825</xdr:colOff>
      <xdr:row>12</xdr:row>
      <xdr:rowOff>76200</xdr:rowOff>
    </xdr:to>
    <xdr:sp macro="" textlink="">
      <xdr:nvSpPr>
        <xdr:cNvPr id="838216" name="Line 234"/>
        <xdr:cNvSpPr>
          <a:spLocks noChangeShapeType="1"/>
        </xdr:cNvSpPr>
      </xdr:nvSpPr>
      <xdr:spPr bwMode="auto">
        <a:xfrm flipH="1" flipV="1">
          <a:off x="78333600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13</xdr:row>
      <xdr:rowOff>133350</xdr:rowOff>
    </xdr:from>
    <xdr:to>
      <xdr:col>141</xdr:col>
      <xdr:colOff>123825</xdr:colOff>
      <xdr:row>13</xdr:row>
      <xdr:rowOff>133350</xdr:rowOff>
    </xdr:to>
    <xdr:sp macro="" textlink="">
      <xdr:nvSpPr>
        <xdr:cNvPr id="838217" name="Line 235"/>
        <xdr:cNvSpPr>
          <a:spLocks noChangeShapeType="1"/>
        </xdr:cNvSpPr>
      </xdr:nvSpPr>
      <xdr:spPr bwMode="auto">
        <a:xfrm flipH="1">
          <a:off x="78333600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14</xdr:row>
      <xdr:rowOff>76200</xdr:rowOff>
    </xdr:from>
    <xdr:to>
      <xdr:col>141</xdr:col>
      <xdr:colOff>123825</xdr:colOff>
      <xdr:row>15</xdr:row>
      <xdr:rowOff>142875</xdr:rowOff>
    </xdr:to>
    <xdr:sp macro="" textlink="">
      <xdr:nvSpPr>
        <xdr:cNvPr id="838218" name="Line 236"/>
        <xdr:cNvSpPr>
          <a:spLocks noChangeShapeType="1"/>
        </xdr:cNvSpPr>
      </xdr:nvSpPr>
      <xdr:spPr bwMode="auto">
        <a:xfrm>
          <a:off x="78457425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14</xdr:row>
      <xdr:rowOff>76200</xdr:rowOff>
    </xdr:from>
    <xdr:to>
      <xdr:col>141</xdr:col>
      <xdr:colOff>123825</xdr:colOff>
      <xdr:row>14</xdr:row>
      <xdr:rowOff>76200</xdr:rowOff>
    </xdr:to>
    <xdr:sp macro="" textlink="">
      <xdr:nvSpPr>
        <xdr:cNvPr id="838219" name="Line 237"/>
        <xdr:cNvSpPr>
          <a:spLocks noChangeShapeType="1"/>
        </xdr:cNvSpPr>
      </xdr:nvSpPr>
      <xdr:spPr bwMode="auto">
        <a:xfrm flipH="1" flipV="1">
          <a:off x="78333600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15</xdr:row>
      <xdr:rowOff>133350</xdr:rowOff>
    </xdr:from>
    <xdr:to>
      <xdr:col>141</xdr:col>
      <xdr:colOff>123825</xdr:colOff>
      <xdr:row>15</xdr:row>
      <xdr:rowOff>133350</xdr:rowOff>
    </xdr:to>
    <xdr:sp macro="" textlink="">
      <xdr:nvSpPr>
        <xdr:cNvPr id="838220" name="Line 238"/>
        <xdr:cNvSpPr>
          <a:spLocks noChangeShapeType="1"/>
        </xdr:cNvSpPr>
      </xdr:nvSpPr>
      <xdr:spPr bwMode="auto">
        <a:xfrm flipH="1">
          <a:off x="78333600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123825</xdr:colOff>
      <xdr:row>10</xdr:row>
      <xdr:rowOff>76200</xdr:rowOff>
    </xdr:from>
    <xdr:to>
      <xdr:col>141</xdr:col>
      <xdr:colOff>123825</xdr:colOff>
      <xdr:row>11</xdr:row>
      <xdr:rowOff>142875</xdr:rowOff>
    </xdr:to>
    <xdr:sp macro="" textlink="">
      <xdr:nvSpPr>
        <xdr:cNvPr id="838221" name="Line 240"/>
        <xdr:cNvSpPr>
          <a:spLocks noChangeShapeType="1"/>
        </xdr:cNvSpPr>
      </xdr:nvSpPr>
      <xdr:spPr bwMode="auto">
        <a:xfrm>
          <a:off x="78457425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10</xdr:row>
      <xdr:rowOff>76200</xdr:rowOff>
    </xdr:from>
    <xdr:to>
      <xdr:col>141</xdr:col>
      <xdr:colOff>123825</xdr:colOff>
      <xdr:row>10</xdr:row>
      <xdr:rowOff>76200</xdr:rowOff>
    </xdr:to>
    <xdr:sp macro="" textlink="">
      <xdr:nvSpPr>
        <xdr:cNvPr id="838222" name="Line 241"/>
        <xdr:cNvSpPr>
          <a:spLocks noChangeShapeType="1"/>
        </xdr:cNvSpPr>
      </xdr:nvSpPr>
      <xdr:spPr bwMode="auto">
        <a:xfrm flipH="1" flipV="1">
          <a:off x="78333600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141</xdr:col>
      <xdr:colOff>0</xdr:colOff>
      <xdr:row>11</xdr:row>
      <xdr:rowOff>133350</xdr:rowOff>
    </xdr:from>
    <xdr:to>
      <xdr:col>141</xdr:col>
      <xdr:colOff>123825</xdr:colOff>
      <xdr:row>11</xdr:row>
      <xdr:rowOff>133350</xdr:rowOff>
    </xdr:to>
    <xdr:sp macro="" textlink="">
      <xdr:nvSpPr>
        <xdr:cNvPr id="838223" name="Line 242"/>
        <xdr:cNvSpPr>
          <a:spLocks noChangeShapeType="1"/>
        </xdr:cNvSpPr>
      </xdr:nvSpPr>
      <xdr:spPr bwMode="auto">
        <a:xfrm flipH="1">
          <a:off x="78333600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6</xdr:row>
      <xdr:rowOff>76200</xdr:rowOff>
    </xdr:from>
    <xdr:to>
      <xdr:col>146</xdr:col>
      <xdr:colOff>123825</xdr:colOff>
      <xdr:row>7</xdr:row>
      <xdr:rowOff>142875</xdr:rowOff>
    </xdr:to>
    <xdr:sp macro="" textlink="">
      <xdr:nvSpPr>
        <xdr:cNvPr id="838224" name="Line 216"/>
        <xdr:cNvSpPr>
          <a:spLocks noChangeShapeType="1"/>
        </xdr:cNvSpPr>
      </xdr:nvSpPr>
      <xdr:spPr bwMode="auto">
        <a:xfrm>
          <a:off x="81819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76200</xdr:rowOff>
    </xdr:from>
    <xdr:to>
      <xdr:col>146</xdr:col>
      <xdr:colOff>123825</xdr:colOff>
      <xdr:row>6</xdr:row>
      <xdr:rowOff>76200</xdr:rowOff>
    </xdr:to>
    <xdr:sp macro="" textlink="">
      <xdr:nvSpPr>
        <xdr:cNvPr id="838225" name="Line 217"/>
        <xdr:cNvSpPr>
          <a:spLocks noChangeShapeType="1"/>
        </xdr:cNvSpPr>
      </xdr:nvSpPr>
      <xdr:spPr bwMode="auto">
        <a:xfrm flipH="1" flipV="1">
          <a:off x="81695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7</xdr:row>
      <xdr:rowOff>133350</xdr:rowOff>
    </xdr:from>
    <xdr:to>
      <xdr:col>146</xdr:col>
      <xdr:colOff>123825</xdr:colOff>
      <xdr:row>7</xdr:row>
      <xdr:rowOff>133350</xdr:rowOff>
    </xdr:to>
    <xdr:sp macro="" textlink="">
      <xdr:nvSpPr>
        <xdr:cNvPr id="838226" name="Line 218"/>
        <xdr:cNvSpPr>
          <a:spLocks noChangeShapeType="1"/>
        </xdr:cNvSpPr>
      </xdr:nvSpPr>
      <xdr:spPr bwMode="auto">
        <a:xfrm flipH="1">
          <a:off x="81695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114300</xdr:colOff>
      <xdr:row>16</xdr:row>
      <xdr:rowOff>66675</xdr:rowOff>
    </xdr:from>
    <xdr:to>
      <xdr:col>146</xdr:col>
      <xdr:colOff>114300</xdr:colOff>
      <xdr:row>19</xdr:row>
      <xdr:rowOff>85725</xdr:rowOff>
    </xdr:to>
    <xdr:sp macro="" textlink="">
      <xdr:nvSpPr>
        <xdr:cNvPr id="838227" name="Line 219"/>
        <xdr:cNvSpPr>
          <a:spLocks noChangeShapeType="1"/>
        </xdr:cNvSpPr>
      </xdr:nvSpPr>
      <xdr:spPr bwMode="auto">
        <a:xfrm>
          <a:off x="81810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16</xdr:row>
      <xdr:rowOff>57150</xdr:rowOff>
    </xdr:from>
    <xdr:to>
      <xdr:col>146</xdr:col>
      <xdr:colOff>123825</xdr:colOff>
      <xdr:row>16</xdr:row>
      <xdr:rowOff>57150</xdr:rowOff>
    </xdr:to>
    <xdr:sp macro="" textlink="">
      <xdr:nvSpPr>
        <xdr:cNvPr id="838228" name="Line 220"/>
        <xdr:cNvSpPr>
          <a:spLocks noChangeShapeType="1"/>
        </xdr:cNvSpPr>
      </xdr:nvSpPr>
      <xdr:spPr bwMode="auto">
        <a:xfrm flipH="1">
          <a:off x="81695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9525</xdr:colOff>
      <xdr:row>19</xdr:row>
      <xdr:rowOff>95250</xdr:rowOff>
    </xdr:from>
    <xdr:to>
      <xdr:col>146</xdr:col>
      <xdr:colOff>114300</xdr:colOff>
      <xdr:row>19</xdr:row>
      <xdr:rowOff>95250</xdr:rowOff>
    </xdr:to>
    <xdr:sp macro="" textlink="">
      <xdr:nvSpPr>
        <xdr:cNvPr id="838229" name="Line 221"/>
        <xdr:cNvSpPr>
          <a:spLocks noChangeShapeType="1"/>
        </xdr:cNvSpPr>
      </xdr:nvSpPr>
      <xdr:spPr bwMode="auto">
        <a:xfrm flipH="1">
          <a:off x="81705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114300</xdr:colOff>
      <xdr:row>16</xdr:row>
      <xdr:rowOff>66675</xdr:rowOff>
    </xdr:from>
    <xdr:to>
      <xdr:col>146</xdr:col>
      <xdr:colOff>114300</xdr:colOff>
      <xdr:row>19</xdr:row>
      <xdr:rowOff>85725</xdr:rowOff>
    </xdr:to>
    <xdr:sp macro="" textlink="">
      <xdr:nvSpPr>
        <xdr:cNvPr id="838230" name="Line 224"/>
        <xdr:cNvSpPr>
          <a:spLocks noChangeShapeType="1"/>
        </xdr:cNvSpPr>
      </xdr:nvSpPr>
      <xdr:spPr bwMode="auto">
        <a:xfrm>
          <a:off x="81810225" y="249555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16</xdr:row>
      <xdr:rowOff>57150</xdr:rowOff>
    </xdr:from>
    <xdr:to>
      <xdr:col>146</xdr:col>
      <xdr:colOff>123825</xdr:colOff>
      <xdr:row>16</xdr:row>
      <xdr:rowOff>57150</xdr:rowOff>
    </xdr:to>
    <xdr:sp macro="" textlink="">
      <xdr:nvSpPr>
        <xdr:cNvPr id="838231" name="Line 225"/>
        <xdr:cNvSpPr>
          <a:spLocks noChangeShapeType="1"/>
        </xdr:cNvSpPr>
      </xdr:nvSpPr>
      <xdr:spPr bwMode="auto">
        <a:xfrm flipH="1">
          <a:off x="81695925" y="24860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9525</xdr:colOff>
      <xdr:row>19</xdr:row>
      <xdr:rowOff>95250</xdr:rowOff>
    </xdr:from>
    <xdr:to>
      <xdr:col>146</xdr:col>
      <xdr:colOff>114300</xdr:colOff>
      <xdr:row>19</xdr:row>
      <xdr:rowOff>95250</xdr:rowOff>
    </xdr:to>
    <xdr:sp macro="" textlink="">
      <xdr:nvSpPr>
        <xdr:cNvPr id="838232" name="Line 226"/>
        <xdr:cNvSpPr>
          <a:spLocks noChangeShapeType="1"/>
        </xdr:cNvSpPr>
      </xdr:nvSpPr>
      <xdr:spPr bwMode="auto">
        <a:xfrm flipH="1">
          <a:off x="81705450" y="2952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6</xdr:row>
      <xdr:rowOff>76200</xdr:rowOff>
    </xdr:from>
    <xdr:to>
      <xdr:col>146</xdr:col>
      <xdr:colOff>123825</xdr:colOff>
      <xdr:row>7</xdr:row>
      <xdr:rowOff>142875</xdr:rowOff>
    </xdr:to>
    <xdr:sp macro="" textlink="">
      <xdr:nvSpPr>
        <xdr:cNvPr id="838233" name="Line 227"/>
        <xdr:cNvSpPr>
          <a:spLocks noChangeShapeType="1"/>
        </xdr:cNvSpPr>
      </xdr:nvSpPr>
      <xdr:spPr bwMode="auto">
        <a:xfrm>
          <a:off x="81819750" y="1076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76200</xdr:rowOff>
    </xdr:from>
    <xdr:to>
      <xdr:col>146</xdr:col>
      <xdr:colOff>123825</xdr:colOff>
      <xdr:row>6</xdr:row>
      <xdr:rowOff>76200</xdr:rowOff>
    </xdr:to>
    <xdr:sp macro="" textlink="">
      <xdr:nvSpPr>
        <xdr:cNvPr id="838234" name="Line 228"/>
        <xdr:cNvSpPr>
          <a:spLocks noChangeShapeType="1"/>
        </xdr:cNvSpPr>
      </xdr:nvSpPr>
      <xdr:spPr bwMode="auto">
        <a:xfrm flipH="1" flipV="1">
          <a:off x="81695925" y="1076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7</xdr:row>
      <xdr:rowOff>133350</xdr:rowOff>
    </xdr:from>
    <xdr:to>
      <xdr:col>146</xdr:col>
      <xdr:colOff>123825</xdr:colOff>
      <xdr:row>7</xdr:row>
      <xdr:rowOff>133350</xdr:rowOff>
    </xdr:to>
    <xdr:sp macro="" textlink="">
      <xdr:nvSpPr>
        <xdr:cNvPr id="838235" name="Line 229"/>
        <xdr:cNvSpPr>
          <a:spLocks noChangeShapeType="1"/>
        </xdr:cNvSpPr>
      </xdr:nvSpPr>
      <xdr:spPr bwMode="auto">
        <a:xfrm flipH="1">
          <a:off x="81695925" y="1276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8</xdr:row>
      <xdr:rowOff>76200</xdr:rowOff>
    </xdr:from>
    <xdr:to>
      <xdr:col>146</xdr:col>
      <xdr:colOff>123825</xdr:colOff>
      <xdr:row>9</xdr:row>
      <xdr:rowOff>142875</xdr:rowOff>
    </xdr:to>
    <xdr:sp macro="" textlink="">
      <xdr:nvSpPr>
        <xdr:cNvPr id="838236" name="Line 230"/>
        <xdr:cNvSpPr>
          <a:spLocks noChangeShapeType="1"/>
        </xdr:cNvSpPr>
      </xdr:nvSpPr>
      <xdr:spPr bwMode="auto">
        <a:xfrm>
          <a:off x="81819750" y="13620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8</xdr:row>
      <xdr:rowOff>76200</xdr:rowOff>
    </xdr:from>
    <xdr:to>
      <xdr:col>146</xdr:col>
      <xdr:colOff>123825</xdr:colOff>
      <xdr:row>8</xdr:row>
      <xdr:rowOff>76200</xdr:rowOff>
    </xdr:to>
    <xdr:sp macro="" textlink="">
      <xdr:nvSpPr>
        <xdr:cNvPr id="838237" name="Line 231"/>
        <xdr:cNvSpPr>
          <a:spLocks noChangeShapeType="1"/>
        </xdr:cNvSpPr>
      </xdr:nvSpPr>
      <xdr:spPr bwMode="auto">
        <a:xfrm flipH="1" flipV="1">
          <a:off x="81695925" y="13620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9</xdr:row>
      <xdr:rowOff>133350</xdr:rowOff>
    </xdr:from>
    <xdr:to>
      <xdr:col>146</xdr:col>
      <xdr:colOff>123825</xdr:colOff>
      <xdr:row>9</xdr:row>
      <xdr:rowOff>133350</xdr:rowOff>
    </xdr:to>
    <xdr:sp macro="" textlink="">
      <xdr:nvSpPr>
        <xdr:cNvPr id="838238" name="Line 232"/>
        <xdr:cNvSpPr>
          <a:spLocks noChangeShapeType="1"/>
        </xdr:cNvSpPr>
      </xdr:nvSpPr>
      <xdr:spPr bwMode="auto">
        <a:xfrm flipH="1">
          <a:off x="81695925" y="15621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12</xdr:row>
      <xdr:rowOff>76200</xdr:rowOff>
    </xdr:from>
    <xdr:to>
      <xdr:col>146</xdr:col>
      <xdr:colOff>123825</xdr:colOff>
      <xdr:row>13</xdr:row>
      <xdr:rowOff>142875</xdr:rowOff>
    </xdr:to>
    <xdr:sp macro="" textlink="">
      <xdr:nvSpPr>
        <xdr:cNvPr id="838239" name="Line 233"/>
        <xdr:cNvSpPr>
          <a:spLocks noChangeShapeType="1"/>
        </xdr:cNvSpPr>
      </xdr:nvSpPr>
      <xdr:spPr bwMode="auto">
        <a:xfrm>
          <a:off x="81819750" y="19335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12</xdr:row>
      <xdr:rowOff>76200</xdr:rowOff>
    </xdr:from>
    <xdr:to>
      <xdr:col>146</xdr:col>
      <xdr:colOff>123825</xdr:colOff>
      <xdr:row>12</xdr:row>
      <xdr:rowOff>76200</xdr:rowOff>
    </xdr:to>
    <xdr:sp macro="" textlink="">
      <xdr:nvSpPr>
        <xdr:cNvPr id="838240" name="Line 234"/>
        <xdr:cNvSpPr>
          <a:spLocks noChangeShapeType="1"/>
        </xdr:cNvSpPr>
      </xdr:nvSpPr>
      <xdr:spPr bwMode="auto">
        <a:xfrm flipH="1" flipV="1">
          <a:off x="81695925" y="1933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13</xdr:row>
      <xdr:rowOff>133350</xdr:rowOff>
    </xdr:from>
    <xdr:to>
      <xdr:col>146</xdr:col>
      <xdr:colOff>123825</xdr:colOff>
      <xdr:row>13</xdr:row>
      <xdr:rowOff>133350</xdr:rowOff>
    </xdr:to>
    <xdr:sp macro="" textlink="">
      <xdr:nvSpPr>
        <xdr:cNvPr id="838241" name="Line 235"/>
        <xdr:cNvSpPr>
          <a:spLocks noChangeShapeType="1"/>
        </xdr:cNvSpPr>
      </xdr:nvSpPr>
      <xdr:spPr bwMode="auto">
        <a:xfrm flipH="1">
          <a:off x="81695925" y="21336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14</xdr:row>
      <xdr:rowOff>76200</xdr:rowOff>
    </xdr:from>
    <xdr:to>
      <xdr:col>146</xdr:col>
      <xdr:colOff>123825</xdr:colOff>
      <xdr:row>15</xdr:row>
      <xdr:rowOff>142875</xdr:rowOff>
    </xdr:to>
    <xdr:sp macro="" textlink="">
      <xdr:nvSpPr>
        <xdr:cNvPr id="838242" name="Line 236"/>
        <xdr:cNvSpPr>
          <a:spLocks noChangeShapeType="1"/>
        </xdr:cNvSpPr>
      </xdr:nvSpPr>
      <xdr:spPr bwMode="auto">
        <a:xfrm>
          <a:off x="81819750" y="22193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14</xdr:row>
      <xdr:rowOff>76200</xdr:rowOff>
    </xdr:from>
    <xdr:to>
      <xdr:col>146</xdr:col>
      <xdr:colOff>123825</xdr:colOff>
      <xdr:row>14</xdr:row>
      <xdr:rowOff>76200</xdr:rowOff>
    </xdr:to>
    <xdr:sp macro="" textlink="">
      <xdr:nvSpPr>
        <xdr:cNvPr id="838243" name="Line 237"/>
        <xdr:cNvSpPr>
          <a:spLocks noChangeShapeType="1"/>
        </xdr:cNvSpPr>
      </xdr:nvSpPr>
      <xdr:spPr bwMode="auto">
        <a:xfrm flipH="1" flipV="1">
          <a:off x="81695925" y="22193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15</xdr:row>
      <xdr:rowOff>133350</xdr:rowOff>
    </xdr:from>
    <xdr:to>
      <xdr:col>146</xdr:col>
      <xdr:colOff>123825</xdr:colOff>
      <xdr:row>15</xdr:row>
      <xdr:rowOff>133350</xdr:rowOff>
    </xdr:to>
    <xdr:sp macro="" textlink="">
      <xdr:nvSpPr>
        <xdr:cNvPr id="838244" name="Line 238"/>
        <xdr:cNvSpPr>
          <a:spLocks noChangeShapeType="1"/>
        </xdr:cNvSpPr>
      </xdr:nvSpPr>
      <xdr:spPr bwMode="auto">
        <a:xfrm flipH="1">
          <a:off x="81695925" y="2419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123825</xdr:colOff>
      <xdr:row>10</xdr:row>
      <xdr:rowOff>76200</xdr:rowOff>
    </xdr:from>
    <xdr:to>
      <xdr:col>146</xdr:col>
      <xdr:colOff>123825</xdr:colOff>
      <xdr:row>11</xdr:row>
      <xdr:rowOff>142875</xdr:rowOff>
    </xdr:to>
    <xdr:sp macro="" textlink="">
      <xdr:nvSpPr>
        <xdr:cNvPr id="838245" name="Line 240"/>
        <xdr:cNvSpPr>
          <a:spLocks noChangeShapeType="1"/>
        </xdr:cNvSpPr>
      </xdr:nvSpPr>
      <xdr:spPr bwMode="auto">
        <a:xfrm>
          <a:off x="81819750" y="164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10</xdr:row>
      <xdr:rowOff>76200</xdr:rowOff>
    </xdr:from>
    <xdr:to>
      <xdr:col>146</xdr:col>
      <xdr:colOff>123825</xdr:colOff>
      <xdr:row>10</xdr:row>
      <xdr:rowOff>76200</xdr:rowOff>
    </xdr:to>
    <xdr:sp macro="" textlink="">
      <xdr:nvSpPr>
        <xdr:cNvPr id="838246" name="Line 241"/>
        <xdr:cNvSpPr>
          <a:spLocks noChangeShapeType="1"/>
        </xdr:cNvSpPr>
      </xdr:nvSpPr>
      <xdr:spPr bwMode="auto">
        <a:xfrm flipH="1" flipV="1">
          <a:off x="81695925" y="16478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146</xdr:col>
      <xdr:colOff>0</xdr:colOff>
      <xdr:row>11</xdr:row>
      <xdr:rowOff>133350</xdr:rowOff>
    </xdr:from>
    <xdr:to>
      <xdr:col>146</xdr:col>
      <xdr:colOff>123825</xdr:colOff>
      <xdr:row>11</xdr:row>
      <xdr:rowOff>133350</xdr:rowOff>
    </xdr:to>
    <xdr:sp macro="" textlink="">
      <xdr:nvSpPr>
        <xdr:cNvPr id="838247" name="Line 242"/>
        <xdr:cNvSpPr>
          <a:spLocks noChangeShapeType="1"/>
        </xdr:cNvSpPr>
      </xdr:nvSpPr>
      <xdr:spPr bwMode="auto">
        <a:xfrm flipH="1">
          <a:off x="81695925" y="18478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6</xdr:row>
      <xdr:rowOff>76200</xdr:rowOff>
    </xdr:from>
    <xdr:to>
      <xdr:col>151</xdr:col>
      <xdr:colOff>123825</xdr:colOff>
      <xdr:row>7</xdr:row>
      <xdr:rowOff>142875</xdr:rowOff>
    </xdr:to>
    <xdr:sp macro="" textlink="">
      <xdr:nvSpPr>
        <xdr:cNvPr id="980" name="Line 216"/>
        <xdr:cNvSpPr>
          <a:spLocks noChangeShapeType="1"/>
        </xdr:cNvSpPr>
      </xdr:nvSpPr>
      <xdr:spPr bwMode="auto">
        <a:xfrm>
          <a:off x="81993105" y="108966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76200</xdr:rowOff>
    </xdr:from>
    <xdr:to>
      <xdr:col>151</xdr:col>
      <xdr:colOff>123825</xdr:colOff>
      <xdr:row>6</xdr:row>
      <xdr:rowOff>76200</xdr:rowOff>
    </xdr:to>
    <xdr:sp macro="" textlink="">
      <xdr:nvSpPr>
        <xdr:cNvPr id="981" name="Line 217"/>
        <xdr:cNvSpPr>
          <a:spLocks noChangeShapeType="1"/>
        </xdr:cNvSpPr>
      </xdr:nvSpPr>
      <xdr:spPr bwMode="auto">
        <a:xfrm flipH="1" flipV="1">
          <a:off x="81869280" y="1089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7</xdr:row>
      <xdr:rowOff>133350</xdr:rowOff>
    </xdr:from>
    <xdr:to>
      <xdr:col>151</xdr:col>
      <xdr:colOff>123825</xdr:colOff>
      <xdr:row>7</xdr:row>
      <xdr:rowOff>133350</xdr:rowOff>
    </xdr:to>
    <xdr:sp macro="" textlink="">
      <xdr:nvSpPr>
        <xdr:cNvPr id="982" name="Line 218"/>
        <xdr:cNvSpPr>
          <a:spLocks noChangeShapeType="1"/>
        </xdr:cNvSpPr>
      </xdr:nvSpPr>
      <xdr:spPr bwMode="auto">
        <a:xfrm flipH="1">
          <a:off x="81869280" y="12915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114300</xdr:colOff>
      <xdr:row>16</xdr:row>
      <xdr:rowOff>66675</xdr:rowOff>
    </xdr:from>
    <xdr:to>
      <xdr:col>151</xdr:col>
      <xdr:colOff>114300</xdr:colOff>
      <xdr:row>19</xdr:row>
      <xdr:rowOff>85725</xdr:rowOff>
    </xdr:to>
    <xdr:sp macro="" textlink="">
      <xdr:nvSpPr>
        <xdr:cNvPr id="983" name="Line 219"/>
        <xdr:cNvSpPr>
          <a:spLocks noChangeShapeType="1"/>
        </xdr:cNvSpPr>
      </xdr:nvSpPr>
      <xdr:spPr bwMode="auto">
        <a:xfrm>
          <a:off x="81983580" y="2527935"/>
          <a:ext cx="0" cy="453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16</xdr:row>
      <xdr:rowOff>57150</xdr:rowOff>
    </xdr:from>
    <xdr:to>
      <xdr:col>151</xdr:col>
      <xdr:colOff>123825</xdr:colOff>
      <xdr:row>16</xdr:row>
      <xdr:rowOff>57150</xdr:rowOff>
    </xdr:to>
    <xdr:sp macro="" textlink="">
      <xdr:nvSpPr>
        <xdr:cNvPr id="984" name="Line 220"/>
        <xdr:cNvSpPr>
          <a:spLocks noChangeShapeType="1"/>
        </xdr:cNvSpPr>
      </xdr:nvSpPr>
      <xdr:spPr bwMode="auto">
        <a:xfrm flipH="1">
          <a:off x="81869280" y="25184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9525</xdr:colOff>
      <xdr:row>19</xdr:row>
      <xdr:rowOff>95250</xdr:rowOff>
    </xdr:from>
    <xdr:to>
      <xdr:col>151</xdr:col>
      <xdr:colOff>114300</xdr:colOff>
      <xdr:row>19</xdr:row>
      <xdr:rowOff>95250</xdr:rowOff>
    </xdr:to>
    <xdr:sp macro="" textlink="">
      <xdr:nvSpPr>
        <xdr:cNvPr id="985" name="Line 221"/>
        <xdr:cNvSpPr>
          <a:spLocks noChangeShapeType="1"/>
        </xdr:cNvSpPr>
      </xdr:nvSpPr>
      <xdr:spPr bwMode="auto">
        <a:xfrm flipH="1">
          <a:off x="81878805" y="2990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114300</xdr:colOff>
      <xdr:row>16</xdr:row>
      <xdr:rowOff>66675</xdr:rowOff>
    </xdr:from>
    <xdr:to>
      <xdr:col>151</xdr:col>
      <xdr:colOff>114300</xdr:colOff>
      <xdr:row>19</xdr:row>
      <xdr:rowOff>85725</xdr:rowOff>
    </xdr:to>
    <xdr:sp macro="" textlink="">
      <xdr:nvSpPr>
        <xdr:cNvPr id="986" name="Line 224"/>
        <xdr:cNvSpPr>
          <a:spLocks noChangeShapeType="1"/>
        </xdr:cNvSpPr>
      </xdr:nvSpPr>
      <xdr:spPr bwMode="auto">
        <a:xfrm>
          <a:off x="81983580" y="2527935"/>
          <a:ext cx="0" cy="453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16</xdr:row>
      <xdr:rowOff>57150</xdr:rowOff>
    </xdr:from>
    <xdr:to>
      <xdr:col>151</xdr:col>
      <xdr:colOff>123825</xdr:colOff>
      <xdr:row>16</xdr:row>
      <xdr:rowOff>57150</xdr:rowOff>
    </xdr:to>
    <xdr:sp macro="" textlink="">
      <xdr:nvSpPr>
        <xdr:cNvPr id="987" name="Line 225"/>
        <xdr:cNvSpPr>
          <a:spLocks noChangeShapeType="1"/>
        </xdr:cNvSpPr>
      </xdr:nvSpPr>
      <xdr:spPr bwMode="auto">
        <a:xfrm flipH="1">
          <a:off x="81869280" y="25184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9525</xdr:colOff>
      <xdr:row>19</xdr:row>
      <xdr:rowOff>95250</xdr:rowOff>
    </xdr:from>
    <xdr:to>
      <xdr:col>151</xdr:col>
      <xdr:colOff>114300</xdr:colOff>
      <xdr:row>19</xdr:row>
      <xdr:rowOff>95250</xdr:rowOff>
    </xdr:to>
    <xdr:sp macro="" textlink="">
      <xdr:nvSpPr>
        <xdr:cNvPr id="988" name="Line 226"/>
        <xdr:cNvSpPr>
          <a:spLocks noChangeShapeType="1"/>
        </xdr:cNvSpPr>
      </xdr:nvSpPr>
      <xdr:spPr bwMode="auto">
        <a:xfrm flipH="1">
          <a:off x="81878805" y="2990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6</xdr:row>
      <xdr:rowOff>76200</xdr:rowOff>
    </xdr:from>
    <xdr:to>
      <xdr:col>151</xdr:col>
      <xdr:colOff>123825</xdr:colOff>
      <xdr:row>7</xdr:row>
      <xdr:rowOff>142875</xdr:rowOff>
    </xdr:to>
    <xdr:sp macro="" textlink="">
      <xdr:nvSpPr>
        <xdr:cNvPr id="989" name="Line 227"/>
        <xdr:cNvSpPr>
          <a:spLocks noChangeShapeType="1"/>
        </xdr:cNvSpPr>
      </xdr:nvSpPr>
      <xdr:spPr bwMode="auto">
        <a:xfrm>
          <a:off x="81993105" y="108966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76200</xdr:rowOff>
    </xdr:from>
    <xdr:to>
      <xdr:col>151</xdr:col>
      <xdr:colOff>123825</xdr:colOff>
      <xdr:row>6</xdr:row>
      <xdr:rowOff>76200</xdr:rowOff>
    </xdr:to>
    <xdr:sp macro="" textlink="">
      <xdr:nvSpPr>
        <xdr:cNvPr id="990" name="Line 228"/>
        <xdr:cNvSpPr>
          <a:spLocks noChangeShapeType="1"/>
        </xdr:cNvSpPr>
      </xdr:nvSpPr>
      <xdr:spPr bwMode="auto">
        <a:xfrm flipH="1" flipV="1">
          <a:off x="81869280" y="1089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7</xdr:row>
      <xdr:rowOff>133350</xdr:rowOff>
    </xdr:from>
    <xdr:to>
      <xdr:col>151</xdr:col>
      <xdr:colOff>123825</xdr:colOff>
      <xdr:row>7</xdr:row>
      <xdr:rowOff>133350</xdr:rowOff>
    </xdr:to>
    <xdr:sp macro="" textlink="">
      <xdr:nvSpPr>
        <xdr:cNvPr id="991" name="Line 229"/>
        <xdr:cNvSpPr>
          <a:spLocks noChangeShapeType="1"/>
        </xdr:cNvSpPr>
      </xdr:nvSpPr>
      <xdr:spPr bwMode="auto">
        <a:xfrm flipH="1">
          <a:off x="81869280" y="12915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8</xdr:row>
      <xdr:rowOff>76200</xdr:rowOff>
    </xdr:from>
    <xdr:to>
      <xdr:col>151</xdr:col>
      <xdr:colOff>123825</xdr:colOff>
      <xdr:row>9</xdr:row>
      <xdr:rowOff>142875</xdr:rowOff>
    </xdr:to>
    <xdr:sp macro="" textlink="">
      <xdr:nvSpPr>
        <xdr:cNvPr id="992" name="Line 230"/>
        <xdr:cNvSpPr>
          <a:spLocks noChangeShapeType="1"/>
        </xdr:cNvSpPr>
      </xdr:nvSpPr>
      <xdr:spPr bwMode="auto">
        <a:xfrm>
          <a:off x="81993105" y="137922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8</xdr:row>
      <xdr:rowOff>76200</xdr:rowOff>
    </xdr:from>
    <xdr:to>
      <xdr:col>151</xdr:col>
      <xdr:colOff>123825</xdr:colOff>
      <xdr:row>8</xdr:row>
      <xdr:rowOff>76200</xdr:rowOff>
    </xdr:to>
    <xdr:sp macro="" textlink="">
      <xdr:nvSpPr>
        <xdr:cNvPr id="993" name="Line 231"/>
        <xdr:cNvSpPr>
          <a:spLocks noChangeShapeType="1"/>
        </xdr:cNvSpPr>
      </xdr:nvSpPr>
      <xdr:spPr bwMode="auto">
        <a:xfrm flipH="1" flipV="1">
          <a:off x="81869280" y="137922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9</xdr:row>
      <xdr:rowOff>133350</xdr:rowOff>
    </xdr:from>
    <xdr:to>
      <xdr:col>151</xdr:col>
      <xdr:colOff>123825</xdr:colOff>
      <xdr:row>9</xdr:row>
      <xdr:rowOff>133350</xdr:rowOff>
    </xdr:to>
    <xdr:sp macro="" textlink="">
      <xdr:nvSpPr>
        <xdr:cNvPr id="994" name="Line 232"/>
        <xdr:cNvSpPr>
          <a:spLocks noChangeShapeType="1"/>
        </xdr:cNvSpPr>
      </xdr:nvSpPr>
      <xdr:spPr bwMode="auto">
        <a:xfrm flipH="1">
          <a:off x="81869280" y="15811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12</xdr:row>
      <xdr:rowOff>76200</xdr:rowOff>
    </xdr:from>
    <xdr:to>
      <xdr:col>151</xdr:col>
      <xdr:colOff>123825</xdr:colOff>
      <xdr:row>13</xdr:row>
      <xdr:rowOff>142875</xdr:rowOff>
    </xdr:to>
    <xdr:sp macro="" textlink="">
      <xdr:nvSpPr>
        <xdr:cNvPr id="995" name="Line 233"/>
        <xdr:cNvSpPr>
          <a:spLocks noChangeShapeType="1"/>
        </xdr:cNvSpPr>
      </xdr:nvSpPr>
      <xdr:spPr bwMode="auto">
        <a:xfrm>
          <a:off x="81993105" y="195834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12</xdr:row>
      <xdr:rowOff>76200</xdr:rowOff>
    </xdr:from>
    <xdr:to>
      <xdr:col>151</xdr:col>
      <xdr:colOff>123825</xdr:colOff>
      <xdr:row>12</xdr:row>
      <xdr:rowOff>76200</xdr:rowOff>
    </xdr:to>
    <xdr:sp macro="" textlink="">
      <xdr:nvSpPr>
        <xdr:cNvPr id="996" name="Line 234"/>
        <xdr:cNvSpPr>
          <a:spLocks noChangeShapeType="1"/>
        </xdr:cNvSpPr>
      </xdr:nvSpPr>
      <xdr:spPr bwMode="auto">
        <a:xfrm flipH="1" flipV="1">
          <a:off x="81869280" y="195834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13</xdr:row>
      <xdr:rowOff>133350</xdr:rowOff>
    </xdr:from>
    <xdr:to>
      <xdr:col>151</xdr:col>
      <xdr:colOff>123825</xdr:colOff>
      <xdr:row>13</xdr:row>
      <xdr:rowOff>133350</xdr:rowOff>
    </xdr:to>
    <xdr:sp macro="" textlink="">
      <xdr:nvSpPr>
        <xdr:cNvPr id="997" name="Line 235"/>
        <xdr:cNvSpPr>
          <a:spLocks noChangeShapeType="1"/>
        </xdr:cNvSpPr>
      </xdr:nvSpPr>
      <xdr:spPr bwMode="auto">
        <a:xfrm flipH="1">
          <a:off x="81869280" y="216027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14</xdr:row>
      <xdr:rowOff>76200</xdr:rowOff>
    </xdr:from>
    <xdr:to>
      <xdr:col>151</xdr:col>
      <xdr:colOff>123825</xdr:colOff>
      <xdr:row>15</xdr:row>
      <xdr:rowOff>142875</xdr:rowOff>
    </xdr:to>
    <xdr:sp macro="" textlink="">
      <xdr:nvSpPr>
        <xdr:cNvPr id="998" name="Line 236"/>
        <xdr:cNvSpPr>
          <a:spLocks noChangeShapeType="1"/>
        </xdr:cNvSpPr>
      </xdr:nvSpPr>
      <xdr:spPr bwMode="auto">
        <a:xfrm>
          <a:off x="81993105" y="224790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14</xdr:row>
      <xdr:rowOff>76200</xdr:rowOff>
    </xdr:from>
    <xdr:to>
      <xdr:col>151</xdr:col>
      <xdr:colOff>123825</xdr:colOff>
      <xdr:row>14</xdr:row>
      <xdr:rowOff>76200</xdr:rowOff>
    </xdr:to>
    <xdr:sp macro="" textlink="">
      <xdr:nvSpPr>
        <xdr:cNvPr id="999" name="Line 237"/>
        <xdr:cNvSpPr>
          <a:spLocks noChangeShapeType="1"/>
        </xdr:cNvSpPr>
      </xdr:nvSpPr>
      <xdr:spPr bwMode="auto">
        <a:xfrm flipH="1" flipV="1">
          <a:off x="81869280" y="22479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15</xdr:row>
      <xdr:rowOff>133350</xdr:rowOff>
    </xdr:from>
    <xdr:to>
      <xdr:col>151</xdr:col>
      <xdr:colOff>123825</xdr:colOff>
      <xdr:row>15</xdr:row>
      <xdr:rowOff>133350</xdr:rowOff>
    </xdr:to>
    <xdr:sp macro="" textlink="">
      <xdr:nvSpPr>
        <xdr:cNvPr id="1000" name="Line 238"/>
        <xdr:cNvSpPr>
          <a:spLocks noChangeShapeType="1"/>
        </xdr:cNvSpPr>
      </xdr:nvSpPr>
      <xdr:spPr bwMode="auto">
        <a:xfrm flipH="1">
          <a:off x="81869280" y="244983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123825</xdr:colOff>
      <xdr:row>10</xdr:row>
      <xdr:rowOff>76200</xdr:rowOff>
    </xdr:from>
    <xdr:to>
      <xdr:col>151</xdr:col>
      <xdr:colOff>123825</xdr:colOff>
      <xdr:row>11</xdr:row>
      <xdr:rowOff>142875</xdr:rowOff>
    </xdr:to>
    <xdr:sp macro="" textlink="">
      <xdr:nvSpPr>
        <xdr:cNvPr id="1001" name="Line 240"/>
        <xdr:cNvSpPr>
          <a:spLocks noChangeShapeType="1"/>
        </xdr:cNvSpPr>
      </xdr:nvSpPr>
      <xdr:spPr bwMode="auto">
        <a:xfrm>
          <a:off x="81993105" y="1668780"/>
          <a:ext cx="0" cy="211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10</xdr:row>
      <xdr:rowOff>76200</xdr:rowOff>
    </xdr:from>
    <xdr:to>
      <xdr:col>151</xdr:col>
      <xdr:colOff>123825</xdr:colOff>
      <xdr:row>10</xdr:row>
      <xdr:rowOff>76200</xdr:rowOff>
    </xdr:to>
    <xdr:sp macro="" textlink="">
      <xdr:nvSpPr>
        <xdr:cNvPr id="1002" name="Line 241"/>
        <xdr:cNvSpPr>
          <a:spLocks noChangeShapeType="1"/>
        </xdr:cNvSpPr>
      </xdr:nvSpPr>
      <xdr:spPr bwMode="auto">
        <a:xfrm flipH="1" flipV="1">
          <a:off x="81869280" y="166878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11</xdr:row>
      <xdr:rowOff>133350</xdr:rowOff>
    </xdr:from>
    <xdr:to>
      <xdr:col>151</xdr:col>
      <xdr:colOff>123825</xdr:colOff>
      <xdr:row>11</xdr:row>
      <xdr:rowOff>133350</xdr:rowOff>
    </xdr:to>
    <xdr:sp macro="" textlink="">
      <xdr:nvSpPr>
        <xdr:cNvPr id="1003" name="Line 242"/>
        <xdr:cNvSpPr>
          <a:spLocks noChangeShapeType="1"/>
        </xdr:cNvSpPr>
      </xdr:nvSpPr>
      <xdr:spPr bwMode="auto">
        <a:xfrm flipH="1">
          <a:off x="81869280" y="18707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6</xdr:row>
      <xdr:rowOff>76200</xdr:rowOff>
    </xdr:from>
    <xdr:to>
      <xdr:col>156</xdr:col>
      <xdr:colOff>123825</xdr:colOff>
      <xdr:row>7</xdr:row>
      <xdr:rowOff>142875</xdr:rowOff>
    </xdr:to>
    <xdr:sp macro="" textlink="">
      <xdr:nvSpPr>
        <xdr:cNvPr id="1004" name="Line 216"/>
        <xdr:cNvSpPr>
          <a:spLocks noChangeShapeType="1"/>
        </xdr:cNvSpPr>
      </xdr:nvSpPr>
      <xdr:spPr bwMode="auto">
        <a:xfrm>
          <a:off x="85422105" y="102870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76200</xdr:rowOff>
    </xdr:from>
    <xdr:to>
      <xdr:col>156</xdr:col>
      <xdr:colOff>123825</xdr:colOff>
      <xdr:row>6</xdr:row>
      <xdr:rowOff>76200</xdr:rowOff>
    </xdr:to>
    <xdr:sp macro="" textlink="">
      <xdr:nvSpPr>
        <xdr:cNvPr id="1005" name="Line 217"/>
        <xdr:cNvSpPr>
          <a:spLocks noChangeShapeType="1"/>
        </xdr:cNvSpPr>
      </xdr:nvSpPr>
      <xdr:spPr bwMode="auto">
        <a:xfrm flipH="1" flipV="1">
          <a:off x="85298280" y="1028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7</xdr:row>
      <xdr:rowOff>133350</xdr:rowOff>
    </xdr:from>
    <xdr:to>
      <xdr:col>156</xdr:col>
      <xdr:colOff>123825</xdr:colOff>
      <xdr:row>7</xdr:row>
      <xdr:rowOff>133350</xdr:rowOff>
    </xdr:to>
    <xdr:sp macro="" textlink="">
      <xdr:nvSpPr>
        <xdr:cNvPr id="1006" name="Line 218"/>
        <xdr:cNvSpPr>
          <a:spLocks noChangeShapeType="1"/>
        </xdr:cNvSpPr>
      </xdr:nvSpPr>
      <xdr:spPr bwMode="auto">
        <a:xfrm flipH="1">
          <a:off x="85298280" y="12230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114300</xdr:colOff>
      <xdr:row>16</xdr:row>
      <xdr:rowOff>66675</xdr:rowOff>
    </xdr:from>
    <xdr:to>
      <xdr:col>156</xdr:col>
      <xdr:colOff>114300</xdr:colOff>
      <xdr:row>19</xdr:row>
      <xdr:rowOff>85725</xdr:rowOff>
    </xdr:to>
    <xdr:sp macro="" textlink="">
      <xdr:nvSpPr>
        <xdr:cNvPr id="1007" name="Line 219"/>
        <xdr:cNvSpPr>
          <a:spLocks noChangeShapeType="1"/>
        </xdr:cNvSpPr>
      </xdr:nvSpPr>
      <xdr:spPr bwMode="auto">
        <a:xfrm>
          <a:off x="85412580" y="2390775"/>
          <a:ext cx="0" cy="430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16</xdr:row>
      <xdr:rowOff>57150</xdr:rowOff>
    </xdr:from>
    <xdr:to>
      <xdr:col>156</xdr:col>
      <xdr:colOff>123825</xdr:colOff>
      <xdr:row>16</xdr:row>
      <xdr:rowOff>57150</xdr:rowOff>
    </xdr:to>
    <xdr:sp macro="" textlink="">
      <xdr:nvSpPr>
        <xdr:cNvPr id="1008" name="Line 220"/>
        <xdr:cNvSpPr>
          <a:spLocks noChangeShapeType="1"/>
        </xdr:cNvSpPr>
      </xdr:nvSpPr>
      <xdr:spPr bwMode="auto">
        <a:xfrm flipH="1">
          <a:off x="85298280" y="2381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9525</xdr:colOff>
      <xdr:row>19</xdr:row>
      <xdr:rowOff>95250</xdr:rowOff>
    </xdr:from>
    <xdr:to>
      <xdr:col>156</xdr:col>
      <xdr:colOff>114300</xdr:colOff>
      <xdr:row>19</xdr:row>
      <xdr:rowOff>95250</xdr:rowOff>
    </xdr:to>
    <xdr:sp macro="" textlink="">
      <xdr:nvSpPr>
        <xdr:cNvPr id="1009" name="Line 221"/>
        <xdr:cNvSpPr>
          <a:spLocks noChangeShapeType="1"/>
        </xdr:cNvSpPr>
      </xdr:nvSpPr>
      <xdr:spPr bwMode="auto">
        <a:xfrm flipH="1">
          <a:off x="85307805" y="283083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114300</xdr:colOff>
      <xdr:row>16</xdr:row>
      <xdr:rowOff>66675</xdr:rowOff>
    </xdr:from>
    <xdr:to>
      <xdr:col>156</xdr:col>
      <xdr:colOff>114300</xdr:colOff>
      <xdr:row>19</xdr:row>
      <xdr:rowOff>85725</xdr:rowOff>
    </xdr:to>
    <xdr:sp macro="" textlink="">
      <xdr:nvSpPr>
        <xdr:cNvPr id="1010" name="Line 224"/>
        <xdr:cNvSpPr>
          <a:spLocks noChangeShapeType="1"/>
        </xdr:cNvSpPr>
      </xdr:nvSpPr>
      <xdr:spPr bwMode="auto">
        <a:xfrm>
          <a:off x="85412580" y="2390775"/>
          <a:ext cx="0" cy="430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16</xdr:row>
      <xdr:rowOff>57150</xdr:rowOff>
    </xdr:from>
    <xdr:to>
      <xdr:col>156</xdr:col>
      <xdr:colOff>123825</xdr:colOff>
      <xdr:row>16</xdr:row>
      <xdr:rowOff>57150</xdr:rowOff>
    </xdr:to>
    <xdr:sp macro="" textlink="">
      <xdr:nvSpPr>
        <xdr:cNvPr id="1011" name="Line 225"/>
        <xdr:cNvSpPr>
          <a:spLocks noChangeShapeType="1"/>
        </xdr:cNvSpPr>
      </xdr:nvSpPr>
      <xdr:spPr bwMode="auto">
        <a:xfrm flipH="1">
          <a:off x="85298280" y="23812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9525</xdr:colOff>
      <xdr:row>19</xdr:row>
      <xdr:rowOff>95250</xdr:rowOff>
    </xdr:from>
    <xdr:to>
      <xdr:col>156</xdr:col>
      <xdr:colOff>114300</xdr:colOff>
      <xdr:row>19</xdr:row>
      <xdr:rowOff>95250</xdr:rowOff>
    </xdr:to>
    <xdr:sp macro="" textlink="">
      <xdr:nvSpPr>
        <xdr:cNvPr id="1012" name="Line 226"/>
        <xdr:cNvSpPr>
          <a:spLocks noChangeShapeType="1"/>
        </xdr:cNvSpPr>
      </xdr:nvSpPr>
      <xdr:spPr bwMode="auto">
        <a:xfrm flipH="1">
          <a:off x="85307805" y="283083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6</xdr:row>
      <xdr:rowOff>76200</xdr:rowOff>
    </xdr:from>
    <xdr:to>
      <xdr:col>156</xdr:col>
      <xdr:colOff>123825</xdr:colOff>
      <xdr:row>7</xdr:row>
      <xdr:rowOff>142875</xdr:rowOff>
    </xdr:to>
    <xdr:sp macro="" textlink="">
      <xdr:nvSpPr>
        <xdr:cNvPr id="1013" name="Line 227"/>
        <xdr:cNvSpPr>
          <a:spLocks noChangeShapeType="1"/>
        </xdr:cNvSpPr>
      </xdr:nvSpPr>
      <xdr:spPr bwMode="auto">
        <a:xfrm>
          <a:off x="85422105" y="102870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76200</xdr:rowOff>
    </xdr:from>
    <xdr:to>
      <xdr:col>156</xdr:col>
      <xdr:colOff>123825</xdr:colOff>
      <xdr:row>6</xdr:row>
      <xdr:rowOff>76200</xdr:rowOff>
    </xdr:to>
    <xdr:sp macro="" textlink="">
      <xdr:nvSpPr>
        <xdr:cNvPr id="1014" name="Line 228"/>
        <xdr:cNvSpPr>
          <a:spLocks noChangeShapeType="1"/>
        </xdr:cNvSpPr>
      </xdr:nvSpPr>
      <xdr:spPr bwMode="auto">
        <a:xfrm flipH="1" flipV="1">
          <a:off x="85298280" y="1028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7</xdr:row>
      <xdr:rowOff>133350</xdr:rowOff>
    </xdr:from>
    <xdr:to>
      <xdr:col>156</xdr:col>
      <xdr:colOff>123825</xdr:colOff>
      <xdr:row>7</xdr:row>
      <xdr:rowOff>133350</xdr:rowOff>
    </xdr:to>
    <xdr:sp macro="" textlink="">
      <xdr:nvSpPr>
        <xdr:cNvPr id="1015" name="Line 229"/>
        <xdr:cNvSpPr>
          <a:spLocks noChangeShapeType="1"/>
        </xdr:cNvSpPr>
      </xdr:nvSpPr>
      <xdr:spPr bwMode="auto">
        <a:xfrm flipH="1">
          <a:off x="85298280" y="122301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8</xdr:row>
      <xdr:rowOff>76200</xdr:rowOff>
    </xdr:from>
    <xdr:to>
      <xdr:col>156</xdr:col>
      <xdr:colOff>123825</xdr:colOff>
      <xdr:row>9</xdr:row>
      <xdr:rowOff>142875</xdr:rowOff>
    </xdr:to>
    <xdr:sp macro="" textlink="">
      <xdr:nvSpPr>
        <xdr:cNvPr id="1016" name="Line 230"/>
        <xdr:cNvSpPr>
          <a:spLocks noChangeShapeType="1"/>
        </xdr:cNvSpPr>
      </xdr:nvSpPr>
      <xdr:spPr bwMode="auto">
        <a:xfrm>
          <a:off x="85422105" y="130302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8</xdr:row>
      <xdr:rowOff>76200</xdr:rowOff>
    </xdr:from>
    <xdr:to>
      <xdr:col>156</xdr:col>
      <xdr:colOff>123825</xdr:colOff>
      <xdr:row>8</xdr:row>
      <xdr:rowOff>76200</xdr:rowOff>
    </xdr:to>
    <xdr:sp macro="" textlink="">
      <xdr:nvSpPr>
        <xdr:cNvPr id="1017" name="Line 231"/>
        <xdr:cNvSpPr>
          <a:spLocks noChangeShapeType="1"/>
        </xdr:cNvSpPr>
      </xdr:nvSpPr>
      <xdr:spPr bwMode="auto">
        <a:xfrm flipH="1" flipV="1">
          <a:off x="85298280" y="130302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9</xdr:row>
      <xdr:rowOff>133350</xdr:rowOff>
    </xdr:from>
    <xdr:to>
      <xdr:col>156</xdr:col>
      <xdr:colOff>123825</xdr:colOff>
      <xdr:row>9</xdr:row>
      <xdr:rowOff>133350</xdr:rowOff>
    </xdr:to>
    <xdr:sp macro="" textlink="">
      <xdr:nvSpPr>
        <xdr:cNvPr id="1018" name="Line 232"/>
        <xdr:cNvSpPr>
          <a:spLocks noChangeShapeType="1"/>
        </xdr:cNvSpPr>
      </xdr:nvSpPr>
      <xdr:spPr bwMode="auto">
        <a:xfrm flipH="1">
          <a:off x="85298280" y="149733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12</xdr:row>
      <xdr:rowOff>76200</xdr:rowOff>
    </xdr:from>
    <xdr:to>
      <xdr:col>156</xdr:col>
      <xdr:colOff>123825</xdr:colOff>
      <xdr:row>13</xdr:row>
      <xdr:rowOff>142875</xdr:rowOff>
    </xdr:to>
    <xdr:sp macro="" textlink="">
      <xdr:nvSpPr>
        <xdr:cNvPr id="1019" name="Line 233"/>
        <xdr:cNvSpPr>
          <a:spLocks noChangeShapeType="1"/>
        </xdr:cNvSpPr>
      </xdr:nvSpPr>
      <xdr:spPr bwMode="auto">
        <a:xfrm>
          <a:off x="85422105" y="185166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12</xdr:row>
      <xdr:rowOff>76200</xdr:rowOff>
    </xdr:from>
    <xdr:to>
      <xdr:col>156</xdr:col>
      <xdr:colOff>123825</xdr:colOff>
      <xdr:row>12</xdr:row>
      <xdr:rowOff>76200</xdr:rowOff>
    </xdr:to>
    <xdr:sp macro="" textlink="">
      <xdr:nvSpPr>
        <xdr:cNvPr id="1020" name="Line 234"/>
        <xdr:cNvSpPr>
          <a:spLocks noChangeShapeType="1"/>
        </xdr:cNvSpPr>
      </xdr:nvSpPr>
      <xdr:spPr bwMode="auto">
        <a:xfrm flipH="1" flipV="1">
          <a:off x="85298280" y="185166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13</xdr:row>
      <xdr:rowOff>133350</xdr:rowOff>
    </xdr:from>
    <xdr:to>
      <xdr:col>156</xdr:col>
      <xdr:colOff>123825</xdr:colOff>
      <xdr:row>13</xdr:row>
      <xdr:rowOff>133350</xdr:rowOff>
    </xdr:to>
    <xdr:sp macro="" textlink="">
      <xdr:nvSpPr>
        <xdr:cNvPr id="1021" name="Line 235"/>
        <xdr:cNvSpPr>
          <a:spLocks noChangeShapeType="1"/>
        </xdr:cNvSpPr>
      </xdr:nvSpPr>
      <xdr:spPr bwMode="auto">
        <a:xfrm flipH="1">
          <a:off x="85298280" y="204597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14</xdr:row>
      <xdr:rowOff>76200</xdr:rowOff>
    </xdr:from>
    <xdr:to>
      <xdr:col>156</xdr:col>
      <xdr:colOff>123825</xdr:colOff>
      <xdr:row>15</xdr:row>
      <xdr:rowOff>142875</xdr:rowOff>
    </xdr:to>
    <xdr:sp macro="" textlink="">
      <xdr:nvSpPr>
        <xdr:cNvPr id="1022" name="Line 236"/>
        <xdr:cNvSpPr>
          <a:spLocks noChangeShapeType="1"/>
        </xdr:cNvSpPr>
      </xdr:nvSpPr>
      <xdr:spPr bwMode="auto">
        <a:xfrm>
          <a:off x="85422105" y="212598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14</xdr:row>
      <xdr:rowOff>76200</xdr:rowOff>
    </xdr:from>
    <xdr:to>
      <xdr:col>156</xdr:col>
      <xdr:colOff>123825</xdr:colOff>
      <xdr:row>14</xdr:row>
      <xdr:rowOff>76200</xdr:rowOff>
    </xdr:to>
    <xdr:sp macro="" textlink="">
      <xdr:nvSpPr>
        <xdr:cNvPr id="1023" name="Line 237"/>
        <xdr:cNvSpPr>
          <a:spLocks noChangeShapeType="1"/>
        </xdr:cNvSpPr>
      </xdr:nvSpPr>
      <xdr:spPr bwMode="auto">
        <a:xfrm flipH="1" flipV="1">
          <a:off x="85298280" y="212598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15</xdr:row>
      <xdr:rowOff>133350</xdr:rowOff>
    </xdr:from>
    <xdr:to>
      <xdr:col>156</xdr:col>
      <xdr:colOff>123825</xdr:colOff>
      <xdr:row>15</xdr:row>
      <xdr:rowOff>133350</xdr:rowOff>
    </xdr:to>
    <xdr:sp macro="" textlink="">
      <xdr:nvSpPr>
        <xdr:cNvPr id="1024" name="Line 238"/>
        <xdr:cNvSpPr>
          <a:spLocks noChangeShapeType="1"/>
        </xdr:cNvSpPr>
      </xdr:nvSpPr>
      <xdr:spPr bwMode="auto">
        <a:xfrm flipH="1">
          <a:off x="85298280" y="232029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123825</xdr:colOff>
      <xdr:row>10</xdr:row>
      <xdr:rowOff>76200</xdr:rowOff>
    </xdr:from>
    <xdr:to>
      <xdr:col>156</xdr:col>
      <xdr:colOff>123825</xdr:colOff>
      <xdr:row>11</xdr:row>
      <xdr:rowOff>142875</xdr:rowOff>
    </xdr:to>
    <xdr:sp macro="" textlink="">
      <xdr:nvSpPr>
        <xdr:cNvPr id="1025" name="Line 240"/>
        <xdr:cNvSpPr>
          <a:spLocks noChangeShapeType="1"/>
        </xdr:cNvSpPr>
      </xdr:nvSpPr>
      <xdr:spPr bwMode="auto">
        <a:xfrm>
          <a:off x="85422105" y="1577340"/>
          <a:ext cx="0" cy="194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10</xdr:row>
      <xdr:rowOff>76200</xdr:rowOff>
    </xdr:from>
    <xdr:to>
      <xdr:col>156</xdr:col>
      <xdr:colOff>123825</xdr:colOff>
      <xdr:row>10</xdr:row>
      <xdr:rowOff>76200</xdr:rowOff>
    </xdr:to>
    <xdr:sp macro="" textlink="">
      <xdr:nvSpPr>
        <xdr:cNvPr id="1026" name="Line 241"/>
        <xdr:cNvSpPr>
          <a:spLocks noChangeShapeType="1"/>
        </xdr:cNvSpPr>
      </xdr:nvSpPr>
      <xdr:spPr bwMode="auto">
        <a:xfrm flipH="1" flipV="1">
          <a:off x="85298280" y="157734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156</xdr:col>
      <xdr:colOff>0</xdr:colOff>
      <xdr:row>11</xdr:row>
      <xdr:rowOff>133350</xdr:rowOff>
    </xdr:from>
    <xdr:to>
      <xdr:col>156</xdr:col>
      <xdr:colOff>123825</xdr:colOff>
      <xdr:row>11</xdr:row>
      <xdr:rowOff>133350</xdr:rowOff>
    </xdr:to>
    <xdr:sp macro="" textlink="">
      <xdr:nvSpPr>
        <xdr:cNvPr id="1027" name="Line 242"/>
        <xdr:cNvSpPr>
          <a:spLocks noChangeShapeType="1"/>
        </xdr:cNvSpPr>
      </xdr:nvSpPr>
      <xdr:spPr bwMode="auto">
        <a:xfrm flipH="1">
          <a:off x="85298280" y="17716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668</xdr:row>
      <xdr:rowOff>95250</xdr:rowOff>
    </xdr:from>
    <xdr:to>
      <xdr:col>5</xdr:col>
      <xdr:colOff>0</xdr:colOff>
      <xdr:row>668</xdr:row>
      <xdr:rowOff>95250</xdr:rowOff>
    </xdr:to>
    <xdr:sp macro="" textlink="">
      <xdr:nvSpPr>
        <xdr:cNvPr id="732380" name="Line 1"/>
        <xdr:cNvSpPr>
          <a:spLocks noChangeShapeType="1"/>
        </xdr:cNvSpPr>
      </xdr:nvSpPr>
      <xdr:spPr bwMode="auto">
        <a:xfrm flipV="1">
          <a:off x="3067050" y="9667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669</xdr:row>
      <xdr:rowOff>104775</xdr:rowOff>
    </xdr:from>
    <xdr:to>
      <xdr:col>5</xdr:col>
      <xdr:colOff>0</xdr:colOff>
      <xdr:row>669</xdr:row>
      <xdr:rowOff>104775</xdr:rowOff>
    </xdr:to>
    <xdr:sp macro="" textlink="">
      <xdr:nvSpPr>
        <xdr:cNvPr id="732381" name="Line 2"/>
        <xdr:cNvSpPr>
          <a:spLocks noChangeShapeType="1"/>
        </xdr:cNvSpPr>
      </xdr:nvSpPr>
      <xdr:spPr bwMode="auto">
        <a:xfrm flipV="1">
          <a:off x="3067050" y="9683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zoomScale="75" zoomScaleNormal="75" workbookViewId="0">
      <pane ySplit="35" topLeftCell="A36" activePane="bottomLeft" state="frozen"/>
      <selection pane="bottomLeft" activeCell="J49" sqref="J49"/>
    </sheetView>
  </sheetViews>
  <sheetFormatPr defaultRowHeight="16.5" x14ac:dyDescent="0.3"/>
  <cols>
    <col min="1" max="1" width="11" style="463" customWidth="1"/>
    <col min="2" max="2" width="9.85546875" style="463" customWidth="1"/>
    <col min="3" max="3" width="2.5703125" style="463" customWidth="1"/>
    <col min="4" max="4" width="9.85546875" style="463" customWidth="1"/>
    <col min="5" max="5" width="2.5703125" style="463" customWidth="1"/>
    <col min="6" max="7" width="14" style="463" customWidth="1"/>
    <col min="8" max="8" width="12" style="463" customWidth="1"/>
    <col min="9" max="9" width="9.140625" style="464" customWidth="1"/>
    <col min="10" max="10" width="14" style="463" customWidth="1"/>
    <col min="11" max="11" width="12" style="463" customWidth="1"/>
    <col min="12" max="12" width="9.85546875" style="463" customWidth="1"/>
    <col min="13" max="13" width="9.140625" style="463" customWidth="1"/>
    <col min="14" max="14" width="16" style="463" bestFit="1" customWidth="1"/>
    <col min="15" max="15" width="10" style="463" customWidth="1"/>
    <col min="16" max="16" width="9.42578125" style="463" bestFit="1" customWidth="1"/>
    <col min="17" max="17" width="9.140625" style="463"/>
    <col min="18" max="18" width="16.28515625" style="463" customWidth="1"/>
    <col min="19" max="19" width="9.5703125" style="464" bestFit="1" customWidth="1"/>
    <col min="20" max="16384" width="9.140625" style="463"/>
  </cols>
  <sheetData>
    <row r="1" spans="1:19" s="549" customFormat="1" ht="20.25" x14ac:dyDescent="0.35">
      <c r="A1" s="868" t="s">
        <v>387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70"/>
      <c r="S1" s="550"/>
    </row>
    <row r="2" spans="1:19" s="549" customFormat="1" ht="21" thickBot="1" x14ac:dyDescent="0.4">
      <c r="A2" s="842" t="s">
        <v>518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4"/>
      <c r="S2" s="550"/>
    </row>
    <row r="3" spans="1:19" ht="18" thickBot="1" x14ac:dyDescent="0.35">
      <c r="A3" s="808"/>
      <c r="B3" s="809" t="s">
        <v>395</v>
      </c>
      <c r="C3" s="810"/>
      <c r="D3" s="810"/>
      <c r="E3" s="811"/>
      <c r="F3" s="812" t="s">
        <v>398</v>
      </c>
      <c r="G3" s="809" t="s">
        <v>401</v>
      </c>
      <c r="H3" s="811"/>
      <c r="I3" s="813" t="s">
        <v>571</v>
      </c>
      <c r="J3" s="814"/>
      <c r="K3" s="814"/>
      <c r="L3" s="815"/>
      <c r="N3" s="465" t="s">
        <v>0</v>
      </c>
      <c r="O3" s="466"/>
      <c r="P3" s="467"/>
      <c r="R3" s="465" t="s">
        <v>468</v>
      </c>
      <c r="S3" s="467"/>
    </row>
    <row r="4" spans="1:19" ht="18" thickBot="1" x14ac:dyDescent="0.35">
      <c r="A4" s="816"/>
      <c r="B4" s="817" t="s">
        <v>396</v>
      </c>
      <c r="C4" s="818"/>
      <c r="D4" s="818"/>
      <c r="E4" s="819"/>
      <c r="F4" s="820" t="s">
        <v>345</v>
      </c>
      <c r="G4" s="817" t="s">
        <v>402</v>
      </c>
      <c r="H4" s="819"/>
      <c r="I4" s="821" t="s">
        <v>70</v>
      </c>
      <c r="J4" s="822" t="s">
        <v>1</v>
      </c>
      <c r="K4" s="809"/>
      <c r="L4" s="823" t="s">
        <v>508</v>
      </c>
      <c r="N4" s="468" t="s">
        <v>367</v>
      </c>
      <c r="O4" s="469"/>
      <c r="P4" s="470"/>
      <c r="R4" s="471" t="s">
        <v>192</v>
      </c>
      <c r="S4" s="472"/>
    </row>
    <row r="5" spans="1:19" ht="17.25" x14ac:dyDescent="0.3">
      <c r="A5" s="824" t="s">
        <v>70</v>
      </c>
      <c r="B5" s="821" t="s">
        <v>397</v>
      </c>
      <c r="C5" s="825"/>
      <c r="D5" s="825" t="s">
        <v>397</v>
      </c>
      <c r="E5" s="826"/>
      <c r="F5" s="820" t="s">
        <v>399</v>
      </c>
      <c r="G5" s="821" t="s">
        <v>397</v>
      </c>
      <c r="H5" s="825" t="s">
        <v>397</v>
      </c>
      <c r="I5" s="827" t="s">
        <v>76</v>
      </c>
      <c r="J5" s="828" t="s">
        <v>397</v>
      </c>
      <c r="K5" s="829" t="s">
        <v>397</v>
      </c>
      <c r="L5" s="830" t="s">
        <v>509</v>
      </c>
      <c r="N5" s="471"/>
      <c r="O5" s="473"/>
      <c r="P5" s="474"/>
      <c r="R5" s="471"/>
      <c r="S5" s="472"/>
    </row>
    <row r="6" spans="1:19" ht="18" thickBot="1" x14ac:dyDescent="0.35">
      <c r="A6" s="831" t="s">
        <v>76</v>
      </c>
      <c r="B6" s="832" t="s">
        <v>74</v>
      </c>
      <c r="C6" s="833"/>
      <c r="D6" s="833" t="s">
        <v>69</v>
      </c>
      <c r="E6" s="834"/>
      <c r="F6" s="835" t="s">
        <v>400</v>
      </c>
      <c r="G6" s="832" t="s">
        <v>74</v>
      </c>
      <c r="H6" s="833" t="s">
        <v>69</v>
      </c>
      <c r="I6" s="836" t="s">
        <v>2</v>
      </c>
      <c r="J6" s="837" t="s">
        <v>74</v>
      </c>
      <c r="K6" s="838" t="s">
        <v>69</v>
      </c>
      <c r="L6" s="839" t="s">
        <v>400</v>
      </c>
      <c r="N6" s="475" t="s">
        <v>207</v>
      </c>
      <c r="O6" s="473" t="s">
        <v>0</v>
      </c>
      <c r="P6" s="474"/>
      <c r="R6" s="475" t="s">
        <v>207</v>
      </c>
      <c r="S6" s="476" t="s">
        <v>2</v>
      </c>
    </row>
    <row r="7" spans="1:19" ht="15" hidden="1" customHeight="1" x14ac:dyDescent="0.3">
      <c r="A7" s="477" t="s">
        <v>225</v>
      </c>
      <c r="B7" s="478">
        <v>5652</v>
      </c>
      <c r="C7" s="479" t="s">
        <v>474</v>
      </c>
      <c r="D7" s="478"/>
      <c r="E7" s="479"/>
      <c r="F7" s="480">
        <v>2345</v>
      </c>
      <c r="G7" s="481">
        <f t="shared" ref="G7:G40" si="0">+B7/F7</f>
        <v>2.4102345415778252</v>
      </c>
      <c r="H7" s="482"/>
      <c r="I7" s="483">
        <v>0.29799999999999999</v>
      </c>
      <c r="J7" s="478">
        <f t="shared" ref="J7:J15" si="1">+B7*$I$58/$I7</f>
        <v>42225.624161073822</v>
      </c>
      <c r="K7" s="478"/>
      <c r="L7" s="484">
        <f t="shared" ref="L7:L15" si="2">+F7*I$58/$I7</f>
        <v>17519.300894854587</v>
      </c>
      <c r="N7" s="471">
        <v>1960</v>
      </c>
      <c r="P7" s="474"/>
      <c r="R7" s="471">
        <v>1960</v>
      </c>
      <c r="S7" s="472">
        <v>0.29799999999999999</v>
      </c>
    </row>
    <row r="8" spans="1:19" ht="15" hidden="1" customHeight="1" x14ac:dyDescent="0.3">
      <c r="A8" s="477" t="s">
        <v>226</v>
      </c>
      <c r="B8" s="478">
        <v>5745</v>
      </c>
      <c r="C8" s="479" t="s">
        <v>474</v>
      </c>
      <c r="D8" s="478"/>
      <c r="E8" s="479"/>
      <c r="F8" s="480">
        <v>2424</v>
      </c>
      <c r="G8" s="481">
        <f t="shared" si="0"/>
        <v>2.370049504950495</v>
      </c>
      <c r="H8" s="482"/>
      <c r="I8" s="485">
        <f t="shared" ref="I8:I49" si="3">((+S7*4)+(S8*8))/12</f>
        <v>0.29866666666666664</v>
      </c>
      <c r="J8" s="478">
        <f t="shared" si="1"/>
        <v>42824.614955357145</v>
      </c>
      <c r="K8" s="478"/>
      <c r="L8" s="484">
        <f t="shared" si="2"/>
        <v>18069.080357142859</v>
      </c>
      <c r="M8" s="486"/>
      <c r="N8" s="471">
        <v>1961</v>
      </c>
      <c r="P8" s="474"/>
      <c r="R8" s="471">
        <v>1961</v>
      </c>
      <c r="S8" s="472">
        <v>0.29899999999999999</v>
      </c>
    </row>
    <row r="9" spans="1:19" ht="15" hidden="1" customHeight="1" x14ac:dyDescent="0.3">
      <c r="A9" s="477" t="s">
        <v>227</v>
      </c>
      <c r="B9" s="478">
        <v>6147</v>
      </c>
      <c r="C9" s="479" t="s">
        <v>474</v>
      </c>
      <c r="D9" s="478"/>
      <c r="E9" s="479"/>
      <c r="F9" s="480">
        <v>2572</v>
      </c>
      <c r="G9" s="481">
        <f t="shared" si="0"/>
        <v>2.3899688958009331</v>
      </c>
      <c r="H9" s="482"/>
      <c r="I9" s="485">
        <f t="shared" si="3"/>
        <v>0.30166666666666669</v>
      </c>
      <c r="J9" s="478">
        <f t="shared" si="1"/>
        <v>45365.53922651933</v>
      </c>
      <c r="K9" s="478"/>
      <c r="L9" s="484">
        <f t="shared" si="2"/>
        <v>18981.644198895025</v>
      </c>
      <c r="M9" s="486"/>
      <c r="N9" s="471">
        <v>1962</v>
      </c>
      <c r="P9" s="474"/>
      <c r="R9" s="471">
        <v>1962</v>
      </c>
      <c r="S9" s="472">
        <v>0.30299999999999999</v>
      </c>
    </row>
    <row r="10" spans="1:19" ht="15" hidden="1" customHeight="1" x14ac:dyDescent="0.3">
      <c r="A10" s="477" t="s">
        <v>228</v>
      </c>
      <c r="B10" s="478">
        <v>6424</v>
      </c>
      <c r="C10" s="479" t="s">
        <v>474</v>
      </c>
      <c r="D10" s="478"/>
      <c r="E10" s="479"/>
      <c r="F10" s="480">
        <v>2629</v>
      </c>
      <c r="G10" s="481">
        <f t="shared" si="0"/>
        <v>2.4435146443514646</v>
      </c>
      <c r="H10" s="482"/>
      <c r="I10" s="485">
        <f t="shared" si="3"/>
        <v>0.30499999999999999</v>
      </c>
      <c r="J10" s="478">
        <f t="shared" si="1"/>
        <v>46891.689617486343</v>
      </c>
      <c r="K10" s="478"/>
      <c r="L10" s="484">
        <f t="shared" si="2"/>
        <v>19190.263387978142</v>
      </c>
      <c r="M10" s="486"/>
      <c r="N10" s="471">
        <v>1963</v>
      </c>
      <c r="P10" s="474"/>
      <c r="R10" s="471">
        <v>1963</v>
      </c>
      <c r="S10" s="472">
        <v>0.30599999999999999</v>
      </c>
    </row>
    <row r="11" spans="1:19" ht="15" hidden="1" customHeight="1" x14ac:dyDescent="0.3">
      <c r="A11" s="477" t="s">
        <v>229</v>
      </c>
      <c r="B11" s="478">
        <v>6566</v>
      </c>
      <c r="C11" s="479" t="s">
        <v>475</v>
      </c>
      <c r="D11" s="478"/>
      <c r="E11" s="479"/>
      <c r="F11" s="480">
        <v>2736</v>
      </c>
      <c r="G11" s="481">
        <f t="shared" si="0"/>
        <v>2.3998538011695905</v>
      </c>
      <c r="H11" s="482"/>
      <c r="I11" s="485">
        <f t="shared" si="3"/>
        <v>0.30866666666666664</v>
      </c>
      <c r="J11" s="478">
        <f t="shared" si="1"/>
        <v>47358.87041036717</v>
      </c>
      <c r="K11" s="478"/>
      <c r="L11" s="484">
        <f t="shared" si="2"/>
        <v>19734.064794816415</v>
      </c>
      <c r="M11" s="486"/>
      <c r="N11" s="471">
        <v>1964</v>
      </c>
      <c r="P11" s="474"/>
      <c r="R11" s="471">
        <v>1964</v>
      </c>
      <c r="S11" s="487">
        <v>0.31</v>
      </c>
    </row>
    <row r="12" spans="1:19" hidden="1" x14ac:dyDescent="0.3">
      <c r="A12" s="477" t="s">
        <v>230</v>
      </c>
      <c r="B12" s="478">
        <v>6865</v>
      </c>
      <c r="C12" s="479" t="s">
        <v>475</v>
      </c>
      <c r="D12" s="478"/>
      <c r="E12" s="479"/>
      <c r="F12" s="480">
        <v>2910</v>
      </c>
      <c r="G12" s="481">
        <f t="shared" si="0"/>
        <v>2.359106529209622</v>
      </c>
      <c r="H12" s="482"/>
      <c r="I12" s="485">
        <f t="shared" si="3"/>
        <v>0.3133333333333333</v>
      </c>
      <c r="J12" s="478">
        <f t="shared" si="1"/>
        <v>48778.015957446813</v>
      </c>
      <c r="K12" s="478"/>
      <c r="L12" s="484">
        <f t="shared" si="2"/>
        <v>20676.47872340426</v>
      </c>
      <c r="M12" s="486"/>
      <c r="N12" s="471">
        <v>1965</v>
      </c>
      <c r="P12" s="474"/>
      <c r="R12" s="471">
        <v>1965</v>
      </c>
      <c r="S12" s="472">
        <v>0.315</v>
      </c>
    </row>
    <row r="13" spans="1:19" hidden="1" x14ac:dyDescent="0.3">
      <c r="A13" s="477" t="s">
        <v>231</v>
      </c>
      <c r="B13" s="478">
        <v>7174</v>
      </c>
      <c r="C13" s="479" t="s">
        <v>476</v>
      </c>
      <c r="D13" s="478"/>
      <c r="E13" s="479"/>
      <c r="F13" s="480">
        <v>3219</v>
      </c>
      <c r="G13" s="481">
        <f t="shared" si="0"/>
        <v>2.2286424355389873</v>
      </c>
      <c r="H13" s="482"/>
      <c r="I13" s="485">
        <f t="shared" si="3"/>
        <v>0.32166666666666671</v>
      </c>
      <c r="J13" s="478">
        <f t="shared" si="1"/>
        <v>49653.001036269423</v>
      </c>
      <c r="K13" s="478"/>
      <c r="L13" s="484">
        <f t="shared" si="2"/>
        <v>22279.482901554402</v>
      </c>
      <c r="M13" s="486"/>
      <c r="N13" s="471">
        <v>1966</v>
      </c>
      <c r="P13" s="474"/>
      <c r="R13" s="471">
        <v>1966</v>
      </c>
      <c r="S13" s="472">
        <v>0.32500000000000001</v>
      </c>
    </row>
    <row r="14" spans="1:19" hidden="1" x14ac:dyDescent="0.3">
      <c r="A14" s="477" t="s">
        <v>232</v>
      </c>
      <c r="B14" s="478">
        <v>7673</v>
      </c>
      <c r="C14" s="479" t="s">
        <v>476</v>
      </c>
      <c r="D14" s="478"/>
      <c r="E14" s="479"/>
      <c r="F14" s="480">
        <v>3396</v>
      </c>
      <c r="G14" s="481">
        <f t="shared" si="0"/>
        <v>2.2594228504122498</v>
      </c>
      <c r="H14" s="482"/>
      <c r="I14" s="485">
        <f t="shared" si="3"/>
        <v>0.33100000000000002</v>
      </c>
      <c r="J14" s="478">
        <f t="shared" si="1"/>
        <v>51609.231621349441</v>
      </c>
      <c r="K14" s="478"/>
      <c r="L14" s="484">
        <f t="shared" si="2"/>
        <v>22841.776435045314</v>
      </c>
      <c r="M14" s="486"/>
      <c r="N14" s="471">
        <v>1967</v>
      </c>
      <c r="P14" s="474"/>
      <c r="R14" s="471">
        <v>1967</v>
      </c>
      <c r="S14" s="472">
        <v>0.33400000000000002</v>
      </c>
    </row>
    <row r="15" spans="1:19" hidden="1" x14ac:dyDescent="0.3">
      <c r="A15" s="477" t="s">
        <v>233</v>
      </c>
      <c r="B15" s="478">
        <v>8377</v>
      </c>
      <c r="C15" s="479" t="s">
        <v>476</v>
      </c>
      <c r="D15" s="478"/>
      <c r="E15" s="479"/>
      <c r="F15" s="480">
        <v>3658</v>
      </c>
      <c r="G15" s="481">
        <f t="shared" si="0"/>
        <v>2.2900492072170584</v>
      </c>
      <c r="H15" s="482"/>
      <c r="I15" s="485">
        <f t="shared" si="3"/>
        <v>0.34333333333333332</v>
      </c>
      <c r="J15" s="478">
        <f t="shared" si="1"/>
        <v>54320.371844660192</v>
      </c>
      <c r="K15" s="478"/>
      <c r="L15" s="484">
        <f t="shared" si="2"/>
        <v>23720.176699029125</v>
      </c>
      <c r="M15" s="486"/>
      <c r="N15" s="471">
        <v>1968</v>
      </c>
      <c r="P15" s="474"/>
      <c r="R15" s="471">
        <v>1968</v>
      </c>
      <c r="S15" s="472">
        <v>0.34799999999999998</v>
      </c>
    </row>
    <row r="16" spans="1:19" ht="15" hidden="1" customHeight="1" x14ac:dyDescent="0.3">
      <c r="A16" s="477" t="s">
        <v>234</v>
      </c>
      <c r="B16" s="478">
        <f>+Table2!K16</f>
        <v>8815</v>
      </c>
      <c r="C16" s="479" t="s">
        <v>475</v>
      </c>
      <c r="D16" s="478">
        <f>+Table2!M16</f>
        <v>5814</v>
      </c>
      <c r="E16" s="479" t="s">
        <v>472</v>
      </c>
      <c r="F16" s="480">
        <v>4034</v>
      </c>
      <c r="G16" s="481">
        <f t="shared" si="0"/>
        <v>2.1851760039662866</v>
      </c>
      <c r="H16" s="481">
        <f t="shared" ref="H16:H33" si="4">D16/F16</f>
        <v>1.4412493802677244</v>
      </c>
      <c r="I16" s="485">
        <f t="shared" si="3"/>
        <v>0.36066666666666664</v>
      </c>
      <c r="J16" s="478">
        <f t="shared" ref="J16:J47" si="5">+B16*$I$67/$I16</f>
        <v>63000.365064695019</v>
      </c>
      <c r="K16" s="478">
        <f t="shared" ref="K16:K47" si="6">+D16*$I$67/$I16</f>
        <v>41552.367837338272</v>
      </c>
      <c r="L16" s="484">
        <f t="shared" ref="L16:L47" si="7">+F16*I$67/$I16</f>
        <v>28830.796672828099</v>
      </c>
      <c r="M16" s="486"/>
      <c r="N16" s="471">
        <v>1969</v>
      </c>
      <c r="P16" s="474"/>
      <c r="R16" s="471">
        <v>1969</v>
      </c>
      <c r="S16" s="472">
        <v>0.36699999999999999</v>
      </c>
    </row>
    <row r="17" spans="1:19" ht="15" hidden="1" customHeight="1" x14ac:dyDescent="0.3">
      <c r="A17" s="477" t="s">
        <v>235</v>
      </c>
      <c r="B17" s="478">
        <f>+Table2!K17</f>
        <v>9728</v>
      </c>
      <c r="C17" s="479" t="s">
        <v>473</v>
      </c>
      <c r="D17" s="478">
        <f>+Table2!M17</f>
        <v>6411</v>
      </c>
      <c r="E17" s="479" t="s">
        <v>472</v>
      </c>
      <c r="F17" s="480">
        <v>4165</v>
      </c>
      <c r="G17" s="481">
        <f t="shared" si="0"/>
        <v>2.3356542617046818</v>
      </c>
      <c r="H17" s="481">
        <f t="shared" si="4"/>
        <v>1.5392557022809124</v>
      </c>
      <c r="I17" s="485">
        <f t="shared" si="3"/>
        <v>0.38100000000000001</v>
      </c>
      <c r="J17" s="478">
        <f t="shared" si="5"/>
        <v>65815.069116360464</v>
      </c>
      <c r="K17" s="478">
        <f t="shared" si="6"/>
        <v>43373.808398950139</v>
      </c>
      <c r="L17" s="484">
        <f t="shared" si="7"/>
        <v>28178.42957130359</v>
      </c>
      <c r="M17" s="486"/>
      <c r="N17" s="471">
        <v>1970</v>
      </c>
      <c r="P17" s="474"/>
      <c r="R17" s="471">
        <v>1970</v>
      </c>
      <c r="S17" s="472">
        <v>0.38800000000000001</v>
      </c>
    </row>
    <row r="18" spans="1:19" ht="15" hidden="1" customHeight="1" x14ac:dyDescent="0.3">
      <c r="A18" s="477" t="s">
        <v>236</v>
      </c>
      <c r="B18" s="478">
        <f>+Table2!K18</f>
        <v>10419</v>
      </c>
      <c r="C18" s="479" t="s">
        <v>473</v>
      </c>
      <c r="D18" s="478">
        <f>+Table2!M18</f>
        <v>6867</v>
      </c>
      <c r="E18" s="479" t="s">
        <v>472</v>
      </c>
      <c r="F18" s="480">
        <v>4340</v>
      </c>
      <c r="G18" s="481">
        <f t="shared" si="0"/>
        <v>2.4006912442396313</v>
      </c>
      <c r="H18" s="481">
        <f t="shared" si="4"/>
        <v>1.582258064516129</v>
      </c>
      <c r="I18" s="485">
        <f t="shared" si="3"/>
        <v>0.39933333333333332</v>
      </c>
      <c r="J18" s="478">
        <f t="shared" si="5"/>
        <v>67253.862270450758</v>
      </c>
      <c r="K18" s="478">
        <f t="shared" si="6"/>
        <v>44325.969115191998</v>
      </c>
      <c r="L18" s="484">
        <f t="shared" si="7"/>
        <v>28014.373956594329</v>
      </c>
      <c r="M18" s="486"/>
      <c r="N18" s="471">
        <v>1971</v>
      </c>
      <c r="P18" s="474"/>
      <c r="R18" s="471">
        <v>1971</v>
      </c>
      <c r="S18" s="472">
        <v>0.40500000000000003</v>
      </c>
    </row>
    <row r="19" spans="1:19" hidden="1" x14ac:dyDescent="0.3">
      <c r="A19" s="477" t="s">
        <v>237</v>
      </c>
      <c r="B19" s="478">
        <f>+Table2!K19</f>
        <v>10708</v>
      </c>
      <c r="C19" s="479"/>
      <c r="D19" s="478">
        <f>+Table2!M19</f>
        <v>6918</v>
      </c>
      <c r="E19" s="479" t="s">
        <v>471</v>
      </c>
      <c r="F19" s="480">
        <v>4689</v>
      </c>
      <c r="G19" s="481">
        <f t="shared" si="0"/>
        <v>2.2836425677116656</v>
      </c>
      <c r="H19" s="481">
        <f t="shared" si="4"/>
        <v>1.4753678822776712</v>
      </c>
      <c r="I19" s="485">
        <f t="shared" si="3"/>
        <v>0.41366666666666668</v>
      </c>
      <c r="J19" s="478">
        <f t="shared" si="5"/>
        <v>66724.386784850925</v>
      </c>
      <c r="K19" s="478">
        <f t="shared" si="6"/>
        <v>43107.892022562453</v>
      </c>
      <c r="L19" s="484">
        <f t="shared" si="7"/>
        <v>29218.402095084613</v>
      </c>
      <c r="M19" s="486"/>
      <c r="N19" s="471">
        <v>1972</v>
      </c>
      <c r="P19" s="474"/>
      <c r="R19" s="471">
        <v>1972</v>
      </c>
      <c r="S19" s="472">
        <v>0.41799999999999998</v>
      </c>
    </row>
    <row r="20" spans="1:19" hidden="1" x14ac:dyDescent="0.3">
      <c r="A20" s="477" t="s">
        <v>238</v>
      </c>
      <c r="B20" s="478">
        <f>+Table2!K20</f>
        <v>11289</v>
      </c>
      <c r="C20" s="479"/>
      <c r="D20" s="478">
        <f>+Table2!M20</f>
        <v>7329</v>
      </c>
      <c r="E20" s="479" t="s">
        <v>477</v>
      </c>
      <c r="F20" s="480">
        <v>5263</v>
      </c>
      <c r="G20" s="481">
        <f t="shared" si="0"/>
        <v>2.1449743492304769</v>
      </c>
      <c r="H20" s="481">
        <f t="shared" si="4"/>
        <v>1.3925517765532966</v>
      </c>
      <c r="I20" s="485">
        <f t="shared" si="3"/>
        <v>0.43533333333333335</v>
      </c>
      <c r="J20" s="478">
        <f t="shared" si="5"/>
        <v>66843.673047473203</v>
      </c>
      <c r="K20" s="478">
        <f t="shared" si="6"/>
        <v>43395.985451761102</v>
      </c>
      <c r="L20" s="484">
        <f t="shared" si="7"/>
        <v>31162.924196018379</v>
      </c>
      <c r="M20" s="486"/>
      <c r="N20" s="471">
        <v>1973</v>
      </c>
      <c r="P20" s="474"/>
      <c r="R20" s="471">
        <v>1973</v>
      </c>
      <c r="S20" s="472">
        <v>0.44400000000000001</v>
      </c>
    </row>
    <row r="21" spans="1:19" hidden="1" x14ac:dyDescent="0.3">
      <c r="A21" s="477" t="s">
        <v>239</v>
      </c>
      <c r="B21" s="478">
        <f>+Table2!K21</f>
        <v>12025</v>
      </c>
      <c r="C21" s="479"/>
      <c r="D21" s="478">
        <f>+Table2!M21</f>
        <v>8004</v>
      </c>
      <c r="E21" s="479" t="s">
        <v>471</v>
      </c>
      <c r="F21" s="480">
        <v>5841</v>
      </c>
      <c r="G21" s="481">
        <f t="shared" si="0"/>
        <v>2.058722821434686</v>
      </c>
      <c r="H21" s="481">
        <f t="shared" si="4"/>
        <v>1.3703133025166923</v>
      </c>
      <c r="I21" s="485">
        <f t="shared" si="3"/>
        <v>0.47666666666666663</v>
      </c>
      <c r="J21" s="478">
        <f t="shared" si="5"/>
        <v>65027.500000000015</v>
      </c>
      <c r="K21" s="478">
        <f t="shared" si="6"/>
        <v>43283.169230769243</v>
      </c>
      <c r="L21" s="484">
        <f t="shared" si="7"/>
        <v>31586.330769230775</v>
      </c>
      <c r="M21" s="486"/>
      <c r="N21" s="471">
        <v>1974</v>
      </c>
      <c r="P21" s="474"/>
      <c r="R21" s="471">
        <v>1974</v>
      </c>
      <c r="S21" s="472">
        <v>0.49299999999999999</v>
      </c>
    </row>
    <row r="22" spans="1:19" hidden="1" x14ac:dyDescent="0.3">
      <c r="A22" s="477" t="s">
        <v>240</v>
      </c>
      <c r="B22" s="478">
        <f>+Table2!K22</f>
        <v>13049</v>
      </c>
      <c r="C22" s="479"/>
      <c r="D22" s="478">
        <f>+Table2!M22</f>
        <v>8678</v>
      </c>
      <c r="E22" s="479" t="s">
        <v>471</v>
      </c>
      <c r="F22" s="480">
        <v>6427</v>
      </c>
      <c r="G22" s="481">
        <f t="shared" si="0"/>
        <v>2.0303407499611015</v>
      </c>
      <c r="H22" s="481">
        <f t="shared" si="4"/>
        <v>1.3502411700637933</v>
      </c>
      <c r="I22" s="485">
        <f t="shared" si="3"/>
        <v>0.52300000000000002</v>
      </c>
      <c r="J22" s="478">
        <f t="shared" si="5"/>
        <v>64313.522625876365</v>
      </c>
      <c r="K22" s="478">
        <f t="shared" si="6"/>
        <v>42770.537922243471</v>
      </c>
      <c r="L22" s="484">
        <f t="shared" si="7"/>
        <v>31676.221159974506</v>
      </c>
      <c r="M22" s="486"/>
      <c r="N22" s="471">
        <v>1975</v>
      </c>
      <c r="P22" s="474"/>
      <c r="R22" s="471">
        <v>1975</v>
      </c>
      <c r="S22" s="472">
        <v>0.53800000000000003</v>
      </c>
    </row>
    <row r="23" spans="1:19" hidden="1" x14ac:dyDescent="0.3">
      <c r="A23" s="477" t="s">
        <v>241</v>
      </c>
      <c r="B23" s="478">
        <f>+Table2!K23</f>
        <v>14481</v>
      </c>
      <c r="C23" s="479"/>
      <c r="D23" s="478">
        <f>+Table2!M23</f>
        <v>9401</v>
      </c>
      <c r="E23" s="479" t="s">
        <v>471</v>
      </c>
      <c r="F23" s="480">
        <v>7064</v>
      </c>
      <c r="G23" s="481">
        <f t="shared" si="0"/>
        <v>2.0499716874292186</v>
      </c>
      <c r="H23" s="481">
        <f t="shared" si="4"/>
        <v>1.3308323895809739</v>
      </c>
      <c r="I23" s="485">
        <f t="shared" si="3"/>
        <v>0.55866666666666664</v>
      </c>
      <c r="J23" s="478">
        <f t="shared" si="5"/>
        <v>66814.781026252997</v>
      </c>
      <c r="K23" s="478">
        <f t="shared" si="6"/>
        <v>43375.855011933185</v>
      </c>
      <c r="L23" s="484">
        <f t="shared" si="7"/>
        <v>32593.026252983298</v>
      </c>
      <c r="M23" s="486"/>
      <c r="N23" s="471">
        <v>1976</v>
      </c>
      <c r="P23" s="474"/>
      <c r="R23" s="471">
        <v>1976</v>
      </c>
      <c r="S23" s="472">
        <v>0.56899999999999995</v>
      </c>
    </row>
    <row r="24" spans="1:19" hidden="1" x14ac:dyDescent="0.3">
      <c r="A24" s="477" t="s">
        <v>242</v>
      </c>
      <c r="B24" s="478">
        <f>+Table2!K24</f>
        <v>15801</v>
      </c>
      <c r="C24" s="479"/>
      <c r="D24" s="478">
        <f>+Table2!M24</f>
        <v>10225</v>
      </c>
      <c r="E24" s="479"/>
      <c r="F24" s="480">
        <v>7728</v>
      </c>
      <c r="G24" s="481">
        <f t="shared" si="0"/>
        <v>2.0446428571428572</v>
      </c>
      <c r="H24" s="481">
        <f t="shared" si="4"/>
        <v>1.3231107660455486</v>
      </c>
      <c r="I24" s="485">
        <f t="shared" si="3"/>
        <v>0.59366666666666668</v>
      </c>
      <c r="J24" s="478">
        <f t="shared" si="5"/>
        <v>68607.037057832684</v>
      </c>
      <c r="K24" s="478">
        <f t="shared" si="6"/>
        <v>44396.36440202134</v>
      </c>
      <c r="L24" s="484">
        <f t="shared" si="7"/>
        <v>33554.533408197647</v>
      </c>
      <c r="M24" s="486"/>
      <c r="N24" s="471">
        <v>1977</v>
      </c>
      <c r="P24" s="474"/>
      <c r="R24" s="471">
        <v>1977</v>
      </c>
      <c r="S24" s="472">
        <v>0.60599999999999998</v>
      </c>
    </row>
    <row r="25" spans="1:19" hidden="1" x14ac:dyDescent="0.3">
      <c r="A25" s="477" t="s">
        <v>243</v>
      </c>
      <c r="B25" s="478">
        <f>+Table2!K25</f>
        <v>17032</v>
      </c>
      <c r="C25" s="479"/>
      <c r="D25" s="478">
        <f>+Table2!M25</f>
        <v>10952</v>
      </c>
      <c r="E25" s="479"/>
      <c r="F25" s="480">
        <v>8813</v>
      </c>
      <c r="G25" s="481">
        <f t="shared" si="0"/>
        <v>1.9325995688187905</v>
      </c>
      <c r="H25" s="481">
        <f t="shared" si="4"/>
        <v>1.242709633495972</v>
      </c>
      <c r="I25" s="485">
        <f t="shared" si="3"/>
        <v>0.63666666666666671</v>
      </c>
      <c r="J25" s="478">
        <f t="shared" si="5"/>
        <v>68957.306806282722</v>
      </c>
      <c r="K25" s="478">
        <f t="shared" si="6"/>
        <v>44341.264921465969</v>
      </c>
      <c r="L25" s="484">
        <f t="shared" si="7"/>
        <v>35681.114659685867</v>
      </c>
      <c r="M25" s="486"/>
      <c r="N25" s="471">
        <v>1978</v>
      </c>
      <c r="P25" s="474"/>
      <c r="R25" s="471">
        <v>1978</v>
      </c>
      <c r="S25" s="472">
        <v>0.65200000000000002</v>
      </c>
    </row>
    <row r="26" spans="1:19" hidden="1" x14ac:dyDescent="0.3">
      <c r="A26" s="477" t="s">
        <v>244</v>
      </c>
      <c r="B26" s="478">
        <f>+Table2!K26</f>
        <v>18336</v>
      </c>
      <c r="C26" s="479"/>
      <c r="D26" s="478">
        <f>+Table2!M26</f>
        <v>11807</v>
      </c>
      <c r="E26" s="479"/>
      <c r="F26" s="480">
        <v>9840</v>
      </c>
      <c r="G26" s="481">
        <f t="shared" si="0"/>
        <v>1.8634146341463416</v>
      </c>
      <c r="H26" s="481">
        <f t="shared" si="4"/>
        <v>1.1998983739837399</v>
      </c>
      <c r="I26" s="485">
        <f t="shared" si="3"/>
        <v>0.70133333333333336</v>
      </c>
      <c r="J26" s="478">
        <f t="shared" si="5"/>
        <v>67391.771863117872</v>
      </c>
      <c r="K26" s="478">
        <f t="shared" si="6"/>
        <v>43395.214353612166</v>
      </c>
      <c r="L26" s="484">
        <f t="shared" si="7"/>
        <v>36165.741444866922</v>
      </c>
      <c r="M26" s="486"/>
      <c r="N26" s="471">
        <v>1979</v>
      </c>
      <c r="P26" s="474"/>
      <c r="R26" s="471">
        <v>1979</v>
      </c>
      <c r="S26" s="472">
        <v>0.72599999999999998</v>
      </c>
    </row>
    <row r="27" spans="1:19" hidden="1" x14ac:dyDescent="0.3">
      <c r="A27" s="477" t="s">
        <v>245</v>
      </c>
      <c r="B27" s="478">
        <f>+Table2!K27</f>
        <v>19877</v>
      </c>
      <c r="C27" s="479"/>
      <c r="D27" s="478">
        <f>+Table2!M27</f>
        <v>12732</v>
      </c>
      <c r="E27" s="479"/>
      <c r="F27" s="480">
        <v>10725</v>
      </c>
      <c r="G27" s="481">
        <f t="shared" si="0"/>
        <v>1.8533333333333333</v>
      </c>
      <c r="H27" s="481">
        <f t="shared" si="4"/>
        <v>1.1871328671328671</v>
      </c>
      <c r="I27" s="485">
        <f t="shared" si="3"/>
        <v>0.79133333333333322</v>
      </c>
      <c r="J27" s="478">
        <f t="shared" si="5"/>
        <v>64746.773799494542</v>
      </c>
      <c r="K27" s="478">
        <f t="shared" si="6"/>
        <v>41472.854254422928</v>
      </c>
      <c r="L27" s="484">
        <f t="shared" si="7"/>
        <v>34935.309604043818</v>
      </c>
      <c r="M27" s="486"/>
      <c r="N27" s="471">
        <v>1980</v>
      </c>
      <c r="P27" s="474"/>
      <c r="R27" s="471">
        <v>1980</v>
      </c>
      <c r="S27" s="472">
        <v>0.82399999999999995</v>
      </c>
    </row>
    <row r="28" spans="1:19" hidden="1" x14ac:dyDescent="0.3">
      <c r="A28" s="477" t="s">
        <v>246</v>
      </c>
      <c r="B28" s="478">
        <f>+Table2!K28</f>
        <v>22430</v>
      </c>
      <c r="C28" s="479"/>
      <c r="D28" s="478">
        <f>+Table2!M28</f>
        <v>14040</v>
      </c>
      <c r="E28" s="479"/>
      <c r="F28" s="480">
        <v>11630</v>
      </c>
      <c r="G28" s="481">
        <f t="shared" si="0"/>
        <v>1.9286328460877042</v>
      </c>
      <c r="H28" s="481">
        <f t="shared" si="4"/>
        <v>1.2072226999140154</v>
      </c>
      <c r="I28" s="485">
        <f t="shared" si="3"/>
        <v>0.8806666666666666</v>
      </c>
      <c r="J28" s="478">
        <f t="shared" si="5"/>
        <v>65651.472369417126</v>
      </c>
      <c r="K28" s="478">
        <f t="shared" si="6"/>
        <v>41094.367903103717</v>
      </c>
      <c r="L28" s="484">
        <f t="shared" si="7"/>
        <v>34040.420136260414</v>
      </c>
      <c r="M28" s="486"/>
      <c r="N28" s="471">
        <v>1981</v>
      </c>
      <c r="P28" s="474"/>
      <c r="R28" s="471">
        <v>1981</v>
      </c>
      <c r="S28" s="472">
        <v>0.90900000000000003</v>
      </c>
    </row>
    <row r="29" spans="1:19" hidden="1" x14ac:dyDescent="0.3">
      <c r="A29" s="477" t="s">
        <v>247</v>
      </c>
      <c r="B29" s="478">
        <f>+Table2!K29</f>
        <v>24158</v>
      </c>
      <c r="C29" s="479"/>
      <c r="D29" s="478">
        <f>+Table2!M29</f>
        <v>15233</v>
      </c>
      <c r="E29" s="479"/>
      <c r="F29" s="480">
        <v>12024</v>
      </c>
      <c r="G29" s="481">
        <f t="shared" si="0"/>
        <v>2.0091483699268129</v>
      </c>
      <c r="H29" s="481">
        <f t="shared" si="4"/>
        <v>1.2668829008649367</v>
      </c>
      <c r="I29" s="485">
        <f t="shared" si="3"/>
        <v>0.94633333333333336</v>
      </c>
      <c r="J29" s="478">
        <f t="shared" si="5"/>
        <v>65802.681930257138</v>
      </c>
      <c r="K29" s="478">
        <f t="shared" si="6"/>
        <v>41492.352588939772</v>
      </c>
      <c r="L29" s="484">
        <f t="shared" si="7"/>
        <v>32751.52941176471</v>
      </c>
      <c r="M29" s="486"/>
      <c r="N29" s="471">
        <v>1982</v>
      </c>
      <c r="P29" s="474"/>
      <c r="R29" s="471">
        <v>1982</v>
      </c>
      <c r="S29" s="472">
        <v>0.96499999999999997</v>
      </c>
    </row>
    <row r="30" spans="1:19" hidden="1" x14ac:dyDescent="0.3">
      <c r="A30" s="477" t="s">
        <v>248</v>
      </c>
      <c r="B30" s="478">
        <f>+Table2!K30</f>
        <v>24681</v>
      </c>
      <c r="C30" s="479"/>
      <c r="D30" s="478">
        <f>+Table2!M30</f>
        <v>15440</v>
      </c>
      <c r="E30" s="479"/>
      <c r="F30" s="480">
        <v>12685</v>
      </c>
      <c r="G30" s="481">
        <f t="shared" si="0"/>
        <v>1.9456838785967678</v>
      </c>
      <c r="H30" s="481">
        <f t="shared" si="4"/>
        <v>1.2171856523452897</v>
      </c>
      <c r="I30" s="485">
        <f t="shared" si="3"/>
        <v>0.98566666666666658</v>
      </c>
      <c r="J30" s="478">
        <f t="shared" si="5"/>
        <v>64544.529252620916</v>
      </c>
      <c r="K30" s="478">
        <f t="shared" si="6"/>
        <v>40377.923571187021</v>
      </c>
      <c r="L30" s="484">
        <f t="shared" si="7"/>
        <v>33173.183970240119</v>
      </c>
      <c r="M30" s="486"/>
      <c r="N30" s="471">
        <v>1983</v>
      </c>
      <c r="P30" s="474"/>
      <c r="R30" s="471">
        <v>1983</v>
      </c>
      <c r="S30" s="472">
        <v>0.996</v>
      </c>
    </row>
    <row r="31" spans="1:19" hidden="1" x14ac:dyDescent="0.3">
      <c r="A31" s="477" t="s">
        <v>249</v>
      </c>
      <c r="B31" s="478">
        <f>+Table2!K31</f>
        <v>25667</v>
      </c>
      <c r="C31" s="479"/>
      <c r="D31" s="478">
        <f>+Table2!M31</f>
        <v>16249</v>
      </c>
      <c r="E31" s="479"/>
      <c r="F31" s="480">
        <v>13447</v>
      </c>
      <c r="G31" s="481">
        <f t="shared" si="0"/>
        <v>1.908752881683647</v>
      </c>
      <c r="H31" s="481">
        <f t="shared" si="4"/>
        <v>1.2083736149326987</v>
      </c>
      <c r="I31" s="485">
        <f t="shared" si="3"/>
        <v>1.0246666666666666</v>
      </c>
      <c r="J31" s="478">
        <f t="shared" si="5"/>
        <v>64568.285946649332</v>
      </c>
      <c r="K31" s="478">
        <f t="shared" si="6"/>
        <v>40876.225439167218</v>
      </c>
      <c r="L31" s="484">
        <f t="shared" si="7"/>
        <v>33827.472674040342</v>
      </c>
      <c r="M31" s="486"/>
      <c r="N31" s="471">
        <v>1984</v>
      </c>
      <c r="P31" s="474"/>
      <c r="R31" s="471">
        <v>1984</v>
      </c>
      <c r="S31" s="472">
        <v>1.0389999999999999</v>
      </c>
    </row>
    <row r="32" spans="1:19" hidden="1" x14ac:dyDescent="0.3">
      <c r="A32" s="477" t="s">
        <v>250</v>
      </c>
      <c r="B32" s="478">
        <f>+Table2!K32</f>
        <v>26806</v>
      </c>
      <c r="C32" s="479"/>
      <c r="D32" s="478">
        <f>+Table2!M32</f>
        <v>17099</v>
      </c>
      <c r="E32" s="479"/>
      <c r="F32" s="480">
        <v>14096</v>
      </c>
      <c r="G32" s="481">
        <f t="shared" si="0"/>
        <v>1.9016742338251986</v>
      </c>
      <c r="H32" s="481">
        <f t="shared" si="4"/>
        <v>1.2130391600454029</v>
      </c>
      <c r="I32" s="485">
        <f t="shared" si="3"/>
        <v>1.0636666666666665</v>
      </c>
      <c r="J32" s="478">
        <f t="shared" si="5"/>
        <v>64961.077405202144</v>
      </c>
      <c r="K32" s="478">
        <f t="shared" si="6"/>
        <v>41437.344719523673</v>
      </c>
      <c r="L32" s="484">
        <f t="shared" si="7"/>
        <v>34159.939830774063</v>
      </c>
      <c r="M32" s="486"/>
      <c r="N32" s="471">
        <v>1985</v>
      </c>
      <c r="P32" s="474"/>
      <c r="R32" s="471">
        <v>1985</v>
      </c>
      <c r="S32" s="472">
        <v>1.0760000000000001</v>
      </c>
    </row>
    <row r="33" spans="1:19" hidden="1" x14ac:dyDescent="0.3">
      <c r="A33" s="477" t="s">
        <v>251</v>
      </c>
      <c r="B33" s="478">
        <f>+Table2!K33</f>
        <v>27562</v>
      </c>
      <c r="C33" s="479"/>
      <c r="D33" s="478">
        <f>+Table2!M33</f>
        <v>17505</v>
      </c>
      <c r="E33" s="479"/>
      <c r="F33" s="480">
        <v>14884</v>
      </c>
      <c r="G33" s="481">
        <f t="shared" si="0"/>
        <v>1.8517871539908626</v>
      </c>
      <c r="H33" s="481">
        <f t="shared" si="4"/>
        <v>1.1760951357162053</v>
      </c>
      <c r="I33" s="485">
        <f t="shared" si="3"/>
        <v>1.0900000000000001</v>
      </c>
      <c r="J33" s="478">
        <f t="shared" si="5"/>
        <v>65179.494189602447</v>
      </c>
      <c r="K33" s="478">
        <f t="shared" si="6"/>
        <v>41396.380733944956</v>
      </c>
      <c r="L33" s="484">
        <f t="shared" si="7"/>
        <v>35198.156574923552</v>
      </c>
      <c r="M33" s="486"/>
      <c r="N33" s="471">
        <v>1986</v>
      </c>
      <c r="P33" s="474"/>
      <c r="R33" s="471">
        <v>1986</v>
      </c>
      <c r="S33" s="472">
        <v>1.097</v>
      </c>
    </row>
    <row r="34" spans="1:19" hidden="1" x14ac:dyDescent="0.3">
      <c r="A34" s="477" t="s">
        <v>252</v>
      </c>
      <c r="B34" s="478">
        <f>+Table2!K34</f>
        <v>28673</v>
      </c>
      <c r="C34" s="479" t="s">
        <v>471</v>
      </c>
      <c r="D34" s="478">
        <f>+Table2!M34</f>
        <v>18038</v>
      </c>
      <c r="E34" s="479" t="s">
        <v>471</v>
      </c>
      <c r="F34" s="480">
        <v>15568</v>
      </c>
      <c r="G34" s="481">
        <f t="shared" si="0"/>
        <v>1.8417908530318603</v>
      </c>
      <c r="H34" s="481">
        <f t="shared" ref="H34:H55" si="8">D34/F34</f>
        <v>1.1586587872559095</v>
      </c>
      <c r="I34" s="485">
        <f t="shared" si="3"/>
        <v>1.123</v>
      </c>
      <c r="J34" s="478">
        <f t="shared" si="5"/>
        <v>65814.27990501633</v>
      </c>
      <c r="K34" s="478">
        <f t="shared" si="6"/>
        <v>41403.340457108941</v>
      </c>
      <c r="L34" s="484">
        <f t="shared" si="7"/>
        <v>35733.850994360342</v>
      </c>
      <c r="M34" s="486"/>
      <c r="N34" s="471">
        <v>1987</v>
      </c>
      <c r="P34" s="474"/>
      <c r="R34" s="471">
        <v>1987</v>
      </c>
      <c r="S34" s="472">
        <v>1.1359999999999999</v>
      </c>
    </row>
    <row r="35" spans="1:19" hidden="1" x14ac:dyDescent="0.3">
      <c r="A35" s="477" t="s">
        <v>253</v>
      </c>
      <c r="B35" s="478">
        <f>+Table2!K35</f>
        <v>29683</v>
      </c>
      <c r="C35" s="479" t="s">
        <v>471</v>
      </c>
      <c r="D35" s="478">
        <f>+Table2!M35</f>
        <v>18732</v>
      </c>
      <c r="E35" s="479" t="s">
        <v>471</v>
      </c>
      <c r="F35" s="480">
        <f t="shared" ref="F35:F41" si="9">O35</f>
        <v>16360</v>
      </c>
      <c r="G35" s="481">
        <f t="shared" si="0"/>
        <v>1.8143643031784842</v>
      </c>
      <c r="H35" s="481">
        <f t="shared" si="8"/>
        <v>1.1449877750611246</v>
      </c>
      <c r="I35" s="485">
        <f t="shared" si="3"/>
        <v>1.1673333333333333</v>
      </c>
      <c r="J35" s="478">
        <f t="shared" si="5"/>
        <v>65545.013992004577</v>
      </c>
      <c r="K35" s="478">
        <f t="shared" si="6"/>
        <v>41363.379782981159</v>
      </c>
      <c r="L35" s="484">
        <f t="shared" si="7"/>
        <v>36125.608223872077</v>
      </c>
      <c r="M35" s="486"/>
      <c r="N35" s="471">
        <v>1988</v>
      </c>
      <c r="O35" s="488">
        <v>16360</v>
      </c>
      <c r="P35" s="489">
        <v>33909</v>
      </c>
      <c r="R35" s="471">
        <v>1988</v>
      </c>
      <c r="S35" s="472">
        <v>1.1830000000000001</v>
      </c>
    </row>
    <row r="36" spans="1:19" x14ac:dyDescent="0.3">
      <c r="A36" s="552" t="s">
        <v>254</v>
      </c>
      <c r="B36" s="478">
        <f>+Table2!K36</f>
        <v>30756</v>
      </c>
      <c r="C36" s="499" t="s">
        <v>471</v>
      </c>
      <c r="D36" s="478">
        <f>+Table2!M36</f>
        <v>19577</v>
      </c>
      <c r="E36" s="479" t="s">
        <v>471</v>
      </c>
      <c r="F36" s="480">
        <f t="shared" si="9"/>
        <v>17558</v>
      </c>
      <c r="G36" s="481">
        <f t="shared" si="0"/>
        <v>1.7516801458024831</v>
      </c>
      <c r="H36" s="500">
        <f t="shared" si="8"/>
        <v>1.1149903178038501</v>
      </c>
      <c r="I36" s="483">
        <f t="shared" si="3"/>
        <v>1.2203333333333335</v>
      </c>
      <c r="J36" s="478">
        <f t="shared" si="5"/>
        <v>64964.804151871074</v>
      </c>
      <c r="K36" s="478">
        <f t="shared" si="6"/>
        <v>41351.800327779296</v>
      </c>
      <c r="L36" s="484">
        <f t="shared" si="7"/>
        <v>37087.13848675225</v>
      </c>
      <c r="M36" s="486"/>
      <c r="N36" s="471">
        <v>1989</v>
      </c>
      <c r="O36" s="488">
        <v>17558</v>
      </c>
      <c r="P36" s="490"/>
      <c r="R36" s="471">
        <v>1989</v>
      </c>
      <c r="S36" s="472">
        <v>1.2390000000000001</v>
      </c>
    </row>
    <row r="37" spans="1:19" x14ac:dyDescent="0.3">
      <c r="A37" s="552" t="s">
        <v>255</v>
      </c>
      <c r="B37" s="478">
        <f>+Table2!K37</f>
        <v>32085</v>
      </c>
      <c r="C37" s="499" t="s">
        <v>471</v>
      </c>
      <c r="D37" s="478">
        <f>+Table2!M37</f>
        <v>20518</v>
      </c>
      <c r="E37" s="479" t="s">
        <v>471</v>
      </c>
      <c r="F37" s="480">
        <f t="shared" si="9"/>
        <v>19201</v>
      </c>
      <c r="G37" s="481">
        <f t="shared" si="0"/>
        <v>1.6710067184000834</v>
      </c>
      <c r="H37" s="500">
        <f t="shared" si="8"/>
        <v>1.0685901775949169</v>
      </c>
      <c r="I37" s="483">
        <f t="shared" si="3"/>
        <v>1.2843333333333333</v>
      </c>
      <c r="J37" s="478">
        <f t="shared" si="5"/>
        <v>64394.83649104595</v>
      </c>
      <c r="K37" s="478">
        <f t="shared" si="6"/>
        <v>41179.780430833125</v>
      </c>
      <c r="L37" s="484">
        <f t="shared" si="7"/>
        <v>38536.551518297441</v>
      </c>
      <c r="M37" s="486"/>
      <c r="N37" s="471">
        <v>1990</v>
      </c>
      <c r="O37" s="491">
        <v>19201</v>
      </c>
      <c r="P37" s="492">
        <v>35004</v>
      </c>
      <c r="R37" s="471">
        <v>1990</v>
      </c>
      <c r="S37" s="472">
        <v>1.3069999999999999</v>
      </c>
    </row>
    <row r="38" spans="1:19" x14ac:dyDescent="0.3">
      <c r="A38" s="552" t="s">
        <v>256</v>
      </c>
      <c r="B38" s="478">
        <f>+Table2!K38</f>
        <v>34826</v>
      </c>
      <c r="C38" s="499" t="s">
        <v>471</v>
      </c>
      <c r="D38" s="478">
        <f>+Table2!M38</f>
        <v>21560</v>
      </c>
      <c r="E38" s="479" t="s">
        <v>471</v>
      </c>
      <c r="F38" s="480">
        <f t="shared" si="9"/>
        <v>20063</v>
      </c>
      <c r="G38" s="481">
        <f t="shared" si="0"/>
        <v>1.7358321287942979</v>
      </c>
      <c r="H38" s="500">
        <f t="shared" si="8"/>
        <v>1.074614962866969</v>
      </c>
      <c r="I38" s="483">
        <f t="shared" si="3"/>
        <v>1.3436666666666668</v>
      </c>
      <c r="J38" s="478">
        <f t="shared" si="5"/>
        <v>66809.590176134952</v>
      </c>
      <c r="K38" s="478">
        <f t="shared" si="6"/>
        <v>41360.327462168199</v>
      </c>
      <c r="L38" s="484">
        <f t="shared" si="7"/>
        <v>38488.508806747705</v>
      </c>
      <c r="M38" s="486"/>
      <c r="N38" s="471">
        <v>1991</v>
      </c>
      <c r="O38" s="491">
        <v>20063</v>
      </c>
      <c r="P38" s="474"/>
      <c r="R38" s="471">
        <v>1991</v>
      </c>
      <c r="S38" s="472">
        <v>1.3620000000000001</v>
      </c>
    </row>
    <row r="39" spans="1:19" x14ac:dyDescent="0.3">
      <c r="A39" s="552" t="s">
        <v>257</v>
      </c>
      <c r="B39" s="478">
        <f>+Table2!K39</f>
        <v>36665</v>
      </c>
      <c r="C39" s="499"/>
      <c r="D39" s="478">
        <f>+Table2!M39</f>
        <v>22715</v>
      </c>
      <c r="E39" s="479"/>
      <c r="F39" s="480">
        <f t="shared" si="9"/>
        <v>21391</v>
      </c>
      <c r="G39" s="481">
        <f t="shared" si="0"/>
        <v>1.7140386143705297</v>
      </c>
      <c r="H39" s="500">
        <f t="shared" si="8"/>
        <v>1.0618951895657052</v>
      </c>
      <c r="I39" s="483">
        <f t="shared" si="3"/>
        <v>1.3893333333333333</v>
      </c>
      <c r="J39" s="478">
        <f t="shared" si="5"/>
        <v>68025.538627639165</v>
      </c>
      <c r="K39" s="478">
        <f t="shared" si="6"/>
        <v>42143.736804222652</v>
      </c>
      <c r="L39" s="484">
        <f t="shared" si="7"/>
        <v>39687.284788867568</v>
      </c>
      <c r="M39" s="486"/>
      <c r="N39" s="471">
        <v>1992</v>
      </c>
      <c r="O39" s="493">
        <v>21391</v>
      </c>
      <c r="P39" s="494">
        <v>35370</v>
      </c>
      <c r="R39" s="471">
        <v>1992</v>
      </c>
      <c r="S39" s="472">
        <v>1.403</v>
      </c>
    </row>
    <row r="40" spans="1:19" x14ac:dyDescent="0.3">
      <c r="A40" s="552" t="s">
        <v>258</v>
      </c>
      <c r="B40" s="478">
        <f>+Table2!K40</f>
        <v>37698</v>
      </c>
      <c r="C40" s="499"/>
      <c r="D40" s="478">
        <f>+Table2!M40</f>
        <v>23562</v>
      </c>
      <c r="E40" s="479"/>
      <c r="F40" s="480">
        <f t="shared" si="9"/>
        <v>21945</v>
      </c>
      <c r="G40" s="481">
        <f t="shared" si="0"/>
        <v>1.7178400546821599</v>
      </c>
      <c r="H40" s="500">
        <f t="shared" si="8"/>
        <v>1.0736842105263158</v>
      </c>
      <c r="I40" s="483">
        <f t="shared" si="3"/>
        <v>1.431</v>
      </c>
      <c r="J40" s="478">
        <f t="shared" si="5"/>
        <v>67905.57512229211</v>
      </c>
      <c r="K40" s="478">
        <f t="shared" si="6"/>
        <v>42442.335429769395</v>
      </c>
      <c r="L40" s="484">
        <f t="shared" si="7"/>
        <v>39529.626135569531</v>
      </c>
      <c r="M40" s="486"/>
      <c r="N40" s="471">
        <v>1993</v>
      </c>
      <c r="O40" s="493">
        <v>21945</v>
      </c>
      <c r="P40" s="474"/>
      <c r="R40" s="471">
        <v>1993</v>
      </c>
      <c r="S40" s="472">
        <v>1.4450000000000001</v>
      </c>
    </row>
    <row r="41" spans="1:19" x14ac:dyDescent="0.3">
      <c r="A41" s="552" t="s">
        <v>259</v>
      </c>
      <c r="B41" s="478">
        <f>+Table2!K41</f>
        <v>37777</v>
      </c>
      <c r="C41" s="499"/>
      <c r="D41" s="478">
        <f>+Table2!M41</f>
        <v>23837</v>
      </c>
      <c r="E41" s="479"/>
      <c r="F41" s="480">
        <f t="shared" si="9"/>
        <v>22541</v>
      </c>
      <c r="G41" s="481">
        <f t="shared" ref="G41:G46" si="10">+B41/F41</f>
        <v>1.6759238720553657</v>
      </c>
      <c r="H41" s="500">
        <f t="shared" si="8"/>
        <v>1.0574952309125594</v>
      </c>
      <c r="I41" s="483">
        <f t="shared" si="3"/>
        <v>1.4696666666666667</v>
      </c>
      <c r="J41" s="478">
        <f t="shared" si="5"/>
        <v>66257.550691766854</v>
      </c>
      <c r="K41" s="478">
        <f t="shared" si="6"/>
        <v>41808.011113631212</v>
      </c>
      <c r="L41" s="484">
        <f t="shared" si="7"/>
        <v>39534.940576094355</v>
      </c>
      <c r="M41" s="486"/>
      <c r="N41" s="471">
        <v>1994</v>
      </c>
      <c r="O41" s="495">
        <v>22541</v>
      </c>
      <c r="P41" s="496">
        <v>36100</v>
      </c>
      <c r="R41" s="471">
        <v>1994</v>
      </c>
      <c r="S41" s="472">
        <v>1.482</v>
      </c>
    </row>
    <row r="42" spans="1:19" x14ac:dyDescent="0.3">
      <c r="A42" s="552" t="s">
        <v>260</v>
      </c>
      <c r="B42" s="478">
        <f>+Table2!K42</f>
        <v>38100</v>
      </c>
      <c r="C42" s="499"/>
      <c r="D42" s="478">
        <f>+Table2!M42</f>
        <v>24042</v>
      </c>
      <c r="E42" s="479"/>
      <c r="F42" s="480">
        <f t="shared" ref="F42:F49" si="11">O42</f>
        <v>23548</v>
      </c>
      <c r="G42" s="481">
        <f t="shared" si="10"/>
        <v>1.6179718022762017</v>
      </c>
      <c r="H42" s="500">
        <f t="shared" si="8"/>
        <v>1.0209784270426363</v>
      </c>
      <c r="I42" s="483">
        <f t="shared" si="3"/>
        <v>1.51</v>
      </c>
      <c r="J42" s="478">
        <f t="shared" si="5"/>
        <v>65039.139072847684</v>
      </c>
      <c r="K42" s="478">
        <f t="shared" si="6"/>
        <v>41041.233112582784</v>
      </c>
      <c r="L42" s="484">
        <f t="shared" si="7"/>
        <v>40197.943487858727</v>
      </c>
      <c r="M42" s="486"/>
      <c r="N42" s="471">
        <v>1995</v>
      </c>
      <c r="O42" s="497">
        <v>23548</v>
      </c>
      <c r="P42" s="498">
        <v>36465</v>
      </c>
      <c r="R42" s="471">
        <v>1995</v>
      </c>
      <c r="S42" s="472">
        <v>1.524</v>
      </c>
    </row>
    <row r="43" spans="1:19" x14ac:dyDescent="0.3">
      <c r="A43" s="552" t="s">
        <v>261</v>
      </c>
      <c r="B43" s="478">
        <f>+Table2!K43</f>
        <v>39900</v>
      </c>
      <c r="C43" s="499" t="s">
        <v>3</v>
      </c>
      <c r="D43" s="478">
        <f>+Table2!M43</f>
        <v>25092</v>
      </c>
      <c r="E43" s="479"/>
      <c r="F43" s="480">
        <f t="shared" si="11"/>
        <v>24861</v>
      </c>
      <c r="G43" s="481">
        <f t="shared" si="10"/>
        <v>1.6049233739592133</v>
      </c>
      <c r="H43" s="500">
        <f t="shared" si="8"/>
        <v>1.0092916616387113</v>
      </c>
      <c r="I43" s="483">
        <f t="shared" si="3"/>
        <v>1.554</v>
      </c>
      <c r="J43" s="478">
        <f t="shared" si="5"/>
        <v>66183.333333333343</v>
      </c>
      <c r="K43" s="478">
        <f t="shared" si="6"/>
        <v>41620.857142857145</v>
      </c>
      <c r="L43" s="484">
        <f t="shared" si="7"/>
        <v>41237.690476190481</v>
      </c>
      <c r="M43" s="486"/>
      <c r="N43" s="471">
        <v>1996</v>
      </c>
      <c r="O43" s="501">
        <v>24861</v>
      </c>
      <c r="P43" s="502">
        <v>37196</v>
      </c>
      <c r="R43" s="471">
        <v>1996</v>
      </c>
      <c r="S43" s="472">
        <v>1.569</v>
      </c>
    </row>
    <row r="44" spans="1:19" x14ac:dyDescent="0.3">
      <c r="A44" s="552" t="s">
        <v>262</v>
      </c>
      <c r="B44" s="478">
        <f>+Table2!K44</f>
        <v>39868</v>
      </c>
      <c r="C44" s="499" t="s">
        <v>3</v>
      </c>
      <c r="D44" s="478">
        <f>+Table2!M44</f>
        <v>25314</v>
      </c>
      <c r="E44" s="479"/>
      <c r="F44" s="480">
        <f t="shared" si="11"/>
        <v>26368</v>
      </c>
      <c r="G44" s="481">
        <f t="shared" si="10"/>
        <v>1.5119842233009708</v>
      </c>
      <c r="H44" s="500">
        <f t="shared" si="8"/>
        <v>0.96002730582524276</v>
      </c>
      <c r="I44" s="483">
        <f t="shared" si="3"/>
        <v>1.593</v>
      </c>
      <c r="J44" s="504">
        <f t="shared" si="5"/>
        <v>64511.245867336271</v>
      </c>
      <c r="K44" s="504">
        <f t="shared" si="6"/>
        <v>40961.11362209668</v>
      </c>
      <c r="L44" s="505">
        <f t="shared" si="7"/>
        <v>42666.613098974689</v>
      </c>
      <c r="M44" s="486"/>
      <c r="N44" s="471">
        <v>1997</v>
      </c>
      <c r="O44" s="501">
        <v>26368</v>
      </c>
      <c r="P44" s="503"/>
      <c r="R44" s="471">
        <v>1997</v>
      </c>
      <c r="S44" s="472">
        <v>1.605</v>
      </c>
    </row>
    <row r="45" spans="1:19" x14ac:dyDescent="0.3">
      <c r="A45" s="552" t="s">
        <v>263</v>
      </c>
      <c r="B45" s="478">
        <f>+Table2!K45</f>
        <v>40914</v>
      </c>
      <c r="C45" s="499" t="s">
        <v>3</v>
      </c>
      <c r="D45" s="478">
        <f>+Table2!M45</f>
        <v>26332</v>
      </c>
      <c r="E45" s="479"/>
      <c r="F45" s="480">
        <f t="shared" si="11"/>
        <v>28231</v>
      </c>
      <c r="G45" s="481">
        <f t="shared" si="10"/>
        <v>1.4492579079735044</v>
      </c>
      <c r="H45" s="500">
        <f t="shared" si="8"/>
        <v>0.93273351988948316</v>
      </c>
      <c r="I45" s="483">
        <f t="shared" si="3"/>
        <v>1.6216666666666668</v>
      </c>
      <c r="J45" s="504">
        <f t="shared" si="5"/>
        <v>65033.496813977392</v>
      </c>
      <c r="K45" s="504">
        <f t="shared" si="6"/>
        <v>41855.160534429604</v>
      </c>
      <c r="L45" s="505">
        <f t="shared" si="7"/>
        <v>44873.653237410072</v>
      </c>
      <c r="M45" s="486"/>
      <c r="N45" s="471">
        <v>1998</v>
      </c>
      <c r="O45" s="506">
        <v>28231</v>
      </c>
      <c r="P45" s="507">
        <v>37561</v>
      </c>
      <c r="R45" s="471">
        <v>1998</v>
      </c>
      <c r="S45" s="472">
        <v>1.63</v>
      </c>
    </row>
    <row r="46" spans="1:19" x14ac:dyDescent="0.3">
      <c r="A46" s="552" t="s">
        <v>264</v>
      </c>
      <c r="B46" s="478">
        <f>+Table2!K46</f>
        <v>40900</v>
      </c>
      <c r="C46" s="499" t="s">
        <v>3</v>
      </c>
      <c r="D46" s="478">
        <f>+Table2!M46</f>
        <v>26662</v>
      </c>
      <c r="E46" s="479"/>
      <c r="F46" s="480">
        <f t="shared" si="11"/>
        <v>29774</v>
      </c>
      <c r="G46" s="481">
        <f t="shared" si="10"/>
        <v>1.3736817357425941</v>
      </c>
      <c r="H46" s="500">
        <f t="shared" si="8"/>
        <v>0.89547927722173704</v>
      </c>
      <c r="I46" s="483">
        <f t="shared" si="3"/>
        <v>1.6539999999999999</v>
      </c>
      <c r="J46" s="504">
        <f t="shared" si="5"/>
        <v>63740.366787585663</v>
      </c>
      <c r="K46" s="504">
        <f t="shared" si="6"/>
        <v>41551.238613462323</v>
      </c>
      <c r="L46" s="505">
        <f t="shared" si="7"/>
        <v>46401.116888351484</v>
      </c>
      <c r="M46" s="486"/>
      <c r="N46" s="471">
        <v>1999</v>
      </c>
      <c r="O46" s="506">
        <v>29774</v>
      </c>
      <c r="P46" s="508"/>
      <c r="R46" s="471">
        <v>1999</v>
      </c>
      <c r="S46" s="472">
        <v>1.6659999999999999</v>
      </c>
    </row>
    <row r="47" spans="1:19" x14ac:dyDescent="0.3">
      <c r="A47" s="552" t="s">
        <v>265</v>
      </c>
      <c r="B47" s="478">
        <f>+Table2!K47</f>
        <v>43359.299165199503</v>
      </c>
      <c r="C47" s="499" t="s">
        <v>3</v>
      </c>
      <c r="D47" s="478">
        <f>+Table2!M47</f>
        <v>27734.776671803691</v>
      </c>
      <c r="E47" s="479"/>
      <c r="F47" s="480">
        <f>O47</f>
        <v>31709</v>
      </c>
      <c r="G47" s="481">
        <f t="shared" ref="G47:G55" si="12">+B47/F47</f>
        <v>1.3674130109810938</v>
      </c>
      <c r="H47" s="500">
        <f>D47/F47</f>
        <v>0.87466576277409225</v>
      </c>
      <c r="I47" s="483">
        <f t="shared" si="3"/>
        <v>1.7033333333333331</v>
      </c>
      <c r="J47" s="504">
        <f t="shared" si="5"/>
        <v>65615.941378569056</v>
      </c>
      <c r="K47" s="504">
        <f t="shared" si="6"/>
        <v>41971.238356762813</v>
      </c>
      <c r="L47" s="505">
        <f t="shared" si="7"/>
        <v>47985.459295499037</v>
      </c>
      <c r="M47" s="486"/>
      <c r="N47" s="471">
        <v>2000</v>
      </c>
      <c r="O47" s="509">
        <v>31709</v>
      </c>
      <c r="P47" s="496">
        <v>38600</v>
      </c>
      <c r="R47" s="471">
        <v>2000</v>
      </c>
      <c r="S47" s="472">
        <v>1.722</v>
      </c>
    </row>
    <row r="48" spans="1:19" x14ac:dyDescent="0.3">
      <c r="A48" s="552" t="s">
        <v>279</v>
      </c>
      <c r="B48" s="478">
        <f>+Table2!K48</f>
        <v>44588</v>
      </c>
      <c r="C48" s="499" t="s">
        <v>3</v>
      </c>
      <c r="D48" s="478">
        <f>+Table2!M48</f>
        <v>28896</v>
      </c>
      <c r="E48" s="479"/>
      <c r="F48" s="480">
        <f>O48</f>
        <v>32250</v>
      </c>
      <c r="G48" s="481">
        <f t="shared" si="12"/>
        <v>1.3825736434108526</v>
      </c>
      <c r="H48" s="500">
        <f>D48/F48</f>
        <v>0.89600000000000002</v>
      </c>
      <c r="I48" s="483">
        <f t="shared" si="3"/>
        <v>1.7540000000000002</v>
      </c>
      <c r="J48" s="504">
        <f t="shared" ref="J48:J67" si="13">+B48*$I$67/$I48</f>
        <v>65526.226529836567</v>
      </c>
      <c r="K48" s="504">
        <f t="shared" ref="K48:K67" si="14">+D48*$I$67/$I48</f>
        <v>42465.368301026225</v>
      </c>
      <c r="L48" s="505">
        <f t="shared" ref="L48:L67" si="15">+F48*I$67/$I48</f>
        <v>47394.384264538203</v>
      </c>
      <c r="M48" s="486"/>
      <c r="N48" s="471">
        <v>2001</v>
      </c>
      <c r="O48" s="509">
        <v>32250</v>
      </c>
      <c r="P48" s="496"/>
      <c r="R48" s="471">
        <v>2001</v>
      </c>
      <c r="S48" s="472">
        <v>1.77</v>
      </c>
    </row>
    <row r="49" spans="1:19" x14ac:dyDescent="0.3">
      <c r="A49" s="552" t="s">
        <v>289</v>
      </c>
      <c r="B49" s="478">
        <f>+Table2!K49</f>
        <v>46053.13974353925</v>
      </c>
      <c r="C49" s="499" t="s">
        <v>3</v>
      </c>
      <c r="D49" s="478">
        <f>+Table2!M49</f>
        <v>30122.058525702381</v>
      </c>
      <c r="E49" s="479"/>
      <c r="F49" s="480">
        <f t="shared" si="11"/>
        <v>32567</v>
      </c>
      <c r="G49" s="481">
        <f t="shared" si="12"/>
        <v>1.4141044536966638</v>
      </c>
      <c r="H49" s="500">
        <f t="shared" si="8"/>
        <v>0.92492579991102597</v>
      </c>
      <c r="I49" s="483">
        <f t="shared" si="3"/>
        <v>1.7893333333333334</v>
      </c>
      <c r="J49" s="504">
        <f t="shared" si="13"/>
        <v>66342.945163336262</v>
      </c>
      <c r="K49" s="504">
        <f t="shared" si="14"/>
        <v>43393.047425345852</v>
      </c>
      <c r="L49" s="505">
        <f t="shared" si="15"/>
        <v>46915.165983606559</v>
      </c>
      <c r="M49" s="486"/>
      <c r="N49" s="471">
        <v>2002</v>
      </c>
      <c r="O49" s="510">
        <v>32567</v>
      </c>
      <c r="P49" s="511">
        <v>39026</v>
      </c>
      <c r="R49" s="471">
        <v>2002</v>
      </c>
      <c r="S49" s="472">
        <v>1.7989999999999999</v>
      </c>
    </row>
    <row r="50" spans="1:19" x14ac:dyDescent="0.3">
      <c r="A50" s="552" t="s">
        <v>295</v>
      </c>
      <c r="B50" s="478">
        <f>+Table2!K50</f>
        <v>47676.611587606443</v>
      </c>
      <c r="C50" s="499" t="s">
        <v>3</v>
      </c>
      <c r="D50" s="478">
        <f>+Table2!M50</f>
        <v>31512.064479300749</v>
      </c>
      <c r="E50" s="479"/>
      <c r="F50" s="480">
        <f t="shared" ref="F50:F55" si="16">O50</f>
        <v>33136</v>
      </c>
      <c r="G50" s="481">
        <f t="shared" si="12"/>
        <v>1.4388161391720922</v>
      </c>
      <c r="H50" s="500">
        <f t="shared" si="8"/>
        <v>0.9509918058697715</v>
      </c>
      <c r="I50" s="483">
        <f t="shared" ref="I50:I56" si="17">((+S49*4)+(S50*8))/12</f>
        <v>1.8263333333333334</v>
      </c>
      <c r="J50" s="504">
        <f t="shared" si="13"/>
        <v>67290.242271757743</v>
      </c>
      <c r="K50" s="504">
        <f t="shared" si="14"/>
        <v>44475.779269653714</v>
      </c>
      <c r="L50" s="505">
        <f t="shared" si="15"/>
        <v>46767.783902171934</v>
      </c>
      <c r="M50" s="486"/>
      <c r="N50" s="471">
        <v>2003</v>
      </c>
      <c r="O50" s="512">
        <v>33136</v>
      </c>
      <c r="P50" s="513">
        <v>39332</v>
      </c>
      <c r="R50" s="471">
        <v>2003</v>
      </c>
      <c r="S50" s="472">
        <v>1.84</v>
      </c>
    </row>
    <row r="51" spans="1:19" x14ac:dyDescent="0.3">
      <c r="A51" s="552" t="s">
        <v>331</v>
      </c>
      <c r="B51" s="478">
        <f>+Table2!K51</f>
        <v>48141.14217664006</v>
      </c>
      <c r="C51" s="499" t="s">
        <v>3</v>
      </c>
      <c r="D51" s="478">
        <f>+Table2!M51</f>
        <v>31828.1784719307</v>
      </c>
      <c r="E51" s="479"/>
      <c r="F51" s="480">
        <f t="shared" si="16"/>
        <v>35218</v>
      </c>
      <c r="G51" s="481">
        <f t="shared" si="12"/>
        <v>1.3669470775353529</v>
      </c>
      <c r="H51" s="500">
        <f t="shared" si="8"/>
        <v>0.90374747208616901</v>
      </c>
      <c r="I51" s="483">
        <f t="shared" si="17"/>
        <v>1.8726666666666667</v>
      </c>
      <c r="J51" s="504">
        <f t="shared" si="13"/>
        <v>66264.765477386551</v>
      </c>
      <c r="K51" s="504">
        <f t="shared" si="14"/>
        <v>43810.484892032771</v>
      </c>
      <c r="L51" s="505">
        <f t="shared" si="15"/>
        <v>48476.467426130301</v>
      </c>
      <c r="M51" s="486"/>
      <c r="N51" s="471">
        <v>2004</v>
      </c>
      <c r="O51" s="514">
        <v>35218</v>
      </c>
      <c r="P51" s="515">
        <v>39759</v>
      </c>
      <c r="R51" s="471">
        <v>2004</v>
      </c>
      <c r="S51" s="472">
        <v>1.889</v>
      </c>
    </row>
    <row r="52" spans="1:19" x14ac:dyDescent="0.3">
      <c r="A52" s="552" t="s">
        <v>336</v>
      </c>
      <c r="B52" s="478">
        <f>+Table2!K52</f>
        <v>48481.414094311105</v>
      </c>
      <c r="C52" s="499" t="s">
        <v>3</v>
      </c>
      <c r="D52" s="478">
        <f>+Table2!M52</f>
        <v>32512.595992190592</v>
      </c>
      <c r="E52" s="479"/>
      <c r="F52" s="480">
        <f t="shared" si="16"/>
        <v>35955</v>
      </c>
      <c r="G52" s="481">
        <f t="shared" si="12"/>
        <v>1.348391436359647</v>
      </c>
      <c r="H52" s="500">
        <f t="shared" si="8"/>
        <v>0.90425798893590859</v>
      </c>
      <c r="I52" s="483">
        <f t="shared" si="17"/>
        <v>1.9316666666666666</v>
      </c>
      <c r="J52" s="504">
        <f t="shared" si="13"/>
        <v>64694.870611097125</v>
      </c>
      <c r="K52" s="504">
        <f t="shared" si="14"/>
        <v>43385.660881382209</v>
      </c>
      <c r="L52" s="505">
        <f t="shared" si="15"/>
        <v>47979.295081967219</v>
      </c>
      <c r="M52" s="486"/>
      <c r="N52" s="471">
        <v>2005</v>
      </c>
      <c r="O52" s="514">
        <v>35955</v>
      </c>
      <c r="P52" s="515"/>
      <c r="R52" s="471">
        <v>2005</v>
      </c>
      <c r="S52" s="472">
        <v>1.9530000000000001</v>
      </c>
    </row>
    <row r="53" spans="1:19" x14ac:dyDescent="0.3">
      <c r="A53" s="552" t="s">
        <v>339</v>
      </c>
      <c r="B53" s="516">
        <f>+Table2!K53</f>
        <v>49198.121836877952</v>
      </c>
      <c r="C53" s="517" t="s">
        <v>3</v>
      </c>
      <c r="D53" s="518">
        <f>+Table2!M53</f>
        <v>33350.167996201191</v>
      </c>
      <c r="E53" s="519"/>
      <c r="F53" s="520">
        <f t="shared" si="16"/>
        <v>39267</v>
      </c>
      <c r="G53" s="521">
        <f t="shared" si="12"/>
        <v>1.2529126706108935</v>
      </c>
      <c r="H53" s="522">
        <f t="shared" si="8"/>
        <v>0.84931795136377086</v>
      </c>
      <c r="I53" s="523">
        <f t="shared" si="17"/>
        <v>1.9950000000000001</v>
      </c>
      <c r="J53" s="524">
        <f t="shared" si="13"/>
        <v>63567.097103521672</v>
      </c>
      <c r="K53" s="524">
        <f t="shared" si="14"/>
        <v>43090.534522075832</v>
      </c>
      <c r="L53" s="525">
        <f t="shared" si="15"/>
        <v>50735.457142857143</v>
      </c>
      <c r="N53" s="471">
        <v>2006</v>
      </c>
      <c r="O53" s="509">
        <f>AVERAGE(38537,39073,39447,40011)</f>
        <v>39267</v>
      </c>
      <c r="P53" s="496">
        <v>40118</v>
      </c>
      <c r="R53" s="471">
        <v>2006</v>
      </c>
      <c r="S53" s="472">
        <v>2.016</v>
      </c>
    </row>
    <row r="54" spans="1:19" x14ac:dyDescent="0.3">
      <c r="A54" s="552" t="s">
        <v>343</v>
      </c>
      <c r="B54" s="516">
        <f>+Table2!K54</f>
        <v>50899.91909909065</v>
      </c>
      <c r="C54" s="517" t="s">
        <v>3</v>
      </c>
      <c r="D54" s="518">
        <f>+Table2!M54</f>
        <v>34735.474262291616</v>
      </c>
      <c r="E54" s="519"/>
      <c r="F54" s="520">
        <f t="shared" si="16"/>
        <v>41528.75</v>
      </c>
      <c r="G54" s="521">
        <f t="shared" si="12"/>
        <v>1.2256549763498938</v>
      </c>
      <c r="H54" s="522">
        <f t="shared" si="8"/>
        <v>0.83641993227081524</v>
      </c>
      <c r="I54" s="523">
        <f t="shared" si="17"/>
        <v>2.0539999999999998</v>
      </c>
      <c r="J54" s="524">
        <f t="shared" si="13"/>
        <v>63876.837778849091</v>
      </c>
      <c r="K54" s="524">
        <f t="shared" si="14"/>
        <v>43591.272715076455</v>
      </c>
      <c r="L54" s="525">
        <f t="shared" si="15"/>
        <v>52116.492007465116</v>
      </c>
      <c r="N54" s="471">
        <v>2007</v>
      </c>
      <c r="O54" s="509">
        <f>AVERAGE(40622,41260,41820,42413)</f>
        <v>41528.75</v>
      </c>
      <c r="P54" s="526"/>
      <c r="R54" s="471">
        <v>2007</v>
      </c>
      <c r="S54" s="472">
        <v>2.073</v>
      </c>
    </row>
    <row r="55" spans="1:19" x14ac:dyDescent="0.3">
      <c r="A55" s="552" t="s">
        <v>354</v>
      </c>
      <c r="B55" s="516">
        <f>+Table2!K55</f>
        <v>53103.220246524317</v>
      </c>
      <c r="C55" s="517" t="s">
        <v>3</v>
      </c>
      <c r="D55" s="518">
        <f>+Table2!M55</f>
        <v>36316.323806194916</v>
      </c>
      <c r="E55" s="519"/>
      <c r="F55" s="520">
        <f t="shared" si="16"/>
        <v>43727.75</v>
      </c>
      <c r="G55" s="521">
        <f t="shared" si="12"/>
        <v>1.2144055032908008</v>
      </c>
      <c r="H55" s="522">
        <f t="shared" si="8"/>
        <v>0.83050977482708155</v>
      </c>
      <c r="I55" s="523">
        <f t="shared" si="17"/>
        <v>2.1263333333333332</v>
      </c>
      <c r="J55" s="524">
        <f t="shared" si="13"/>
        <v>64374.855332555671</v>
      </c>
      <c r="K55" s="524">
        <f t="shared" si="14"/>
        <v>44024.789464383968</v>
      </c>
      <c r="L55" s="525">
        <f t="shared" si="15"/>
        <v>53009.357383602459</v>
      </c>
      <c r="N55" s="471">
        <v>2008</v>
      </c>
      <c r="O55" s="493">
        <f>AVERAGE(43617,43934,44103,43257)</f>
        <v>43727.75</v>
      </c>
      <c r="P55" s="494">
        <v>40848</v>
      </c>
      <c r="R55" s="471">
        <v>2008</v>
      </c>
      <c r="S55" s="472">
        <v>2.153</v>
      </c>
    </row>
    <row r="56" spans="1:19" x14ac:dyDescent="0.3">
      <c r="A56" s="552" t="s">
        <v>363</v>
      </c>
      <c r="B56" s="516">
        <f>+Table2!K56</f>
        <v>55901.93749537535</v>
      </c>
      <c r="C56" s="517" t="s">
        <v>3</v>
      </c>
      <c r="D56" s="518">
        <f>+Table2!M56</f>
        <v>38402.429358479458</v>
      </c>
      <c r="E56" s="519"/>
      <c r="F56" s="520">
        <f t="shared" ref="F56:F66" si="18">O56</f>
        <v>41638.25</v>
      </c>
      <c r="G56" s="521">
        <f t="shared" ref="G56:G66" si="19">+B56/F56</f>
        <v>1.3425621272597996</v>
      </c>
      <c r="H56" s="522">
        <f t="shared" ref="H56:H66" si="20">D56/F56</f>
        <v>0.9222873045452068</v>
      </c>
      <c r="I56" s="523">
        <f t="shared" si="17"/>
        <v>2.1483333333333334</v>
      </c>
      <c r="J56" s="524">
        <f t="shared" si="13"/>
        <v>67073.651303605526</v>
      </c>
      <c r="K56" s="524">
        <f t="shared" si="14"/>
        <v>46076.956746178686</v>
      </c>
      <c r="L56" s="525">
        <f t="shared" si="15"/>
        <v>49959.439449185418</v>
      </c>
      <c r="N56" s="471">
        <v>2009</v>
      </c>
      <c r="O56" s="493">
        <f>AVERAGE(41861,41758,41424,41510)</f>
        <v>41638.25</v>
      </c>
      <c r="P56" s="526"/>
      <c r="R56" s="471">
        <v>2009</v>
      </c>
      <c r="S56" s="472">
        <v>2.1459999999999999</v>
      </c>
    </row>
    <row r="57" spans="1:19" x14ac:dyDescent="0.3">
      <c r="A57" s="552" t="s">
        <v>366</v>
      </c>
      <c r="B57" s="516">
        <f>+Table2!K57</f>
        <v>56295.556558619064</v>
      </c>
      <c r="C57" s="517" t="s">
        <v>3</v>
      </c>
      <c r="D57" s="518">
        <f>+Table2!M57</f>
        <v>38677.350137230249</v>
      </c>
      <c r="E57" s="519"/>
      <c r="F57" s="520">
        <f t="shared" si="18"/>
        <v>42513.5</v>
      </c>
      <c r="G57" s="521">
        <f t="shared" si="19"/>
        <v>1.3241807086835726</v>
      </c>
      <c r="H57" s="522">
        <f t="shared" si="20"/>
        <v>0.90976631275313136</v>
      </c>
      <c r="I57" s="523">
        <f t="shared" ref="I57:I62" si="21">((+S56*4)+(S57*8))/12</f>
        <v>2.1693333333333333</v>
      </c>
      <c r="J57" s="524">
        <f t="shared" si="13"/>
        <v>66892.061903472844</v>
      </c>
      <c r="K57" s="524">
        <f t="shared" si="14"/>
        <v>45957.582761401587</v>
      </c>
      <c r="L57" s="525">
        <f t="shared" si="15"/>
        <v>50515.810617701296</v>
      </c>
      <c r="N57" s="471">
        <v>2010</v>
      </c>
      <c r="O57" s="527">
        <f>AVERAGE(42003,42346,42664,43041)</f>
        <v>42513.5</v>
      </c>
      <c r="P57" s="528">
        <v>41061</v>
      </c>
      <c r="R57" s="471">
        <v>2010</v>
      </c>
      <c r="S57" s="472">
        <v>2.181</v>
      </c>
    </row>
    <row r="58" spans="1:19" x14ac:dyDescent="0.3">
      <c r="A58" s="552" t="s">
        <v>378</v>
      </c>
      <c r="B58" s="516">
        <f>+Table2!K58</f>
        <v>56226.354120632874</v>
      </c>
      <c r="C58" s="517" t="s">
        <v>3</v>
      </c>
      <c r="D58" s="518">
        <f>+Table2!M58</f>
        <v>38914.422415407607</v>
      </c>
      <c r="E58" s="519"/>
      <c r="F58" s="520">
        <f t="shared" si="18"/>
        <v>44144.75</v>
      </c>
      <c r="G58" s="521">
        <f t="shared" si="19"/>
        <v>1.273681561694944</v>
      </c>
      <c r="H58" s="522">
        <f t="shared" si="20"/>
        <v>0.88151869509755088</v>
      </c>
      <c r="I58" s="523">
        <f t="shared" si="21"/>
        <v>2.2263333333333333</v>
      </c>
      <c r="J58" s="524">
        <f t="shared" si="13"/>
        <v>65099.325709665238</v>
      </c>
      <c r="K58" s="524">
        <f t="shared" si="14"/>
        <v>45055.431732047771</v>
      </c>
      <c r="L58" s="525">
        <f t="shared" si="15"/>
        <v>51111.147140290472</v>
      </c>
      <c r="N58" s="471">
        <v>2011</v>
      </c>
      <c r="O58" s="527">
        <f>AVERAGE(43971,44004,44437,44167)</f>
        <v>44144.75</v>
      </c>
      <c r="P58" s="529"/>
      <c r="R58" s="471">
        <v>2011</v>
      </c>
      <c r="S58" s="472">
        <v>2.2490000000000001</v>
      </c>
    </row>
    <row r="59" spans="1:19" x14ac:dyDescent="0.3">
      <c r="A59" s="552" t="s">
        <v>451</v>
      </c>
      <c r="B59" s="516">
        <f>+Table2!K59</f>
        <v>55605.202772066979</v>
      </c>
      <c r="C59" s="517" t="s">
        <v>3</v>
      </c>
      <c r="D59" s="518">
        <f>+Table2!M59</f>
        <v>39158.339750772102</v>
      </c>
      <c r="E59" s="519"/>
      <c r="F59" s="520">
        <f t="shared" si="18"/>
        <v>45939</v>
      </c>
      <c r="G59" s="521">
        <f t="shared" si="19"/>
        <v>1.2104138699594458</v>
      </c>
      <c r="H59" s="522">
        <f t="shared" si="20"/>
        <v>0.85239861013021834</v>
      </c>
      <c r="I59" s="523">
        <f t="shared" si="21"/>
        <v>2.2803333333333331</v>
      </c>
      <c r="J59" s="524">
        <f t="shared" si="13"/>
        <v>62855.581499253625</v>
      </c>
      <c r="K59" s="524">
        <f t="shared" si="14"/>
        <v>44264.207176249198</v>
      </c>
      <c r="L59" s="525">
        <f t="shared" si="15"/>
        <v>51928.999707645096</v>
      </c>
      <c r="N59" s="471">
        <v>2012</v>
      </c>
      <c r="O59" s="530">
        <f>AVERAGE(45529,45628,45789,46810)</f>
        <v>45939</v>
      </c>
      <c r="P59" s="513">
        <v>41579</v>
      </c>
      <c r="R59" s="471">
        <v>2012</v>
      </c>
      <c r="S59" s="472">
        <v>2.2959999999999998</v>
      </c>
    </row>
    <row r="60" spans="1:19" x14ac:dyDescent="0.3">
      <c r="A60" s="552" t="s">
        <v>467</v>
      </c>
      <c r="B60" s="516">
        <f>+Table2!K60</f>
        <v>55653.314721968061</v>
      </c>
      <c r="C60" s="517" t="s">
        <v>3</v>
      </c>
      <c r="D60" s="518">
        <f>+Table2!M60</f>
        <v>39487.30803855574</v>
      </c>
      <c r="E60" s="519"/>
      <c r="F60" s="520">
        <f t="shared" si="18"/>
        <v>46853</v>
      </c>
      <c r="G60" s="521">
        <f t="shared" si="19"/>
        <v>1.1878282014378601</v>
      </c>
      <c r="H60" s="522">
        <f t="shared" si="20"/>
        <v>0.84279145494537677</v>
      </c>
      <c r="I60" s="523">
        <f t="shared" si="21"/>
        <v>2.3186666666666667</v>
      </c>
      <c r="J60" s="524">
        <f t="shared" si="13"/>
        <v>61869.908387719821</v>
      </c>
      <c r="K60" s="524">
        <f t="shared" si="14"/>
        <v>43898.12436201144</v>
      </c>
      <c r="L60" s="525">
        <f t="shared" si="15"/>
        <v>52086.579787234048</v>
      </c>
      <c r="N60" s="471">
        <v>2013</v>
      </c>
      <c r="O60" s="530">
        <f>AVERAGE(46293,46645,47077,47397)</f>
        <v>46853</v>
      </c>
      <c r="P60" s="513"/>
      <c r="R60" s="471">
        <v>2013</v>
      </c>
      <c r="S60" s="472">
        <v>2.33</v>
      </c>
    </row>
    <row r="61" spans="1:19" x14ac:dyDescent="0.3">
      <c r="A61" s="552" t="s">
        <v>485</v>
      </c>
      <c r="B61" s="516">
        <f>+Table2!K61</f>
        <v>56507</v>
      </c>
      <c r="C61" s="517" t="s">
        <v>3</v>
      </c>
      <c r="D61" s="518">
        <f>+Table2!M61</f>
        <v>40229</v>
      </c>
      <c r="E61" s="519"/>
      <c r="F61" s="520">
        <f>O61</f>
        <v>49524.75</v>
      </c>
      <c r="G61" s="521">
        <f>+B61/F61</f>
        <v>1.1409850630240435</v>
      </c>
      <c r="H61" s="522">
        <f>D61/F61</f>
        <v>0.81230092024694722</v>
      </c>
      <c r="I61" s="523">
        <f t="shared" si="21"/>
        <v>2.3546666666666667</v>
      </c>
      <c r="J61" s="524">
        <f t="shared" si="13"/>
        <v>61858.526472253689</v>
      </c>
      <c r="K61" s="524">
        <f t="shared" si="14"/>
        <v>44038.909541336361</v>
      </c>
      <c r="L61" s="525">
        <f t="shared" si="15"/>
        <v>54215.018650906008</v>
      </c>
      <c r="N61" s="471">
        <v>2014</v>
      </c>
      <c r="O61" s="509">
        <f>AVERAGE(48710,49321,49657,50411)</f>
        <v>49524.75</v>
      </c>
      <c r="P61" s="496">
        <v>42309</v>
      </c>
      <c r="R61" s="471">
        <v>2014</v>
      </c>
      <c r="S61" s="472">
        <v>2.367</v>
      </c>
    </row>
    <row r="62" spans="1:19" x14ac:dyDescent="0.3">
      <c r="A62" s="552" t="s">
        <v>498</v>
      </c>
      <c r="B62" s="516">
        <f>+Table2!K62</f>
        <v>56306.748124217665</v>
      </c>
      <c r="C62" s="517" t="s">
        <v>3</v>
      </c>
      <c r="D62" s="518">
        <f>+Table2!M62</f>
        <v>41147.00858279477</v>
      </c>
      <c r="E62" s="519"/>
      <c r="F62" s="520">
        <f>O62</f>
        <v>51501.5</v>
      </c>
      <c r="G62" s="521">
        <f>+B62/F62</f>
        <v>1.0933030712545784</v>
      </c>
      <c r="H62" s="522">
        <f>D62/F62</f>
        <v>0.79894777011921536</v>
      </c>
      <c r="I62" s="523">
        <f t="shared" si="21"/>
        <v>2.3690000000000002</v>
      </c>
      <c r="J62" s="524">
        <f t="shared" si="13"/>
        <v>61266.368825745776</v>
      </c>
      <c r="K62" s="524">
        <f t="shared" si="14"/>
        <v>44771.326490889543</v>
      </c>
      <c r="L62" s="525">
        <f t="shared" si="15"/>
        <v>56037.864007316733</v>
      </c>
      <c r="N62" s="471">
        <v>2015</v>
      </c>
      <c r="O62" s="509">
        <f>AVERAGE(50734,51583,51677,52012)</f>
        <v>51501.5</v>
      </c>
      <c r="P62" s="496"/>
      <c r="R62" s="471">
        <v>2015</v>
      </c>
      <c r="S62" s="472">
        <v>2.37</v>
      </c>
    </row>
    <row r="63" spans="1:19" x14ac:dyDescent="0.3">
      <c r="A63" s="552" t="s">
        <v>525</v>
      </c>
      <c r="B63" s="516">
        <f>+Table2!K63</f>
        <v>57822</v>
      </c>
      <c r="C63" s="517" t="s">
        <v>3</v>
      </c>
      <c r="D63" s="518">
        <f>+Table2!M63</f>
        <v>43048</v>
      </c>
      <c r="E63" s="519"/>
      <c r="F63" s="520">
        <f>O63</f>
        <v>54570</v>
      </c>
      <c r="G63" s="521">
        <f>+B63/F63</f>
        <v>1.0595931830676195</v>
      </c>
      <c r="H63" s="522">
        <f>D63/F63</f>
        <v>0.78885834707714864</v>
      </c>
      <c r="I63" s="523">
        <f>((+S62*4)+(S63*8))/12</f>
        <v>2.39</v>
      </c>
      <c r="J63" s="524">
        <f t="shared" si="13"/>
        <v>62362.276987447709</v>
      </c>
      <c r="K63" s="524">
        <f t="shared" si="14"/>
        <v>46428.198605299862</v>
      </c>
      <c r="L63" s="525">
        <f t="shared" si="15"/>
        <v>58854.924686192477</v>
      </c>
      <c r="N63" s="471">
        <v>2016</v>
      </c>
      <c r="O63" s="531">
        <f>AVERAGE(53958,54481,54730,55111)</f>
        <v>54570</v>
      </c>
      <c r="P63" s="532">
        <v>43040</v>
      </c>
      <c r="R63" s="471">
        <v>2016</v>
      </c>
      <c r="S63" s="472">
        <v>2.4</v>
      </c>
    </row>
    <row r="64" spans="1:19" x14ac:dyDescent="0.3">
      <c r="A64" s="552" t="s">
        <v>530</v>
      </c>
      <c r="B64" s="516">
        <f>+Table2!K64</f>
        <v>58820.624313845299</v>
      </c>
      <c r="C64" s="517" t="s">
        <v>3</v>
      </c>
      <c r="D64" s="518">
        <f>+Table2!M64</f>
        <v>44704.040055013698</v>
      </c>
      <c r="E64" s="519"/>
      <c r="F64" s="520">
        <f>O64</f>
        <v>56558.75</v>
      </c>
      <c r="G64" s="521">
        <f>+B64/F64</f>
        <v>1.0399915895214322</v>
      </c>
      <c r="H64" s="522">
        <f>D64/F64</f>
        <v>0.79040007169560322</v>
      </c>
      <c r="I64" s="523">
        <f>((+S63*4)+(S64*8))/12</f>
        <v>2.4339999999999997</v>
      </c>
      <c r="J64" s="524">
        <f t="shared" si="13"/>
        <v>62292.507233492994</v>
      </c>
      <c r="K64" s="524">
        <f t="shared" si="14"/>
        <v>47342.6926520708</v>
      </c>
      <c r="L64" s="525">
        <f t="shared" si="15"/>
        <v>59897.125958641489</v>
      </c>
      <c r="N64" s="471">
        <v>2017</v>
      </c>
      <c r="O64" s="531">
        <f>AVERAGE(56164,56328,56682,57061)</f>
        <v>56558.75</v>
      </c>
      <c r="P64" s="532"/>
      <c r="R64" s="471">
        <v>2017</v>
      </c>
      <c r="S64" s="472">
        <v>2.4510000000000001</v>
      </c>
    </row>
    <row r="65" spans="1:19" x14ac:dyDescent="0.3">
      <c r="A65" s="552" t="s">
        <v>536</v>
      </c>
      <c r="B65" s="516">
        <f>+Table2!K65</f>
        <v>60388</v>
      </c>
      <c r="C65" s="517" t="s">
        <v>3</v>
      </c>
      <c r="D65" s="518">
        <f>+Table2!M65</f>
        <v>47275</v>
      </c>
      <c r="E65" s="519"/>
      <c r="F65" s="520">
        <f t="shared" si="18"/>
        <v>62017</v>
      </c>
      <c r="G65" s="521">
        <f t="shared" si="19"/>
        <v>0.9737330086911653</v>
      </c>
      <c r="H65" s="522">
        <f t="shared" si="20"/>
        <v>0.76229098472999335</v>
      </c>
      <c r="I65" s="523">
        <f>((+S64*4)+(S65*8))/12</f>
        <v>2.4910000000000001</v>
      </c>
      <c r="J65" s="524">
        <f t="shared" si="13"/>
        <v>62489.014318212234</v>
      </c>
      <c r="K65" s="524">
        <f t="shared" si="14"/>
        <v>48919.787903117896</v>
      </c>
      <c r="L65" s="525">
        <f t="shared" si="15"/>
        <v>64174.690351933634</v>
      </c>
      <c r="N65" s="471">
        <v>2018</v>
      </c>
      <c r="O65" s="512">
        <f>AVERAGE(61196,61668,62471,62733)</f>
        <v>62017</v>
      </c>
      <c r="P65" s="513">
        <v>43770</v>
      </c>
      <c r="R65" s="471">
        <v>2018</v>
      </c>
      <c r="S65" s="472">
        <v>2.5110000000000001</v>
      </c>
    </row>
    <row r="66" spans="1:19" x14ac:dyDescent="0.3">
      <c r="A66" s="552" t="s">
        <v>547</v>
      </c>
      <c r="B66" s="516">
        <f>+Table2!K66</f>
        <v>77203</v>
      </c>
      <c r="C66" s="517" t="s">
        <v>3</v>
      </c>
      <c r="D66" s="518">
        <f>+Table2!M66</f>
        <v>50404</v>
      </c>
      <c r="E66" s="519"/>
      <c r="F66" s="520">
        <f t="shared" si="18"/>
        <v>64250.25</v>
      </c>
      <c r="G66" s="521">
        <f t="shared" si="19"/>
        <v>1.2015984373601658</v>
      </c>
      <c r="H66" s="522">
        <f t="shared" si="20"/>
        <v>0.7844950019649729</v>
      </c>
      <c r="I66" s="523">
        <f>((+S65*4)+(S66*8))/12</f>
        <v>2.5416666666666665</v>
      </c>
      <c r="J66" s="524">
        <f t="shared" si="13"/>
        <v>78296.498229508215</v>
      </c>
      <c r="K66" s="524">
        <f t="shared" si="14"/>
        <v>51117.91895081968</v>
      </c>
      <c r="L66" s="525">
        <f t="shared" si="15"/>
        <v>65160.286327868867</v>
      </c>
      <c r="N66" s="471">
        <v>2019</v>
      </c>
      <c r="O66" s="512">
        <f>AVERAGE(63558,64115,64459,64869)</f>
        <v>64250.25</v>
      </c>
      <c r="P66" s="513"/>
      <c r="R66" s="471">
        <v>2019</v>
      </c>
      <c r="S66" s="472">
        <v>2.5569999999999999</v>
      </c>
    </row>
    <row r="67" spans="1:19" ht="17.25" thickBot="1" x14ac:dyDescent="0.35">
      <c r="A67" s="566" t="s">
        <v>570</v>
      </c>
      <c r="B67" s="533">
        <f>+Table2!K67</f>
        <v>81082</v>
      </c>
      <c r="C67" s="534" t="s">
        <v>3</v>
      </c>
      <c r="D67" s="533">
        <f>+Table2!M67</f>
        <v>53464</v>
      </c>
      <c r="E67" s="535"/>
      <c r="F67" s="536">
        <f t="shared" ref="F67" si="22">O67</f>
        <v>69093.75</v>
      </c>
      <c r="G67" s="537">
        <f t="shared" ref="G67" si="23">+B67/F67</f>
        <v>1.1735070104025327</v>
      </c>
      <c r="H67" s="538">
        <f t="shared" ref="H67" si="24">D67/F67</f>
        <v>0.77378923563998192</v>
      </c>
      <c r="I67" s="539">
        <f>((+S66*4)+(S67*8))/12</f>
        <v>2.577666666666667</v>
      </c>
      <c r="J67" s="540">
        <f t="shared" si="13"/>
        <v>81082</v>
      </c>
      <c r="K67" s="540">
        <f t="shared" si="14"/>
        <v>53464</v>
      </c>
      <c r="L67" s="541">
        <f t="shared" si="15"/>
        <v>69093.75</v>
      </c>
      <c r="N67" s="542">
        <v>2020</v>
      </c>
      <c r="O67" s="756">
        <f>AVERAGE(66425,71106,68162,70682)</f>
        <v>69093.75</v>
      </c>
      <c r="P67" s="757">
        <v>44075</v>
      </c>
      <c r="R67" s="542">
        <v>2020</v>
      </c>
      <c r="S67" s="543">
        <v>2.5880000000000001</v>
      </c>
    </row>
    <row r="68" spans="1:19" ht="17.25" thickTop="1" x14ac:dyDescent="0.3">
      <c r="D68" s="544"/>
      <c r="J68" s="545"/>
      <c r="L68" s="546"/>
      <c r="S68" s="547"/>
    </row>
    <row r="69" spans="1:19" x14ac:dyDescent="0.3">
      <c r="A69" s="548" t="s">
        <v>403</v>
      </c>
      <c r="G69" s="548" t="s">
        <v>404</v>
      </c>
      <c r="I69" s="463"/>
      <c r="N69" s="463" t="s">
        <v>293</v>
      </c>
      <c r="S69" s="547"/>
    </row>
    <row r="70" spans="1:19" x14ac:dyDescent="0.3">
      <c r="A70" s="463" t="s">
        <v>516</v>
      </c>
      <c r="G70" s="463" t="s">
        <v>4</v>
      </c>
      <c r="I70" s="463"/>
    </row>
    <row r="71" spans="1:19" x14ac:dyDescent="0.3">
      <c r="A71" s="463" t="s">
        <v>517</v>
      </c>
      <c r="G71" s="463" t="s">
        <v>510</v>
      </c>
      <c r="I71" s="463"/>
    </row>
    <row r="72" spans="1:19" x14ac:dyDescent="0.3">
      <c r="G72" s="463" t="s">
        <v>481</v>
      </c>
      <c r="I72" s="463"/>
    </row>
    <row r="73" spans="1:19" x14ac:dyDescent="0.3">
      <c r="A73" s="548" t="s">
        <v>405</v>
      </c>
      <c r="G73" s="463" t="s">
        <v>5</v>
      </c>
      <c r="I73" s="463"/>
    </row>
    <row r="74" spans="1:19" x14ac:dyDescent="0.3">
      <c r="A74" s="463" t="s">
        <v>497</v>
      </c>
      <c r="G74" s="463" t="s">
        <v>266</v>
      </c>
      <c r="I74" s="463"/>
    </row>
    <row r="75" spans="1:19" x14ac:dyDescent="0.3">
      <c r="G75" s="463" t="s">
        <v>267</v>
      </c>
      <c r="I75" s="463"/>
    </row>
    <row r="76" spans="1:19" x14ac:dyDescent="0.3">
      <c r="A76" s="548" t="s">
        <v>406</v>
      </c>
      <c r="G76" s="463" t="s">
        <v>268</v>
      </c>
      <c r="I76" s="463"/>
    </row>
    <row r="77" spans="1:19" x14ac:dyDescent="0.3">
      <c r="A77" s="463" t="s">
        <v>329</v>
      </c>
      <c r="G77" s="463" t="s">
        <v>206</v>
      </c>
      <c r="I77" s="463"/>
    </row>
    <row r="78" spans="1:19" x14ac:dyDescent="0.3">
      <c r="A78" s="463" t="s">
        <v>335</v>
      </c>
      <c r="G78" s="463" t="s">
        <v>275</v>
      </c>
      <c r="I78" s="463"/>
    </row>
    <row r="79" spans="1:19" x14ac:dyDescent="0.3">
      <c r="A79" s="548"/>
      <c r="G79" s="463" t="s">
        <v>292</v>
      </c>
      <c r="I79" s="463"/>
    </row>
    <row r="80" spans="1:19" x14ac:dyDescent="0.3">
      <c r="G80" s="463" t="s">
        <v>327</v>
      </c>
      <c r="I80" s="463"/>
    </row>
    <row r="81" spans="7:9" x14ac:dyDescent="0.3">
      <c r="G81" s="463" t="s">
        <v>340</v>
      </c>
      <c r="I81" s="463"/>
    </row>
    <row r="82" spans="7:9" x14ac:dyDescent="0.3">
      <c r="G82" s="463" t="s">
        <v>352</v>
      </c>
      <c r="I82" s="463"/>
    </row>
    <row r="83" spans="7:9" x14ac:dyDescent="0.3">
      <c r="G83" s="463" t="s">
        <v>353</v>
      </c>
      <c r="I83" s="463"/>
    </row>
    <row r="84" spans="7:9" x14ac:dyDescent="0.3">
      <c r="G84" s="463" t="s">
        <v>365</v>
      </c>
      <c r="I84" s="463"/>
    </row>
    <row r="85" spans="7:9" x14ac:dyDescent="0.3">
      <c r="G85" s="463" t="s">
        <v>377</v>
      </c>
      <c r="I85" s="463"/>
    </row>
    <row r="86" spans="7:9" x14ac:dyDescent="0.3">
      <c r="G86" s="463" t="s">
        <v>482</v>
      </c>
      <c r="I86" s="463"/>
    </row>
    <row r="87" spans="7:9" x14ac:dyDescent="0.3">
      <c r="G87" s="463" t="s">
        <v>483</v>
      </c>
      <c r="I87" s="463"/>
    </row>
    <row r="88" spans="7:9" x14ac:dyDescent="0.3">
      <c r="G88" s="463" t="s">
        <v>499</v>
      </c>
      <c r="I88" s="463"/>
    </row>
    <row r="89" spans="7:9" x14ac:dyDescent="0.3">
      <c r="G89" s="463" t="s">
        <v>532</v>
      </c>
      <c r="I89" s="463"/>
    </row>
    <row r="90" spans="7:9" x14ac:dyDescent="0.3">
      <c r="G90" s="463" t="s">
        <v>539</v>
      </c>
      <c r="I90" s="463"/>
    </row>
    <row r="91" spans="7:9" x14ac:dyDescent="0.3">
      <c r="G91" s="463" t="s">
        <v>582</v>
      </c>
      <c r="I91" s="463"/>
    </row>
    <row r="92" spans="7:9" x14ac:dyDescent="0.3">
      <c r="G92" s="463" t="s">
        <v>585</v>
      </c>
      <c r="I92" s="463"/>
    </row>
    <row r="93" spans="7:9" x14ac:dyDescent="0.3">
      <c r="G93" s="463" t="s">
        <v>269</v>
      </c>
      <c r="I93" s="463"/>
    </row>
    <row r="94" spans="7:9" x14ac:dyDescent="0.3">
      <c r="G94" s="463" t="s">
        <v>586</v>
      </c>
      <c r="I94" s="463"/>
    </row>
    <row r="95" spans="7:9" x14ac:dyDescent="0.3">
      <c r="G95" s="463" t="s">
        <v>6</v>
      </c>
      <c r="I95" s="463"/>
    </row>
  </sheetData>
  <mergeCells count="2">
    <mergeCell ref="A1:L1"/>
    <mergeCell ref="A2:L2"/>
  </mergeCells>
  <phoneticPr fontId="0" type="noConversion"/>
  <printOptions horizontalCentered="1" verticalCentered="1"/>
  <pageMargins left="0.75" right="0.75" top="1" bottom="1" header="0.5" footer="0.5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pane ySplit="6" topLeftCell="A19" activePane="bottomLeft" state="frozen"/>
      <selection pane="bottomLeft" activeCell="E44" sqref="E44"/>
    </sheetView>
  </sheetViews>
  <sheetFormatPr defaultRowHeight="10.5" x14ac:dyDescent="0.15"/>
  <cols>
    <col min="1" max="1" width="2.7109375" style="11" customWidth="1"/>
    <col min="2" max="2" width="18.7109375" style="11" customWidth="1"/>
    <col min="3" max="3" width="9" style="11" bestFit="1" customWidth="1"/>
    <col min="4" max="4" width="8" style="11" bestFit="1" customWidth="1"/>
    <col min="5" max="5" width="8.7109375" style="11" bestFit="1" customWidth="1"/>
    <col min="6" max="6" width="7.7109375" style="11" customWidth="1"/>
    <col min="7" max="11" width="6.7109375" style="11" customWidth="1"/>
    <col min="12" max="16384" width="9.140625" style="11"/>
  </cols>
  <sheetData>
    <row r="1" spans="1:11" x14ac:dyDescent="0.15">
      <c r="A1" s="5" t="s">
        <v>200</v>
      </c>
      <c r="B1" s="6"/>
      <c r="C1" s="7"/>
      <c r="D1" s="7"/>
      <c r="E1" s="8"/>
      <c r="F1" s="9"/>
      <c r="G1" s="7"/>
      <c r="H1" s="7"/>
      <c r="I1" s="10"/>
      <c r="J1" s="7"/>
    </row>
    <row r="2" spans="1:11" x14ac:dyDescent="0.15">
      <c r="A2" s="5"/>
      <c r="B2" s="6"/>
      <c r="C2" s="7"/>
      <c r="D2" s="7"/>
      <c r="E2" s="8"/>
      <c r="F2" s="9"/>
      <c r="G2" s="7"/>
      <c r="H2" s="7"/>
      <c r="I2" s="10"/>
      <c r="J2" s="7"/>
    </row>
    <row r="3" spans="1:11" x14ac:dyDescent="0.15">
      <c r="A3" s="5"/>
      <c r="B3" s="6"/>
      <c r="C3" s="7"/>
      <c r="D3" s="7" t="s">
        <v>444</v>
      </c>
      <c r="E3" s="8"/>
      <c r="F3" s="17" t="s">
        <v>345</v>
      </c>
      <c r="G3" s="867" t="s">
        <v>553</v>
      </c>
      <c r="H3" s="867"/>
      <c r="I3" s="867"/>
      <c r="J3" s="867"/>
      <c r="K3" s="867"/>
    </row>
    <row r="4" spans="1:11" x14ac:dyDescent="0.15">
      <c r="A4" s="5"/>
      <c r="B4" s="6"/>
      <c r="C4" s="7"/>
      <c r="D4" s="7" t="s">
        <v>349</v>
      </c>
      <c r="E4" s="8" t="s">
        <v>41</v>
      </c>
      <c r="F4" s="17" t="s">
        <v>549</v>
      </c>
      <c r="G4" s="7" t="s">
        <v>346</v>
      </c>
      <c r="H4" s="7" t="s">
        <v>41</v>
      </c>
      <c r="I4" s="7" t="s">
        <v>347</v>
      </c>
      <c r="J4" s="7" t="s">
        <v>445</v>
      </c>
      <c r="K4" s="10" t="s">
        <v>348</v>
      </c>
    </row>
    <row r="5" spans="1:11" x14ac:dyDescent="0.15">
      <c r="A5" s="5" t="s">
        <v>201</v>
      </c>
      <c r="B5" s="6"/>
      <c r="C5" s="7" t="s">
        <v>202</v>
      </c>
      <c r="D5" s="7" t="s">
        <v>446</v>
      </c>
      <c r="E5" s="8" t="s">
        <v>8</v>
      </c>
      <c r="F5" s="17" t="s">
        <v>550</v>
      </c>
      <c r="G5" s="7" t="s">
        <v>349</v>
      </c>
      <c r="H5" s="7" t="s">
        <v>349</v>
      </c>
      <c r="I5" s="7" t="s">
        <v>350</v>
      </c>
      <c r="J5" s="7" t="s">
        <v>350</v>
      </c>
      <c r="K5" s="10" t="s">
        <v>351</v>
      </c>
    </row>
    <row r="6" spans="1:11" x14ac:dyDescent="0.15">
      <c r="A6" s="12"/>
      <c r="B6" s="12"/>
      <c r="C6" s="13"/>
      <c r="D6" s="13"/>
      <c r="E6" s="14"/>
      <c r="F6" s="17"/>
      <c r="G6" s="13"/>
      <c r="H6" s="13"/>
      <c r="I6" s="13"/>
      <c r="J6" s="13"/>
      <c r="K6" s="15"/>
    </row>
    <row r="7" spans="1:11" x14ac:dyDescent="0.15">
      <c r="A7" s="754" t="s">
        <v>408</v>
      </c>
      <c r="B7" s="12" t="s">
        <v>157</v>
      </c>
      <c r="C7" s="13">
        <v>289</v>
      </c>
      <c r="D7" s="13">
        <v>8776</v>
      </c>
      <c r="E7" s="16">
        <v>251.9</v>
      </c>
      <c r="F7" s="17">
        <v>1.63626</v>
      </c>
      <c r="G7" s="13">
        <v>163987</v>
      </c>
      <c r="H7" s="13">
        <v>182880</v>
      </c>
      <c r="I7" s="13">
        <v>13419</v>
      </c>
      <c r="J7" s="13">
        <v>36347</v>
      </c>
      <c r="K7" s="15">
        <v>249.9</v>
      </c>
    </row>
    <row r="8" spans="1:11" x14ac:dyDescent="0.15">
      <c r="A8" s="754" t="s">
        <v>409</v>
      </c>
      <c r="B8" s="12" t="s">
        <v>133</v>
      </c>
      <c r="C8" s="13">
        <v>160</v>
      </c>
      <c r="D8" s="13">
        <v>7749</v>
      </c>
      <c r="E8" s="16">
        <v>136.81</v>
      </c>
      <c r="F8" s="17">
        <v>1.6443399999999999</v>
      </c>
      <c r="G8" s="13">
        <v>169983</v>
      </c>
      <c r="H8" s="13">
        <v>192176</v>
      </c>
      <c r="I8" s="13">
        <v>12729</v>
      </c>
      <c r="J8" s="13">
        <v>36961</v>
      </c>
      <c r="K8" s="15">
        <v>256.10000000000002</v>
      </c>
    </row>
    <row r="9" spans="1:11" x14ac:dyDescent="0.15">
      <c r="A9" s="754" t="s">
        <v>410</v>
      </c>
      <c r="B9" s="12" t="s">
        <v>134</v>
      </c>
      <c r="C9" s="13">
        <v>1292</v>
      </c>
      <c r="D9" s="13">
        <v>3597</v>
      </c>
      <c r="E9" s="16">
        <v>993.82</v>
      </c>
      <c r="F9" s="17">
        <v>1.71109</v>
      </c>
      <c r="G9" s="755">
        <v>139080</v>
      </c>
      <c r="H9" s="13">
        <v>147961</v>
      </c>
      <c r="I9" s="13">
        <v>12356</v>
      </c>
      <c r="J9" s="13">
        <v>32117</v>
      </c>
      <c r="K9" s="15">
        <v>248.3</v>
      </c>
    </row>
    <row r="10" spans="1:11" x14ac:dyDescent="0.15">
      <c r="A10" s="754" t="s">
        <v>411</v>
      </c>
      <c r="B10" s="12" t="s">
        <v>141</v>
      </c>
      <c r="C10" s="13">
        <v>1370</v>
      </c>
      <c r="D10" s="13">
        <v>3539</v>
      </c>
      <c r="E10" s="16">
        <v>1194.0899999999999</v>
      </c>
      <c r="F10" s="17">
        <v>1.6886300000000001</v>
      </c>
      <c r="G10" s="13">
        <v>134261</v>
      </c>
      <c r="H10" s="13">
        <v>142390</v>
      </c>
      <c r="I10" s="13">
        <v>12261</v>
      </c>
      <c r="J10" s="13">
        <v>31871</v>
      </c>
      <c r="K10" s="15">
        <v>243.3</v>
      </c>
    </row>
    <row r="11" spans="1:11" x14ac:dyDescent="0.15">
      <c r="A11" s="754" t="s">
        <v>412</v>
      </c>
      <c r="B11" s="12" t="s">
        <v>151</v>
      </c>
      <c r="C11" s="13">
        <v>600</v>
      </c>
      <c r="D11" s="13">
        <v>2698</v>
      </c>
      <c r="E11" s="16">
        <v>521.88</v>
      </c>
      <c r="F11" s="17">
        <v>1.6153900000000001</v>
      </c>
      <c r="G11" s="13">
        <v>120598</v>
      </c>
      <c r="H11" s="13">
        <v>127162</v>
      </c>
      <c r="I11" s="13">
        <v>12249</v>
      </c>
      <c r="J11" s="13">
        <v>28768</v>
      </c>
      <c r="K11" s="15">
        <v>245.1</v>
      </c>
    </row>
    <row r="12" spans="1:11" x14ac:dyDescent="0.15">
      <c r="A12" s="754" t="s">
        <v>413</v>
      </c>
      <c r="B12" s="12" t="s">
        <v>142</v>
      </c>
      <c r="C12" s="13">
        <v>905</v>
      </c>
      <c r="D12" s="13">
        <v>3599</v>
      </c>
      <c r="E12" s="16">
        <v>744.44</v>
      </c>
      <c r="F12" s="17">
        <v>1.6970700000000001</v>
      </c>
      <c r="G12" s="13">
        <v>139595</v>
      </c>
      <c r="H12" s="13">
        <v>148874</v>
      </c>
      <c r="I12" s="13">
        <v>12642</v>
      </c>
      <c r="J12" s="13">
        <v>32359</v>
      </c>
      <c r="K12" s="15">
        <v>240.7</v>
      </c>
    </row>
    <row r="13" spans="1:11" x14ac:dyDescent="0.15">
      <c r="A13" s="754" t="s">
        <v>414</v>
      </c>
      <c r="B13" s="12" t="s">
        <v>150</v>
      </c>
      <c r="C13" s="13">
        <v>1028</v>
      </c>
      <c r="D13" s="13">
        <v>3645</v>
      </c>
      <c r="E13" s="16">
        <v>897.91</v>
      </c>
      <c r="F13" s="17">
        <v>1.6378900000000001</v>
      </c>
      <c r="G13" s="13">
        <v>129989</v>
      </c>
      <c r="H13" s="13">
        <v>138467</v>
      </c>
      <c r="I13" s="13">
        <v>12194</v>
      </c>
      <c r="J13" s="13">
        <v>31171</v>
      </c>
      <c r="K13" s="15">
        <v>244.3</v>
      </c>
    </row>
    <row r="14" spans="1:11" x14ac:dyDescent="0.15">
      <c r="A14" s="754" t="s">
        <v>415</v>
      </c>
      <c r="B14" s="12" t="s">
        <v>135</v>
      </c>
      <c r="C14" s="13">
        <v>723</v>
      </c>
      <c r="D14" s="13">
        <v>2682</v>
      </c>
      <c r="E14" s="16">
        <v>231.22</v>
      </c>
      <c r="F14" s="17">
        <v>1.6657999999999999</v>
      </c>
      <c r="G14" s="13">
        <v>114431</v>
      </c>
      <c r="H14" s="13">
        <v>121700</v>
      </c>
      <c r="I14" s="13">
        <v>12036</v>
      </c>
      <c r="J14" s="13">
        <v>27369</v>
      </c>
      <c r="K14" s="15">
        <v>223.3</v>
      </c>
    </row>
    <row r="15" spans="1:11" x14ac:dyDescent="0.15">
      <c r="A15" s="754" t="s">
        <v>416</v>
      </c>
      <c r="B15" s="12" t="s">
        <v>526</v>
      </c>
      <c r="C15" s="13">
        <v>34915</v>
      </c>
      <c r="D15" s="13">
        <v>5021</v>
      </c>
      <c r="E15" s="16">
        <v>27940.44</v>
      </c>
      <c r="F15" s="17">
        <v>1.4957100000000001</v>
      </c>
      <c r="G15" s="13">
        <v>74975</v>
      </c>
      <c r="H15" s="13">
        <v>83758</v>
      </c>
      <c r="I15" s="13">
        <v>11525</v>
      </c>
      <c r="J15" s="13">
        <v>19496</v>
      </c>
      <c r="K15" s="15">
        <v>180.8</v>
      </c>
    </row>
    <row r="16" spans="1:11" x14ac:dyDescent="0.15">
      <c r="A16" s="754" t="s">
        <v>417</v>
      </c>
      <c r="B16" s="12" t="s">
        <v>136</v>
      </c>
      <c r="C16" s="13">
        <v>30319</v>
      </c>
      <c r="D16" s="13">
        <v>6988</v>
      </c>
      <c r="E16" s="16">
        <v>23241.63</v>
      </c>
      <c r="F16" s="17">
        <v>1.5652999999999999</v>
      </c>
      <c r="G16" s="13">
        <v>78491</v>
      </c>
      <c r="H16" s="13">
        <v>91044</v>
      </c>
      <c r="I16" s="13">
        <v>11872</v>
      </c>
      <c r="J16" s="13">
        <v>20805</v>
      </c>
      <c r="K16" s="15">
        <v>180.9</v>
      </c>
    </row>
    <row r="17" spans="1:11" x14ac:dyDescent="0.15">
      <c r="A17" s="754" t="s">
        <v>418</v>
      </c>
      <c r="B17" s="12" t="s">
        <v>137</v>
      </c>
      <c r="C17" s="13">
        <v>14274</v>
      </c>
      <c r="D17" s="13">
        <v>6478</v>
      </c>
      <c r="E17" s="16">
        <v>7735.05</v>
      </c>
      <c r="F17" s="17">
        <v>1.5182899999999999</v>
      </c>
      <c r="G17" s="13">
        <v>77095</v>
      </c>
      <c r="H17" s="13">
        <v>88272</v>
      </c>
      <c r="I17" s="13">
        <v>11563</v>
      </c>
      <c r="J17" s="13">
        <v>20209</v>
      </c>
      <c r="K17" s="15">
        <v>180.9</v>
      </c>
    </row>
    <row r="18" spans="1:11" x14ac:dyDescent="0.15">
      <c r="A18" s="754" t="s">
        <v>527</v>
      </c>
      <c r="B18" s="12" t="s">
        <v>528</v>
      </c>
      <c r="C18" s="13">
        <v>4988</v>
      </c>
      <c r="D18" s="13">
        <v>5671</v>
      </c>
      <c r="E18" s="16">
        <v>3937.8</v>
      </c>
      <c r="F18" s="17">
        <v>1.5770200000000001</v>
      </c>
      <c r="G18" s="13">
        <v>79506</v>
      </c>
      <c r="H18" s="13">
        <v>90848</v>
      </c>
      <c r="I18" s="13">
        <v>11909</v>
      </c>
      <c r="J18" s="13">
        <v>20556</v>
      </c>
      <c r="K18" s="15">
        <v>180.8</v>
      </c>
    </row>
    <row r="19" spans="1:11" x14ac:dyDescent="0.15">
      <c r="A19" s="754" t="s">
        <v>419</v>
      </c>
      <c r="B19" s="12" t="s">
        <v>138</v>
      </c>
      <c r="C19" s="13">
        <v>4919</v>
      </c>
      <c r="D19" s="13">
        <v>5931</v>
      </c>
      <c r="E19" s="16">
        <v>2019.85</v>
      </c>
      <c r="F19" s="17">
        <v>1.68675</v>
      </c>
      <c r="G19" s="13">
        <v>87164</v>
      </c>
      <c r="H19" s="13">
        <v>104256</v>
      </c>
      <c r="I19" s="13">
        <v>11874</v>
      </c>
      <c r="J19" s="13">
        <v>23628</v>
      </c>
      <c r="K19" s="15">
        <v>181.9</v>
      </c>
    </row>
    <row r="20" spans="1:11" x14ac:dyDescent="0.15">
      <c r="A20" s="754" t="s">
        <v>420</v>
      </c>
      <c r="B20" s="12" t="s">
        <v>149</v>
      </c>
      <c r="C20" s="13">
        <v>1181</v>
      </c>
      <c r="D20" s="13">
        <v>7397</v>
      </c>
      <c r="E20" s="16">
        <v>832.53</v>
      </c>
      <c r="F20" s="17">
        <v>1.71644</v>
      </c>
      <c r="G20" s="13">
        <v>87787</v>
      </c>
      <c r="H20" s="13">
        <v>102381</v>
      </c>
      <c r="I20" s="13">
        <v>11927</v>
      </c>
      <c r="J20" s="13">
        <v>23242</v>
      </c>
      <c r="K20" s="15">
        <v>180.7</v>
      </c>
    </row>
    <row r="21" spans="1:11" x14ac:dyDescent="0.15">
      <c r="A21" s="754" t="s">
        <v>421</v>
      </c>
      <c r="B21" s="12" t="s">
        <v>143</v>
      </c>
      <c r="C21" s="13">
        <v>2966</v>
      </c>
      <c r="D21" s="13">
        <v>8174</v>
      </c>
      <c r="E21" s="16">
        <v>2710.45</v>
      </c>
      <c r="F21" s="17">
        <v>1.5816300000000001</v>
      </c>
      <c r="G21" s="13">
        <v>79072</v>
      </c>
      <c r="H21" s="13">
        <v>91900</v>
      </c>
      <c r="I21" s="13">
        <v>11829</v>
      </c>
      <c r="J21" s="13">
        <v>20998</v>
      </c>
      <c r="K21" s="15">
        <v>180.8</v>
      </c>
    </row>
    <row r="22" spans="1:11" x14ac:dyDescent="0.15">
      <c r="A22" s="754" t="s">
        <v>422</v>
      </c>
      <c r="B22" s="12" t="s">
        <v>144</v>
      </c>
      <c r="C22" s="13">
        <v>575</v>
      </c>
      <c r="D22" s="13">
        <v>8450</v>
      </c>
      <c r="E22" s="16">
        <v>477.75</v>
      </c>
      <c r="F22" s="17">
        <v>1.52867</v>
      </c>
      <c r="G22" s="13">
        <v>79115</v>
      </c>
      <c r="H22" s="13">
        <v>92194</v>
      </c>
      <c r="I22" s="13">
        <v>12033</v>
      </c>
      <c r="J22" s="13">
        <v>20089</v>
      </c>
      <c r="K22" s="15">
        <v>181</v>
      </c>
    </row>
    <row r="23" spans="1:11" x14ac:dyDescent="0.15">
      <c r="A23" s="754" t="s">
        <v>423</v>
      </c>
      <c r="B23" s="12" t="s">
        <v>145</v>
      </c>
      <c r="C23" s="13">
        <v>182</v>
      </c>
      <c r="D23" s="13">
        <v>7854</v>
      </c>
      <c r="E23" s="16">
        <v>163.85</v>
      </c>
      <c r="F23" s="17">
        <v>1.51136</v>
      </c>
      <c r="G23" s="13">
        <v>75390</v>
      </c>
      <c r="H23" s="13">
        <v>86381</v>
      </c>
      <c r="I23" s="13">
        <v>11397</v>
      </c>
      <c r="J23" s="13">
        <v>20027</v>
      </c>
      <c r="K23" s="15">
        <v>180.6</v>
      </c>
    </row>
    <row r="24" spans="1:11" x14ac:dyDescent="0.15">
      <c r="A24" s="754" t="s">
        <v>424</v>
      </c>
      <c r="B24" s="12" t="s">
        <v>272</v>
      </c>
      <c r="C24" s="13">
        <v>1566</v>
      </c>
      <c r="D24" s="13">
        <v>7864</v>
      </c>
      <c r="E24" s="16">
        <v>1392.64</v>
      </c>
      <c r="F24" s="17">
        <v>1.5708</v>
      </c>
      <c r="G24" s="13">
        <v>79934</v>
      </c>
      <c r="H24" s="13">
        <v>91952</v>
      </c>
      <c r="I24" s="13">
        <v>11690</v>
      </c>
      <c r="J24" s="13">
        <v>20112</v>
      </c>
      <c r="K24" s="15">
        <v>180.9</v>
      </c>
    </row>
    <row r="25" spans="1:11" x14ac:dyDescent="0.15">
      <c r="A25" s="754" t="s">
        <v>425</v>
      </c>
      <c r="B25" s="12" t="s">
        <v>146</v>
      </c>
      <c r="C25" s="13">
        <v>1222</v>
      </c>
      <c r="D25" s="13">
        <v>9958</v>
      </c>
      <c r="E25" s="16">
        <v>1078.8699999999999</v>
      </c>
      <c r="F25" s="17">
        <v>1.61683</v>
      </c>
      <c r="G25" s="13">
        <v>81733</v>
      </c>
      <c r="H25" s="13">
        <v>96490</v>
      </c>
      <c r="I25" s="13">
        <v>11846</v>
      </c>
      <c r="J25" s="13">
        <v>21594</v>
      </c>
      <c r="K25" s="15">
        <v>180.9</v>
      </c>
    </row>
    <row r="26" spans="1:11" x14ac:dyDescent="0.15">
      <c r="A26" s="754" t="s">
        <v>426</v>
      </c>
      <c r="B26" s="12" t="s">
        <v>147</v>
      </c>
      <c r="C26" s="13">
        <v>654</v>
      </c>
      <c r="D26" s="13">
        <v>6327</v>
      </c>
      <c r="E26" s="16">
        <v>550.23</v>
      </c>
      <c r="F26" s="17">
        <v>1.33491</v>
      </c>
      <c r="G26" s="13">
        <v>69389</v>
      </c>
      <c r="H26" s="13">
        <v>79745</v>
      </c>
      <c r="I26" s="13">
        <v>11685</v>
      </c>
      <c r="J26" s="13">
        <v>17826</v>
      </c>
      <c r="K26" s="15">
        <v>181.1</v>
      </c>
    </row>
    <row r="27" spans="1:11" x14ac:dyDescent="0.15">
      <c r="A27" s="754" t="s">
        <v>427</v>
      </c>
      <c r="B27" s="12" t="s">
        <v>148</v>
      </c>
      <c r="C27" s="13">
        <v>215</v>
      </c>
      <c r="D27" s="13">
        <v>9312</v>
      </c>
      <c r="E27" s="16">
        <v>175.29</v>
      </c>
      <c r="F27" s="17">
        <v>1.57674</v>
      </c>
      <c r="G27" s="13">
        <v>84442</v>
      </c>
      <c r="H27" s="13">
        <v>99563</v>
      </c>
      <c r="I27" s="13">
        <v>12077</v>
      </c>
      <c r="J27" s="13">
        <v>20857</v>
      </c>
      <c r="K27" s="15">
        <v>180.7</v>
      </c>
    </row>
    <row r="28" spans="1:11" x14ac:dyDescent="0.15">
      <c r="A28" s="754" t="s">
        <v>428</v>
      </c>
      <c r="B28" s="12" t="s">
        <v>576</v>
      </c>
      <c r="C28" s="13">
        <v>6</v>
      </c>
      <c r="D28" s="13">
        <v>6583</v>
      </c>
      <c r="E28" s="16">
        <v>3</v>
      </c>
      <c r="F28" s="17">
        <v>1.41107</v>
      </c>
      <c r="G28" s="13">
        <v>67951</v>
      </c>
      <c r="H28" s="13">
        <v>80432</v>
      </c>
      <c r="I28" s="13">
        <v>11578</v>
      </c>
      <c r="J28" s="13">
        <v>18916</v>
      </c>
      <c r="K28" s="15">
        <v>180.8</v>
      </c>
    </row>
    <row r="29" spans="1:11" x14ac:dyDescent="0.15">
      <c r="A29" s="754" t="s">
        <v>429</v>
      </c>
      <c r="B29" s="12" t="s">
        <v>139</v>
      </c>
      <c r="C29" s="13">
        <v>698</v>
      </c>
      <c r="D29" s="13">
        <v>4620</v>
      </c>
      <c r="E29" s="16">
        <v>109.07</v>
      </c>
      <c r="F29" s="17">
        <v>1.6737899999999999</v>
      </c>
      <c r="G29" s="13">
        <v>91849</v>
      </c>
      <c r="H29" s="13">
        <v>113104</v>
      </c>
      <c r="I29" s="13">
        <v>11644</v>
      </c>
      <c r="J29" s="13">
        <v>25698</v>
      </c>
      <c r="K29" s="15">
        <v>197.9</v>
      </c>
    </row>
    <row r="30" spans="1:11" x14ac:dyDescent="0.15">
      <c r="A30" s="754" t="s">
        <v>430</v>
      </c>
      <c r="B30" s="12" t="s">
        <v>140</v>
      </c>
      <c r="C30" s="13">
        <v>81</v>
      </c>
      <c r="D30" s="13">
        <v>2654</v>
      </c>
      <c r="E30" s="16">
        <v>49.64</v>
      </c>
      <c r="F30" s="17">
        <v>1.36263</v>
      </c>
      <c r="G30" s="13">
        <v>60128</v>
      </c>
      <c r="H30" s="13">
        <v>68732</v>
      </c>
      <c r="I30" s="13">
        <v>10653</v>
      </c>
      <c r="J30" s="13">
        <v>14439</v>
      </c>
      <c r="K30" s="15">
        <v>180.5</v>
      </c>
    </row>
    <row r="31" spans="1:11" x14ac:dyDescent="0.15">
      <c r="A31" s="754" t="s">
        <v>431</v>
      </c>
      <c r="B31" s="12" t="s">
        <v>273</v>
      </c>
      <c r="C31" s="13">
        <v>4212</v>
      </c>
      <c r="D31" s="13">
        <v>2532</v>
      </c>
      <c r="E31" s="16">
        <v>59.98</v>
      </c>
      <c r="F31" s="17">
        <v>1.7664</v>
      </c>
      <c r="G31" s="13">
        <v>94862</v>
      </c>
      <c r="H31" s="13">
        <v>105698</v>
      </c>
      <c r="I31" s="13">
        <v>11983</v>
      </c>
      <c r="J31" s="13">
        <v>24245</v>
      </c>
      <c r="K31" s="15">
        <v>181.2</v>
      </c>
    </row>
    <row r="32" spans="1:11" x14ac:dyDescent="0.15">
      <c r="A32" s="754" t="s">
        <v>432</v>
      </c>
      <c r="B32" s="12" t="s">
        <v>198</v>
      </c>
      <c r="C32" s="13">
        <v>179</v>
      </c>
      <c r="D32" s="13">
        <v>0</v>
      </c>
      <c r="E32" s="16">
        <v>179.34</v>
      </c>
      <c r="F32" s="17">
        <v>1.30271</v>
      </c>
      <c r="G32" s="13">
        <v>53424</v>
      </c>
      <c r="H32" s="13">
        <v>33845</v>
      </c>
      <c r="I32" s="13">
        <v>377</v>
      </c>
      <c r="J32" s="13">
        <v>1780</v>
      </c>
      <c r="K32" s="15">
        <v>196.8</v>
      </c>
    </row>
    <row r="33" spans="1:11" x14ac:dyDescent="0.15">
      <c r="A33" s="754" t="s">
        <v>433</v>
      </c>
      <c r="B33" s="12" t="s">
        <v>199</v>
      </c>
      <c r="C33" s="13">
        <v>154</v>
      </c>
      <c r="D33" s="13">
        <v>0</v>
      </c>
      <c r="E33" s="16">
        <v>147.87</v>
      </c>
      <c r="F33" s="17">
        <v>1.1559299999999999</v>
      </c>
      <c r="G33" s="13">
        <v>68397</v>
      </c>
      <c r="H33" s="13">
        <v>3690</v>
      </c>
      <c r="I33" s="13">
        <v>3120</v>
      </c>
      <c r="J33" s="13">
        <v>4483</v>
      </c>
      <c r="K33" s="15">
        <v>182.6</v>
      </c>
    </row>
    <row r="34" spans="1:11" x14ac:dyDescent="0.15">
      <c r="A34" s="754" t="s">
        <v>434</v>
      </c>
      <c r="B34" s="12" t="s">
        <v>274</v>
      </c>
      <c r="C34" s="13">
        <v>2458</v>
      </c>
      <c r="D34" s="13">
        <v>1311</v>
      </c>
      <c r="E34" s="16">
        <v>2.1800000000000002</v>
      </c>
      <c r="F34" s="17">
        <v>0</v>
      </c>
      <c r="G34" s="13">
        <v>72438</v>
      </c>
      <c r="H34" s="13">
        <v>78437</v>
      </c>
      <c r="I34" s="13">
        <v>16430</v>
      </c>
      <c r="J34" s="13">
        <v>16992</v>
      </c>
      <c r="K34" s="15">
        <v>260</v>
      </c>
    </row>
    <row r="35" spans="1:11" x14ac:dyDescent="0.15">
      <c r="A35" s="754" t="s">
        <v>435</v>
      </c>
      <c r="B35" s="12" t="s">
        <v>110</v>
      </c>
      <c r="C35" s="13">
        <v>29986</v>
      </c>
      <c r="D35" s="13">
        <v>346</v>
      </c>
      <c r="E35" s="16">
        <v>16242.87</v>
      </c>
      <c r="F35" s="17">
        <v>2.2200000000000002E-3</v>
      </c>
      <c r="G35" s="13">
        <v>44629</v>
      </c>
      <c r="H35" s="13">
        <v>47131</v>
      </c>
      <c r="I35" s="13">
        <v>16963</v>
      </c>
      <c r="J35" s="13">
        <v>10389</v>
      </c>
      <c r="K35" s="15">
        <v>260</v>
      </c>
    </row>
    <row r="36" spans="1:11" x14ac:dyDescent="0.15">
      <c r="A36" s="754" t="s">
        <v>436</v>
      </c>
      <c r="B36" s="12" t="s">
        <v>111</v>
      </c>
      <c r="C36" s="13">
        <v>1806</v>
      </c>
      <c r="D36" s="13">
        <v>324</v>
      </c>
      <c r="E36" s="16">
        <v>1683.69</v>
      </c>
      <c r="F36" s="17">
        <v>3.6000000000000002E-4</v>
      </c>
      <c r="G36" s="13">
        <v>66096</v>
      </c>
      <c r="H36" s="13">
        <v>67229</v>
      </c>
      <c r="I36" s="13">
        <v>11529</v>
      </c>
      <c r="J36" s="13">
        <v>16122</v>
      </c>
      <c r="K36" s="15">
        <v>260</v>
      </c>
    </row>
    <row r="37" spans="1:11" x14ac:dyDescent="0.15">
      <c r="A37" s="754" t="s">
        <v>437</v>
      </c>
      <c r="B37" s="12" t="s">
        <v>112</v>
      </c>
      <c r="C37" s="13">
        <v>279</v>
      </c>
      <c r="D37" s="13">
        <v>187</v>
      </c>
      <c r="E37" s="16">
        <v>236.74</v>
      </c>
      <c r="F37" s="17">
        <v>3.15E-3</v>
      </c>
      <c r="G37" s="13">
        <v>56418</v>
      </c>
      <c r="H37" s="13">
        <v>57483</v>
      </c>
      <c r="I37" s="13">
        <v>11555</v>
      </c>
      <c r="J37" s="13">
        <v>14517</v>
      </c>
      <c r="K37" s="15">
        <v>260</v>
      </c>
    </row>
    <row r="38" spans="1:11" x14ac:dyDescent="0.15">
      <c r="A38" s="754" t="s">
        <v>438</v>
      </c>
      <c r="B38" s="12" t="s">
        <v>113</v>
      </c>
      <c r="C38" s="13">
        <v>10888</v>
      </c>
      <c r="D38" s="13">
        <v>592</v>
      </c>
      <c r="E38" s="16">
        <v>8216.4599999999991</v>
      </c>
      <c r="F38" s="17">
        <v>7.9000000000000001E-4</v>
      </c>
      <c r="G38" s="13">
        <v>54757</v>
      </c>
      <c r="H38" s="13">
        <v>57237</v>
      </c>
      <c r="I38" s="13">
        <v>13461</v>
      </c>
      <c r="J38" s="13">
        <v>12462</v>
      </c>
      <c r="K38" s="15">
        <v>260</v>
      </c>
    </row>
    <row r="39" spans="1:11" x14ac:dyDescent="0.15">
      <c r="A39" s="754" t="s">
        <v>439</v>
      </c>
      <c r="B39" s="12" t="s">
        <v>114</v>
      </c>
      <c r="C39" s="13">
        <v>6827</v>
      </c>
      <c r="D39" s="13">
        <v>296</v>
      </c>
      <c r="E39" s="16">
        <v>3538.43</v>
      </c>
      <c r="F39" s="17">
        <v>4.0999999999999999E-4</v>
      </c>
      <c r="G39" s="13">
        <v>52065</v>
      </c>
      <c r="H39" s="13">
        <v>58486</v>
      </c>
      <c r="I39" s="13">
        <v>17315</v>
      </c>
      <c r="J39" s="13">
        <v>13817</v>
      </c>
      <c r="K39" s="15">
        <v>260</v>
      </c>
    </row>
    <row r="40" spans="1:11" x14ac:dyDescent="0.15">
      <c r="A40" s="754" t="s">
        <v>440</v>
      </c>
      <c r="B40" s="12" t="s">
        <v>115</v>
      </c>
      <c r="C40" s="13">
        <v>18187</v>
      </c>
      <c r="D40" s="13">
        <v>3327</v>
      </c>
      <c r="E40" s="16">
        <v>2377.2800000000002</v>
      </c>
      <c r="F40" s="17">
        <v>1.524E-2</v>
      </c>
      <c r="G40" s="13">
        <v>73662</v>
      </c>
      <c r="H40" s="13">
        <v>80021</v>
      </c>
      <c r="I40" s="13">
        <v>13726</v>
      </c>
      <c r="J40" s="13">
        <v>17181</v>
      </c>
      <c r="K40" s="15">
        <v>260</v>
      </c>
    </row>
    <row r="41" spans="1:11" x14ac:dyDescent="0.15">
      <c r="A41" s="754" t="s">
        <v>441</v>
      </c>
      <c r="B41" s="12" t="s">
        <v>116</v>
      </c>
      <c r="C41" s="13">
        <v>12457</v>
      </c>
      <c r="D41" s="13">
        <v>272</v>
      </c>
      <c r="E41" s="16">
        <v>8878.86</v>
      </c>
      <c r="F41" s="17">
        <v>3.4000000000000002E-4</v>
      </c>
      <c r="G41" s="13">
        <v>46644</v>
      </c>
      <c r="H41" s="13">
        <v>48947</v>
      </c>
      <c r="I41" s="13">
        <v>13082</v>
      </c>
      <c r="J41" s="13">
        <v>12367</v>
      </c>
      <c r="K41" s="15">
        <v>260</v>
      </c>
    </row>
    <row r="42" spans="1:11" x14ac:dyDescent="0.15">
      <c r="A42" s="754" t="s">
        <v>442</v>
      </c>
      <c r="B42" s="12" t="s">
        <v>117</v>
      </c>
      <c r="C42" s="13">
        <v>2400</v>
      </c>
      <c r="D42" s="13">
        <v>533</v>
      </c>
      <c r="E42" s="16">
        <v>1766.8</v>
      </c>
      <c r="F42" s="17">
        <v>7.7799999999999996E-3</v>
      </c>
      <c r="G42" s="13">
        <v>72197</v>
      </c>
      <c r="H42" s="13">
        <v>74129</v>
      </c>
      <c r="I42" s="13">
        <v>12548</v>
      </c>
      <c r="J42" s="13">
        <v>16316</v>
      </c>
      <c r="K42" s="15">
        <v>260</v>
      </c>
    </row>
    <row r="43" spans="1:11" x14ac:dyDescent="0.15">
      <c r="A43" s="754" t="s">
        <v>443</v>
      </c>
      <c r="B43" s="12" t="s">
        <v>109</v>
      </c>
      <c r="C43" s="13">
        <v>2018</v>
      </c>
      <c r="D43" s="13">
        <v>1600</v>
      </c>
      <c r="E43" s="16">
        <v>1799.78</v>
      </c>
      <c r="F43" s="17">
        <v>1.268E-2</v>
      </c>
      <c r="G43" s="13">
        <v>106388</v>
      </c>
      <c r="H43" s="13">
        <v>110967</v>
      </c>
      <c r="I43" s="13">
        <v>12335</v>
      </c>
      <c r="J43" s="13">
        <v>23053</v>
      </c>
      <c r="K43" s="15">
        <v>260</v>
      </c>
    </row>
    <row r="44" spans="1:11" x14ac:dyDescent="0.15">
      <c r="A44" s="754"/>
      <c r="B44" s="12" t="s">
        <v>163</v>
      </c>
      <c r="C44" s="13">
        <v>196981</v>
      </c>
      <c r="D44" s="13">
        <v>3737</v>
      </c>
      <c r="E44" s="16">
        <v>122520.43</v>
      </c>
      <c r="F44" s="17">
        <v>0.98246</v>
      </c>
      <c r="G44" s="13">
        <v>70996</v>
      </c>
      <c r="H44" s="13">
        <v>78898</v>
      </c>
      <c r="I44" s="13">
        <v>12838</v>
      </c>
      <c r="J44" s="13">
        <v>17976</v>
      </c>
      <c r="K44" s="15">
        <v>212.4</v>
      </c>
    </row>
  </sheetData>
  <autoFilter ref="A6:K6"/>
  <mergeCells count="1">
    <mergeCell ref="G3:K3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70"/>
  <sheetViews>
    <sheetView zoomScale="75" zoomScaleNormal="75" workbookViewId="0">
      <pane ySplit="6" topLeftCell="A49" activePane="bottomLeft" state="frozen"/>
      <selection pane="bottomLeft" activeCell="W65" sqref="W65"/>
    </sheetView>
  </sheetViews>
  <sheetFormatPr defaultRowHeight="16.5" x14ac:dyDescent="0.3"/>
  <cols>
    <col min="1" max="1" width="11" style="551" customWidth="1"/>
    <col min="2" max="2" width="9.28515625" style="571" bestFit="1" customWidth="1"/>
    <col min="3" max="3" width="11" style="572" bestFit="1" customWidth="1"/>
    <col min="4" max="4" width="9.42578125" style="571" bestFit="1" customWidth="1"/>
    <col min="5" max="5" width="10.5703125" style="572" customWidth="1"/>
    <col min="6" max="6" width="10.5703125" style="571" bestFit="1" customWidth="1"/>
    <col min="7" max="7" width="10" style="572" bestFit="1" customWidth="1"/>
    <col min="8" max="8" width="9.42578125" style="571" bestFit="1" customWidth="1"/>
    <col min="9" max="9" width="10" style="572" bestFit="1" customWidth="1"/>
    <col min="10" max="10" width="10.5703125" style="571" bestFit="1" customWidth="1"/>
    <col min="11" max="11" width="10" style="572" bestFit="1" customWidth="1"/>
    <col min="12" max="12" width="10.5703125" style="571" bestFit="1" customWidth="1"/>
    <col min="13" max="13" width="10" style="572" bestFit="1" customWidth="1"/>
    <col min="14" max="16384" width="9.140625" style="551"/>
  </cols>
  <sheetData>
    <row r="1" spans="1:13" s="576" customFormat="1" ht="20.25" x14ac:dyDescent="0.35">
      <c r="A1" s="840" t="s">
        <v>387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7"/>
    </row>
    <row r="2" spans="1:13" s="576" customFormat="1" ht="21" thickBot="1" x14ac:dyDescent="0.4">
      <c r="A2" s="842" t="s">
        <v>519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8"/>
    </row>
    <row r="3" spans="1:13" ht="18" thickBot="1" x14ac:dyDescent="0.35">
      <c r="A3" s="803"/>
      <c r="B3" s="849" t="s">
        <v>68</v>
      </c>
      <c r="C3" s="849"/>
      <c r="D3" s="849"/>
      <c r="E3" s="849"/>
      <c r="F3" s="849"/>
      <c r="G3" s="849"/>
      <c r="H3" s="849"/>
      <c r="I3" s="849"/>
      <c r="J3" s="849"/>
      <c r="K3" s="850"/>
      <c r="L3" s="851" t="s">
        <v>130</v>
      </c>
      <c r="M3" s="850"/>
    </row>
    <row r="4" spans="1:13" ht="18" thickBot="1" x14ac:dyDescent="0.35">
      <c r="A4" s="804"/>
      <c r="B4" s="851" t="s">
        <v>394</v>
      </c>
      <c r="C4" s="849"/>
      <c r="D4" s="849"/>
      <c r="E4" s="850"/>
      <c r="F4" s="851" t="s">
        <v>72</v>
      </c>
      <c r="G4" s="849"/>
      <c r="H4" s="849"/>
      <c r="I4" s="850"/>
      <c r="J4" s="851" t="s">
        <v>41</v>
      </c>
      <c r="K4" s="850"/>
      <c r="L4" s="851" t="s">
        <v>41</v>
      </c>
      <c r="M4" s="850"/>
    </row>
    <row r="5" spans="1:13" ht="17.25" x14ac:dyDescent="0.3">
      <c r="A5" s="804" t="s">
        <v>70</v>
      </c>
      <c r="B5" s="845" t="s">
        <v>77</v>
      </c>
      <c r="C5" s="846"/>
      <c r="D5" s="845" t="s">
        <v>78</v>
      </c>
      <c r="E5" s="846"/>
      <c r="F5" s="845" t="s">
        <v>79</v>
      </c>
      <c r="G5" s="846"/>
      <c r="H5" s="845" t="s">
        <v>7</v>
      </c>
      <c r="I5" s="846"/>
      <c r="J5" s="845" t="s">
        <v>1</v>
      </c>
      <c r="K5" s="846"/>
      <c r="L5" s="845" t="s">
        <v>1</v>
      </c>
      <c r="M5" s="846"/>
    </row>
    <row r="6" spans="1:13" ht="18" thickBot="1" x14ac:dyDescent="0.35">
      <c r="A6" s="805" t="s">
        <v>76</v>
      </c>
      <c r="B6" s="806" t="s">
        <v>8</v>
      </c>
      <c r="C6" s="807" t="s">
        <v>349</v>
      </c>
      <c r="D6" s="806" t="s">
        <v>8</v>
      </c>
      <c r="E6" s="807" t="s">
        <v>349</v>
      </c>
      <c r="F6" s="806" t="s">
        <v>9</v>
      </c>
      <c r="G6" s="807" t="s">
        <v>349</v>
      </c>
      <c r="H6" s="806" t="s">
        <v>10</v>
      </c>
      <c r="I6" s="807" t="s">
        <v>349</v>
      </c>
      <c r="J6" s="806" t="s">
        <v>8</v>
      </c>
      <c r="K6" s="807" t="s">
        <v>349</v>
      </c>
      <c r="L6" s="806" t="s">
        <v>8</v>
      </c>
      <c r="M6" s="807" t="s">
        <v>349</v>
      </c>
    </row>
    <row r="7" spans="1:13" hidden="1" x14ac:dyDescent="0.3">
      <c r="A7" s="552" t="s">
        <v>225</v>
      </c>
      <c r="B7" s="553"/>
      <c r="C7" s="554"/>
      <c r="D7" s="553"/>
      <c r="E7" s="554"/>
      <c r="F7" s="553"/>
      <c r="G7" s="554">
        <v>5340</v>
      </c>
      <c r="H7" s="553"/>
      <c r="I7" s="554"/>
      <c r="J7" s="553"/>
      <c r="K7" s="554">
        <v>5652</v>
      </c>
      <c r="L7" s="553"/>
      <c r="M7" s="554"/>
    </row>
    <row r="8" spans="1:13" hidden="1" x14ac:dyDescent="0.3">
      <c r="A8" s="555" t="s">
        <v>226</v>
      </c>
      <c r="B8" s="553"/>
      <c r="C8" s="554"/>
      <c r="D8" s="553"/>
      <c r="E8" s="554"/>
      <c r="F8" s="553"/>
      <c r="G8" s="554">
        <v>5510</v>
      </c>
      <c r="H8" s="553"/>
      <c r="I8" s="554"/>
      <c r="J8" s="553"/>
      <c r="K8" s="554">
        <v>5745</v>
      </c>
      <c r="L8" s="553"/>
      <c r="M8" s="554"/>
    </row>
    <row r="9" spans="1:13" hidden="1" x14ac:dyDescent="0.3">
      <c r="A9" s="555" t="s">
        <v>227</v>
      </c>
      <c r="B9" s="553"/>
      <c r="C9" s="554"/>
      <c r="D9" s="553"/>
      <c r="E9" s="554"/>
      <c r="F9" s="553"/>
      <c r="G9" s="554">
        <v>5927</v>
      </c>
      <c r="H9" s="553"/>
      <c r="I9" s="554"/>
      <c r="J9" s="553"/>
      <c r="K9" s="554">
        <v>6147</v>
      </c>
      <c r="L9" s="553"/>
      <c r="M9" s="554"/>
    </row>
    <row r="10" spans="1:13" hidden="1" x14ac:dyDescent="0.3">
      <c r="A10" s="555" t="s">
        <v>228</v>
      </c>
      <c r="B10" s="553"/>
      <c r="C10" s="554"/>
      <c r="D10" s="553"/>
      <c r="E10" s="554"/>
      <c r="F10" s="553"/>
      <c r="G10" s="554">
        <v>6191</v>
      </c>
      <c r="H10" s="553"/>
      <c r="I10" s="554"/>
      <c r="J10" s="553"/>
      <c r="K10" s="554">
        <v>6424</v>
      </c>
      <c r="L10" s="553"/>
      <c r="M10" s="554"/>
    </row>
    <row r="11" spans="1:13" hidden="1" x14ac:dyDescent="0.3">
      <c r="A11" s="555" t="s">
        <v>229</v>
      </c>
      <c r="B11" s="553"/>
      <c r="C11" s="554"/>
      <c r="D11" s="553"/>
      <c r="E11" s="554"/>
      <c r="F11" s="553"/>
      <c r="G11" s="554">
        <v>6319</v>
      </c>
      <c r="H11" s="553"/>
      <c r="I11" s="554"/>
      <c r="J11" s="553"/>
      <c r="K11" s="554">
        <v>6566</v>
      </c>
      <c r="L11" s="553"/>
      <c r="M11" s="554"/>
    </row>
    <row r="12" spans="1:13" hidden="1" x14ac:dyDescent="0.3">
      <c r="A12" s="555" t="s">
        <v>230</v>
      </c>
      <c r="B12" s="553"/>
      <c r="C12" s="554"/>
      <c r="D12" s="553"/>
      <c r="E12" s="554"/>
      <c r="F12" s="553"/>
      <c r="G12" s="554">
        <v>6606</v>
      </c>
      <c r="H12" s="553"/>
      <c r="I12" s="554"/>
      <c r="J12" s="553"/>
      <c r="K12" s="554">
        <v>6865</v>
      </c>
      <c r="L12" s="553"/>
      <c r="M12" s="554"/>
    </row>
    <row r="13" spans="1:13" hidden="1" x14ac:dyDescent="0.3">
      <c r="A13" s="555" t="s">
        <v>231</v>
      </c>
      <c r="B13" s="553"/>
      <c r="C13" s="554"/>
      <c r="D13" s="553"/>
      <c r="E13" s="554"/>
      <c r="F13" s="553"/>
      <c r="G13" s="554">
        <v>6903</v>
      </c>
      <c r="H13" s="553"/>
      <c r="I13" s="554"/>
      <c r="J13" s="553"/>
      <c r="K13" s="554">
        <v>7174</v>
      </c>
      <c r="L13" s="553"/>
      <c r="M13" s="554"/>
    </row>
    <row r="14" spans="1:13" hidden="1" x14ac:dyDescent="0.3">
      <c r="A14" s="555" t="s">
        <v>232</v>
      </c>
      <c r="B14" s="553"/>
      <c r="C14" s="554"/>
      <c r="D14" s="553"/>
      <c r="E14" s="554"/>
      <c r="F14" s="553"/>
      <c r="G14" s="554">
        <v>7341</v>
      </c>
      <c r="H14" s="553"/>
      <c r="I14" s="554"/>
      <c r="J14" s="553"/>
      <c r="K14" s="554">
        <v>7673</v>
      </c>
      <c r="L14" s="553"/>
      <c r="M14" s="554"/>
    </row>
    <row r="15" spans="1:13" hidden="1" x14ac:dyDescent="0.3">
      <c r="A15" s="555" t="s">
        <v>233</v>
      </c>
      <c r="B15" s="553"/>
      <c r="C15" s="554"/>
      <c r="D15" s="553"/>
      <c r="E15" s="554"/>
      <c r="F15" s="553"/>
      <c r="G15" s="554">
        <v>7968</v>
      </c>
      <c r="H15" s="553"/>
      <c r="I15" s="554"/>
      <c r="J15" s="553"/>
      <c r="K15" s="554">
        <v>8377</v>
      </c>
      <c r="L15" s="553"/>
      <c r="M15" s="554"/>
    </row>
    <row r="16" spans="1:13" hidden="1" x14ac:dyDescent="0.3">
      <c r="A16" s="555" t="s">
        <v>234</v>
      </c>
      <c r="B16" s="553"/>
      <c r="C16" s="554"/>
      <c r="D16" s="553"/>
      <c r="E16" s="554"/>
      <c r="F16" s="553"/>
      <c r="G16" s="554">
        <v>8541</v>
      </c>
      <c r="H16" s="553"/>
      <c r="I16" s="554"/>
      <c r="J16" s="553">
        <v>38706</v>
      </c>
      <c r="K16" s="554">
        <v>8815</v>
      </c>
      <c r="L16" s="553">
        <v>15367.2</v>
      </c>
      <c r="M16" s="554">
        <v>5814</v>
      </c>
    </row>
    <row r="17" spans="1:13" hidden="1" x14ac:dyDescent="0.3">
      <c r="A17" s="555" t="s">
        <v>235</v>
      </c>
      <c r="B17" s="553"/>
      <c r="C17" s="554"/>
      <c r="D17" s="553"/>
      <c r="E17" s="554"/>
      <c r="F17" s="553"/>
      <c r="G17" s="554">
        <v>9241</v>
      </c>
      <c r="H17" s="553"/>
      <c r="I17" s="554"/>
      <c r="J17" s="553">
        <v>40461.9</v>
      </c>
      <c r="K17" s="554">
        <v>9728</v>
      </c>
      <c r="L17" s="553">
        <v>16588</v>
      </c>
      <c r="M17" s="554">
        <v>6411</v>
      </c>
    </row>
    <row r="18" spans="1:13" hidden="1" x14ac:dyDescent="0.3">
      <c r="A18" s="555" t="s">
        <v>236</v>
      </c>
      <c r="B18" s="553"/>
      <c r="C18" s="554"/>
      <c r="D18" s="553"/>
      <c r="E18" s="554"/>
      <c r="F18" s="553"/>
      <c r="G18" s="554">
        <v>9900</v>
      </c>
      <c r="H18" s="553"/>
      <c r="I18" s="554"/>
      <c r="J18" s="553">
        <v>40411.800000000003</v>
      </c>
      <c r="K18" s="554">
        <v>10419</v>
      </c>
      <c r="L18" s="553">
        <v>17405.2</v>
      </c>
      <c r="M18" s="554">
        <v>6867</v>
      </c>
    </row>
    <row r="19" spans="1:13" hidden="1" x14ac:dyDescent="0.3">
      <c r="A19" s="555" t="s">
        <v>237</v>
      </c>
      <c r="B19" s="553">
        <v>1589</v>
      </c>
      <c r="C19" s="554"/>
      <c r="D19" s="553">
        <v>1846</v>
      </c>
      <c r="E19" s="554"/>
      <c r="F19" s="553">
        <v>33600</v>
      </c>
      <c r="G19" s="554">
        <v>10175</v>
      </c>
      <c r="H19" s="553">
        <v>3019</v>
      </c>
      <c r="I19" s="554"/>
      <c r="J19" s="553">
        <v>40053.800000000003</v>
      </c>
      <c r="K19" s="554">
        <v>10708</v>
      </c>
      <c r="L19" s="553">
        <v>17657.7</v>
      </c>
      <c r="M19" s="554">
        <v>6918</v>
      </c>
    </row>
    <row r="20" spans="1:13" hidden="1" x14ac:dyDescent="0.3">
      <c r="A20" s="555" t="s">
        <v>238</v>
      </c>
      <c r="B20" s="553">
        <v>1180</v>
      </c>
      <c r="C20" s="554"/>
      <c r="D20" s="553">
        <v>2310</v>
      </c>
      <c r="E20" s="554"/>
      <c r="F20" s="553">
        <v>32725</v>
      </c>
      <c r="G20" s="554">
        <v>10716</v>
      </c>
      <c r="H20" s="553">
        <v>3895</v>
      </c>
      <c r="I20" s="554"/>
      <c r="J20" s="553">
        <v>40109.599999999999</v>
      </c>
      <c r="K20" s="554">
        <v>11289</v>
      </c>
      <c r="L20" s="553">
        <v>17520.7</v>
      </c>
      <c r="M20" s="554">
        <v>7329</v>
      </c>
    </row>
    <row r="21" spans="1:13" x14ac:dyDescent="0.3">
      <c r="A21" s="555" t="s">
        <v>239</v>
      </c>
      <c r="B21" s="553">
        <v>1191.4000000000001</v>
      </c>
      <c r="C21" s="554">
        <v>19540</v>
      </c>
      <c r="D21" s="553">
        <v>2418.9</v>
      </c>
      <c r="E21" s="554">
        <v>17368</v>
      </c>
      <c r="F21" s="553">
        <v>32651.1</v>
      </c>
      <c r="G21" s="554">
        <v>11295</v>
      </c>
      <c r="H21" s="553">
        <v>4532.3</v>
      </c>
      <c r="I21" s="554">
        <v>12454</v>
      </c>
      <c r="J21" s="553">
        <v>40793.699999999997</v>
      </c>
      <c r="K21" s="554">
        <v>12025</v>
      </c>
      <c r="L21" s="553">
        <v>17759.599999999999</v>
      </c>
      <c r="M21" s="554">
        <v>8004</v>
      </c>
    </row>
    <row r="22" spans="1:13" x14ac:dyDescent="0.3">
      <c r="A22" s="555" t="s">
        <v>240</v>
      </c>
      <c r="B22" s="553">
        <v>1211.8</v>
      </c>
      <c r="C22" s="554">
        <v>20981</v>
      </c>
      <c r="D22" s="553">
        <v>2413.1</v>
      </c>
      <c r="E22" s="554">
        <v>18893</v>
      </c>
      <c r="F22" s="553">
        <v>33555.800000000003</v>
      </c>
      <c r="G22" s="554">
        <v>12264</v>
      </c>
      <c r="H22" s="553">
        <v>4044</v>
      </c>
      <c r="I22" s="554">
        <v>13698</v>
      </c>
      <c r="J22" s="553">
        <v>41224.699999999997</v>
      </c>
      <c r="K22" s="554">
        <v>13049</v>
      </c>
      <c r="L22" s="553">
        <v>19025.7</v>
      </c>
      <c r="M22" s="554">
        <v>8678</v>
      </c>
    </row>
    <row r="23" spans="1:13" x14ac:dyDescent="0.3">
      <c r="A23" s="555" t="s">
        <v>241</v>
      </c>
      <c r="B23" s="553">
        <v>1080.8</v>
      </c>
      <c r="C23" s="554">
        <v>23213</v>
      </c>
      <c r="D23" s="553">
        <v>2336.9</v>
      </c>
      <c r="E23" s="554">
        <v>20850</v>
      </c>
      <c r="F23" s="553">
        <v>33688.9</v>
      </c>
      <c r="G23" s="554">
        <v>13666</v>
      </c>
      <c r="H23" s="553">
        <v>3486.9</v>
      </c>
      <c r="I23" s="554">
        <v>15386</v>
      </c>
      <c r="J23" s="553">
        <v>40593.4</v>
      </c>
      <c r="K23" s="554">
        <v>14481</v>
      </c>
      <c r="L23" s="553">
        <v>18894.099999999999</v>
      </c>
      <c r="M23" s="554">
        <v>9401</v>
      </c>
    </row>
    <row r="24" spans="1:13" x14ac:dyDescent="0.3">
      <c r="A24" s="555" t="s">
        <v>242</v>
      </c>
      <c r="B24" s="553">
        <v>1052.9000000000001</v>
      </c>
      <c r="C24" s="554">
        <v>25272</v>
      </c>
      <c r="D24" s="553">
        <v>2239.6</v>
      </c>
      <c r="E24" s="554">
        <v>23035</v>
      </c>
      <c r="F24" s="553">
        <v>33640.6</v>
      </c>
      <c r="G24" s="554">
        <v>14921</v>
      </c>
      <c r="H24" s="553">
        <v>3427.6</v>
      </c>
      <c r="I24" s="554">
        <v>16798</v>
      </c>
      <c r="J24" s="553">
        <v>40360.6</v>
      </c>
      <c r="K24" s="554">
        <v>15801</v>
      </c>
      <c r="L24" s="553">
        <v>18692.5</v>
      </c>
      <c r="M24" s="554">
        <v>10225</v>
      </c>
    </row>
    <row r="25" spans="1:13" x14ac:dyDescent="0.3">
      <c r="A25" s="555" t="s">
        <v>243</v>
      </c>
      <c r="B25" s="553">
        <v>1059.4000000000001</v>
      </c>
      <c r="C25" s="554">
        <v>27187</v>
      </c>
      <c r="D25" s="553">
        <v>2204.4</v>
      </c>
      <c r="E25" s="554">
        <v>25013</v>
      </c>
      <c r="F25" s="553">
        <v>34596.199999999997</v>
      </c>
      <c r="G25" s="554">
        <v>16114</v>
      </c>
      <c r="H25" s="553">
        <v>3296.9</v>
      </c>
      <c r="I25" s="554">
        <v>18098</v>
      </c>
      <c r="J25" s="553">
        <v>41157</v>
      </c>
      <c r="K25" s="554">
        <v>17032</v>
      </c>
      <c r="L25" s="553">
        <v>19591.8</v>
      </c>
      <c r="M25" s="554">
        <v>10952</v>
      </c>
    </row>
    <row r="26" spans="1:13" x14ac:dyDescent="0.3">
      <c r="A26" s="555" t="s">
        <v>244</v>
      </c>
      <c r="B26" s="553">
        <v>1072</v>
      </c>
      <c r="C26" s="554">
        <v>29333</v>
      </c>
      <c r="D26" s="553">
        <v>2271.8000000000002</v>
      </c>
      <c r="E26" s="554">
        <v>26842</v>
      </c>
      <c r="F26" s="553">
        <v>34895.5</v>
      </c>
      <c r="G26" s="554">
        <v>17357</v>
      </c>
      <c r="H26" s="553">
        <v>3398.2</v>
      </c>
      <c r="I26" s="554">
        <v>19229</v>
      </c>
      <c r="J26" s="553">
        <v>41637.5</v>
      </c>
      <c r="K26" s="554">
        <v>18336</v>
      </c>
      <c r="L26" s="553">
        <v>20147.5</v>
      </c>
      <c r="M26" s="554">
        <v>11807</v>
      </c>
    </row>
    <row r="27" spans="1:13" x14ac:dyDescent="0.3">
      <c r="A27" s="555" t="s">
        <v>245</v>
      </c>
      <c r="B27" s="553">
        <v>1112.9000000000001</v>
      </c>
      <c r="C27" s="554">
        <v>31774</v>
      </c>
      <c r="D27" s="553">
        <v>2275.1</v>
      </c>
      <c r="E27" s="554">
        <v>29166</v>
      </c>
      <c r="F27" s="553">
        <v>35499.300000000003</v>
      </c>
      <c r="G27" s="554">
        <v>18820</v>
      </c>
      <c r="H27" s="553">
        <v>3518.8</v>
      </c>
      <c r="I27" s="554">
        <v>20773</v>
      </c>
      <c r="J27" s="553">
        <v>42406.1</v>
      </c>
      <c r="K27" s="554">
        <v>19877</v>
      </c>
      <c r="L27" s="553">
        <v>21013.200000000001</v>
      </c>
      <c r="M27" s="554">
        <v>12732</v>
      </c>
    </row>
    <row r="28" spans="1:13" x14ac:dyDescent="0.3">
      <c r="A28" s="555" t="s">
        <v>246</v>
      </c>
      <c r="B28" s="553">
        <v>1136.5</v>
      </c>
      <c r="C28" s="554">
        <v>35307</v>
      </c>
      <c r="D28" s="553">
        <v>2304.1999999999998</v>
      </c>
      <c r="E28" s="554">
        <v>32721</v>
      </c>
      <c r="F28" s="553">
        <v>35599.699999999997</v>
      </c>
      <c r="G28" s="554">
        <v>21267</v>
      </c>
      <c r="H28" s="553">
        <v>3677.9</v>
      </c>
      <c r="I28" s="554">
        <v>23255</v>
      </c>
      <c r="J28" s="553">
        <v>42719</v>
      </c>
      <c r="K28" s="554">
        <v>22430</v>
      </c>
      <c r="L28" s="553">
        <v>21402.3</v>
      </c>
      <c r="M28" s="554">
        <v>14040</v>
      </c>
    </row>
    <row r="29" spans="1:13" x14ac:dyDescent="0.3">
      <c r="A29" s="555" t="s">
        <v>247</v>
      </c>
      <c r="B29" s="553">
        <v>1003</v>
      </c>
      <c r="C29" s="554">
        <v>38252</v>
      </c>
      <c r="D29" s="553">
        <v>2246.6999999999998</v>
      </c>
      <c r="E29" s="554">
        <v>35193</v>
      </c>
      <c r="F29" s="553">
        <v>35004.199999999997</v>
      </c>
      <c r="G29" s="554">
        <v>22954</v>
      </c>
      <c r="H29" s="553">
        <v>3605.9</v>
      </c>
      <c r="I29" s="554">
        <v>25045</v>
      </c>
      <c r="J29" s="553">
        <v>41859.699999999997</v>
      </c>
      <c r="K29" s="554">
        <v>24158</v>
      </c>
      <c r="L29" s="553">
        <v>19520.099999999999</v>
      </c>
      <c r="M29" s="554">
        <v>15233</v>
      </c>
    </row>
    <row r="30" spans="1:13" x14ac:dyDescent="0.3">
      <c r="A30" s="555" t="s">
        <v>248</v>
      </c>
      <c r="B30" s="553">
        <v>909.3</v>
      </c>
      <c r="C30" s="554">
        <v>39311</v>
      </c>
      <c r="D30" s="553">
        <v>2190</v>
      </c>
      <c r="E30" s="554">
        <v>35746</v>
      </c>
      <c r="F30" s="553">
        <v>34117</v>
      </c>
      <c r="G30" s="554">
        <v>23485</v>
      </c>
      <c r="H30" s="553">
        <v>3470.3</v>
      </c>
      <c r="I30" s="554">
        <v>25622</v>
      </c>
      <c r="J30" s="553">
        <v>40686</v>
      </c>
      <c r="K30" s="554">
        <v>24681</v>
      </c>
      <c r="L30" s="553">
        <v>18962.8</v>
      </c>
      <c r="M30" s="554">
        <v>15440</v>
      </c>
    </row>
    <row r="31" spans="1:13" x14ac:dyDescent="0.3">
      <c r="A31" s="555" t="s">
        <v>249</v>
      </c>
      <c r="B31" s="553">
        <v>940.7</v>
      </c>
      <c r="C31" s="554">
        <v>41409</v>
      </c>
      <c r="D31" s="553">
        <v>2191.5</v>
      </c>
      <c r="E31" s="554">
        <v>37350</v>
      </c>
      <c r="F31" s="553">
        <v>34889.5</v>
      </c>
      <c r="G31" s="554">
        <v>24420</v>
      </c>
      <c r="H31" s="553">
        <v>3596.5</v>
      </c>
      <c r="I31" s="554">
        <v>26506</v>
      </c>
      <c r="J31" s="553">
        <v>41634</v>
      </c>
      <c r="K31" s="554">
        <v>25667</v>
      </c>
      <c r="L31" s="553">
        <v>19690</v>
      </c>
      <c r="M31" s="554">
        <v>16249</v>
      </c>
    </row>
    <row r="32" spans="1:13" x14ac:dyDescent="0.3">
      <c r="A32" s="555" t="s">
        <v>250</v>
      </c>
      <c r="B32" s="553">
        <v>967.6</v>
      </c>
      <c r="C32" s="554">
        <v>43395</v>
      </c>
      <c r="D32" s="553">
        <v>2276.9</v>
      </c>
      <c r="E32" s="554">
        <v>38902</v>
      </c>
      <c r="F32" s="553">
        <v>35727.1</v>
      </c>
      <c r="G32" s="554">
        <v>25505</v>
      </c>
      <c r="H32" s="553">
        <v>3736.8</v>
      </c>
      <c r="I32" s="554">
        <v>27728</v>
      </c>
      <c r="J32" s="553">
        <v>42735</v>
      </c>
      <c r="K32" s="554">
        <v>26806</v>
      </c>
      <c r="L32" s="553">
        <v>20465</v>
      </c>
      <c r="M32" s="554">
        <v>17099</v>
      </c>
    </row>
    <row r="33" spans="1:13" x14ac:dyDescent="0.3">
      <c r="A33" s="555" t="s">
        <v>251</v>
      </c>
      <c r="B33" s="553">
        <v>992.2</v>
      </c>
      <c r="C33" s="554">
        <v>44697</v>
      </c>
      <c r="D33" s="553">
        <v>2255.5</v>
      </c>
      <c r="E33" s="554">
        <v>40349</v>
      </c>
      <c r="F33" s="553">
        <v>36199.5</v>
      </c>
      <c r="G33" s="554">
        <v>26210</v>
      </c>
      <c r="H33" s="553">
        <v>3822.7</v>
      </c>
      <c r="I33" s="554">
        <v>28377</v>
      </c>
      <c r="J33" s="553">
        <v>43292</v>
      </c>
      <c r="K33" s="554">
        <v>27562</v>
      </c>
      <c r="L33" s="553">
        <v>20959</v>
      </c>
      <c r="M33" s="554">
        <v>17505</v>
      </c>
    </row>
    <row r="34" spans="1:13" x14ac:dyDescent="0.3">
      <c r="A34" s="555" t="s">
        <v>252</v>
      </c>
      <c r="B34" s="553">
        <v>1007.8</v>
      </c>
      <c r="C34" s="554">
        <v>46883</v>
      </c>
      <c r="D34" s="553">
        <v>2186</v>
      </c>
      <c r="E34" s="554">
        <v>42354</v>
      </c>
      <c r="F34" s="553">
        <v>37126.9</v>
      </c>
      <c r="G34" s="554">
        <v>27285</v>
      </c>
      <c r="H34" s="553">
        <v>3995.3</v>
      </c>
      <c r="I34" s="554">
        <v>29503</v>
      </c>
      <c r="J34" s="553">
        <v>44321</v>
      </c>
      <c r="K34" s="554">
        <v>28673</v>
      </c>
      <c r="L34" s="553">
        <v>21590</v>
      </c>
      <c r="M34" s="554">
        <v>18038</v>
      </c>
    </row>
    <row r="35" spans="1:13" x14ac:dyDescent="0.3">
      <c r="A35" s="555" t="s">
        <v>253</v>
      </c>
      <c r="B35" s="553">
        <v>995.9</v>
      </c>
      <c r="C35" s="554">
        <v>49579</v>
      </c>
      <c r="D35" s="553">
        <v>2224.1999999999998</v>
      </c>
      <c r="E35" s="554">
        <v>44572</v>
      </c>
      <c r="F35" s="553">
        <v>37948.5</v>
      </c>
      <c r="G35" s="554">
        <v>28217</v>
      </c>
      <c r="H35" s="553">
        <v>4060.9</v>
      </c>
      <c r="I35" s="554">
        <v>30343</v>
      </c>
      <c r="J35" s="553">
        <v>45236.4</v>
      </c>
      <c r="K35" s="554">
        <v>29683</v>
      </c>
      <c r="L35" s="553">
        <v>22430</v>
      </c>
      <c r="M35" s="554">
        <v>18732</v>
      </c>
    </row>
    <row r="36" spans="1:13" x14ac:dyDescent="0.3">
      <c r="A36" s="555" t="s">
        <v>254</v>
      </c>
      <c r="B36" s="553">
        <v>1022</v>
      </c>
      <c r="C36" s="554">
        <v>52049</v>
      </c>
      <c r="D36" s="553">
        <v>2266</v>
      </c>
      <c r="E36" s="554">
        <v>46720</v>
      </c>
      <c r="F36" s="553">
        <v>38818</v>
      </c>
      <c r="G36" s="554">
        <v>29199</v>
      </c>
      <c r="H36" s="553">
        <v>4193</v>
      </c>
      <c r="I36" s="554">
        <v>31331</v>
      </c>
      <c r="J36" s="553">
        <v>46338</v>
      </c>
      <c r="K36" s="554">
        <v>30756</v>
      </c>
      <c r="L36" s="553">
        <v>23489</v>
      </c>
      <c r="M36" s="554">
        <v>19577</v>
      </c>
    </row>
    <row r="37" spans="1:13" x14ac:dyDescent="0.3">
      <c r="A37" s="555" t="s">
        <v>255</v>
      </c>
      <c r="B37" s="553">
        <v>1047</v>
      </c>
      <c r="C37" s="554">
        <v>54772</v>
      </c>
      <c r="D37" s="553">
        <v>2251</v>
      </c>
      <c r="E37" s="554">
        <v>49563</v>
      </c>
      <c r="F37" s="553">
        <v>40337</v>
      </c>
      <c r="G37" s="554">
        <v>30457</v>
      </c>
      <c r="H37" s="553">
        <v>4419</v>
      </c>
      <c r="I37" s="554">
        <v>32618</v>
      </c>
      <c r="J37" s="553">
        <v>48111</v>
      </c>
      <c r="K37" s="554">
        <v>32085</v>
      </c>
      <c r="L37" s="553">
        <v>24283</v>
      </c>
      <c r="M37" s="554">
        <v>20518</v>
      </c>
    </row>
    <row r="38" spans="1:13" x14ac:dyDescent="0.3">
      <c r="A38" s="555" t="s">
        <v>256</v>
      </c>
      <c r="B38" s="553">
        <v>1055.5999999999999</v>
      </c>
      <c r="C38" s="554">
        <v>59220</v>
      </c>
      <c r="D38" s="553">
        <v>2334.1</v>
      </c>
      <c r="E38" s="554">
        <v>53376</v>
      </c>
      <c r="F38" s="553">
        <v>41918.6</v>
      </c>
      <c r="G38" s="554">
        <v>33079</v>
      </c>
      <c r="H38" s="553">
        <v>4627</v>
      </c>
      <c r="I38" s="554">
        <v>35674</v>
      </c>
      <c r="J38" s="553">
        <v>49996.9</v>
      </c>
      <c r="K38" s="554">
        <v>34826</v>
      </c>
      <c r="L38" s="553">
        <v>25791</v>
      </c>
      <c r="M38" s="554">
        <v>21560</v>
      </c>
    </row>
    <row r="39" spans="1:13" x14ac:dyDescent="0.3">
      <c r="A39" s="555" t="s">
        <v>257</v>
      </c>
      <c r="B39" s="553">
        <v>1058</v>
      </c>
      <c r="C39" s="554">
        <v>63128</v>
      </c>
      <c r="D39" s="553">
        <v>2316.6999999999998</v>
      </c>
      <c r="E39" s="554">
        <v>56755</v>
      </c>
      <c r="F39" s="553">
        <v>42923.9</v>
      </c>
      <c r="G39" s="554">
        <v>34824</v>
      </c>
      <c r="H39" s="553">
        <v>4839.1000000000004</v>
      </c>
      <c r="I39" s="554">
        <v>37544</v>
      </c>
      <c r="J39" s="553">
        <v>51209.2</v>
      </c>
      <c r="K39" s="554">
        <v>36665</v>
      </c>
      <c r="L39" s="553">
        <v>26681.4</v>
      </c>
      <c r="M39" s="554">
        <v>22715</v>
      </c>
    </row>
    <row r="40" spans="1:13" x14ac:dyDescent="0.3">
      <c r="A40" s="555" t="s">
        <v>258</v>
      </c>
      <c r="B40" s="553">
        <v>1046.5</v>
      </c>
      <c r="C40" s="554">
        <v>65585</v>
      </c>
      <c r="D40" s="553">
        <v>2397.1</v>
      </c>
      <c r="E40" s="554">
        <v>59293</v>
      </c>
      <c r="F40" s="553">
        <v>44328.9</v>
      </c>
      <c r="G40" s="554">
        <v>35761</v>
      </c>
      <c r="H40" s="553">
        <v>5035.2</v>
      </c>
      <c r="I40" s="554">
        <v>38598</v>
      </c>
      <c r="J40" s="553">
        <v>52955.4</v>
      </c>
      <c r="K40" s="554">
        <v>37698</v>
      </c>
      <c r="L40" s="553">
        <v>28249.9</v>
      </c>
      <c r="M40" s="554">
        <v>23562</v>
      </c>
    </row>
    <row r="41" spans="1:13" x14ac:dyDescent="0.3">
      <c r="A41" s="555" t="s">
        <v>259</v>
      </c>
      <c r="B41" s="553">
        <v>1022.2</v>
      </c>
      <c r="C41" s="554">
        <v>65998</v>
      </c>
      <c r="D41" s="553">
        <v>2420.4</v>
      </c>
      <c r="E41" s="554">
        <v>59660</v>
      </c>
      <c r="F41" s="553">
        <v>45456.2</v>
      </c>
      <c r="G41" s="554">
        <v>35863</v>
      </c>
      <c r="H41" s="553">
        <v>5293.2</v>
      </c>
      <c r="I41" s="554">
        <v>38695</v>
      </c>
      <c r="J41" s="553">
        <v>54343.4</v>
      </c>
      <c r="K41" s="554">
        <v>37777</v>
      </c>
      <c r="L41" s="553">
        <v>29399.4</v>
      </c>
      <c r="M41" s="554">
        <v>23837</v>
      </c>
    </row>
    <row r="42" spans="1:13" x14ac:dyDescent="0.3">
      <c r="A42" s="555" t="s">
        <v>260</v>
      </c>
      <c r="B42" s="553">
        <v>1032.9000000000001</v>
      </c>
      <c r="C42" s="554">
        <v>66811</v>
      </c>
      <c r="D42" s="553">
        <v>2462.1999999999998</v>
      </c>
      <c r="E42" s="554">
        <v>60360</v>
      </c>
      <c r="F42" s="553">
        <v>46346.5</v>
      </c>
      <c r="G42" s="554">
        <v>36149</v>
      </c>
      <c r="H42" s="553">
        <v>5547.2</v>
      </c>
      <c r="I42" s="554">
        <v>39058</v>
      </c>
      <c r="J42" s="553">
        <v>55563.3</v>
      </c>
      <c r="K42" s="554">
        <v>38100</v>
      </c>
      <c r="L42" s="553">
        <v>30485.599999999999</v>
      </c>
      <c r="M42" s="554">
        <v>24042</v>
      </c>
    </row>
    <row r="43" spans="1:13" x14ac:dyDescent="0.3">
      <c r="A43" s="555" t="s">
        <v>261</v>
      </c>
      <c r="B43" s="553">
        <v>1008.06</v>
      </c>
      <c r="C43" s="554">
        <v>70400</v>
      </c>
      <c r="D43" s="553">
        <v>2492.25</v>
      </c>
      <c r="E43" s="554">
        <v>63805</v>
      </c>
      <c r="F43" s="553">
        <v>46899.87</v>
      </c>
      <c r="G43" s="554">
        <v>37851</v>
      </c>
      <c r="H43" s="553">
        <v>5599.55</v>
      </c>
      <c r="I43" s="554">
        <v>40820</v>
      </c>
      <c r="J43" s="553">
        <v>56171.4</v>
      </c>
      <c r="K43" s="554">
        <v>39900</v>
      </c>
      <c r="L43" s="553">
        <v>30712.83</v>
      </c>
      <c r="M43" s="556">
        <v>25092</v>
      </c>
    </row>
    <row r="44" spans="1:13" x14ac:dyDescent="0.3">
      <c r="A44" s="552" t="s">
        <v>262</v>
      </c>
      <c r="B44" s="557">
        <v>1017.09</v>
      </c>
      <c r="C44" s="558">
        <v>71378</v>
      </c>
      <c r="D44" s="559">
        <v>2561.89</v>
      </c>
      <c r="E44" s="556">
        <v>64276</v>
      </c>
      <c r="F44" s="559">
        <v>48212.56</v>
      </c>
      <c r="G44" s="556">
        <v>37812</v>
      </c>
      <c r="H44" s="559">
        <v>5695.73</v>
      </c>
      <c r="I44" s="556">
        <v>40649</v>
      </c>
      <c r="J44" s="559">
        <v>57672.99</v>
      </c>
      <c r="K44" s="556">
        <v>39868</v>
      </c>
      <c r="L44" s="559">
        <v>31757.43</v>
      </c>
      <c r="M44" s="556">
        <v>25314</v>
      </c>
    </row>
    <row r="45" spans="1:13" x14ac:dyDescent="0.3">
      <c r="A45" s="552" t="s">
        <v>263</v>
      </c>
      <c r="B45" s="557">
        <v>1050.97</v>
      </c>
      <c r="C45" s="558">
        <v>73636</v>
      </c>
      <c r="D45" s="559">
        <v>2596.5300000000002</v>
      </c>
      <c r="E45" s="556">
        <v>66598</v>
      </c>
      <c r="F45" s="559">
        <v>49014.97</v>
      </c>
      <c r="G45" s="556">
        <v>38761</v>
      </c>
      <c r="H45" s="559">
        <v>5822.62</v>
      </c>
      <c r="I45" s="556">
        <v>41573</v>
      </c>
      <c r="J45" s="559">
        <v>58658.71</v>
      </c>
      <c r="K45" s="556">
        <v>40914</v>
      </c>
      <c r="L45" s="559">
        <v>32678.37</v>
      </c>
      <c r="M45" s="556">
        <v>26332</v>
      </c>
    </row>
    <row r="46" spans="1:13" x14ac:dyDescent="0.3">
      <c r="A46" s="552" t="s">
        <v>264</v>
      </c>
      <c r="B46" s="557">
        <v>1059.33</v>
      </c>
      <c r="C46" s="558">
        <v>74495</v>
      </c>
      <c r="D46" s="559">
        <v>2621.44</v>
      </c>
      <c r="E46" s="556">
        <v>67314</v>
      </c>
      <c r="F46" s="559">
        <v>49597.64</v>
      </c>
      <c r="G46" s="556">
        <v>38693</v>
      </c>
      <c r="H46" s="559">
        <v>6009.3</v>
      </c>
      <c r="I46" s="556">
        <v>41600</v>
      </c>
      <c r="J46" s="559">
        <v>59457.87</v>
      </c>
      <c r="K46" s="556">
        <v>40900</v>
      </c>
      <c r="L46" s="559">
        <v>33118.71</v>
      </c>
      <c r="M46" s="556">
        <v>26662</v>
      </c>
    </row>
    <row r="47" spans="1:13" x14ac:dyDescent="0.3">
      <c r="A47" s="560" t="s">
        <v>265</v>
      </c>
      <c r="B47" s="561">
        <v>1075.7809999999999</v>
      </c>
      <c r="C47" s="562">
        <v>78183.167391876181</v>
      </c>
      <c r="D47" s="563">
        <v>2658.163</v>
      </c>
      <c r="E47" s="564">
        <v>70891.88586252986</v>
      </c>
      <c r="F47" s="563">
        <v>50238.59</v>
      </c>
      <c r="G47" s="564">
        <v>41047.401370142084</v>
      </c>
      <c r="H47" s="563">
        <v>6346.7129999999988</v>
      </c>
      <c r="I47" s="564">
        <v>44131.842577409821</v>
      </c>
      <c r="J47" s="563">
        <v>60487.97800000001</v>
      </c>
      <c r="K47" s="564">
        <v>43359.299165199503</v>
      </c>
      <c r="L47" s="563">
        <v>34195.905999999995</v>
      </c>
      <c r="M47" s="564">
        <v>27734.776671803691</v>
      </c>
    </row>
    <row r="48" spans="1:13" x14ac:dyDescent="0.3">
      <c r="A48" s="552" t="s">
        <v>279</v>
      </c>
      <c r="B48" s="557">
        <v>1088.5</v>
      </c>
      <c r="C48" s="558">
        <v>81494</v>
      </c>
      <c r="D48" s="559">
        <v>2673.2</v>
      </c>
      <c r="E48" s="556">
        <v>73864</v>
      </c>
      <c r="F48" s="559">
        <v>50855.1</v>
      </c>
      <c r="G48" s="556">
        <v>42143</v>
      </c>
      <c r="H48" s="559">
        <v>6341.9</v>
      </c>
      <c r="I48" s="556">
        <v>45427</v>
      </c>
      <c r="J48" s="559">
        <v>61138.8</v>
      </c>
      <c r="K48" s="556">
        <v>44588</v>
      </c>
      <c r="L48" s="559">
        <v>34765.300000000003</v>
      </c>
      <c r="M48" s="556">
        <v>28896</v>
      </c>
    </row>
    <row r="49" spans="1:13" x14ac:dyDescent="0.3">
      <c r="A49" s="552" t="s">
        <v>289</v>
      </c>
      <c r="B49" s="557">
        <v>1142.57</v>
      </c>
      <c r="C49" s="558">
        <v>84703.470063103348</v>
      </c>
      <c r="D49" s="559">
        <v>2713.33</v>
      </c>
      <c r="E49" s="556">
        <v>77238.447358043442</v>
      </c>
      <c r="F49" s="559">
        <v>52566.74</v>
      </c>
      <c r="G49" s="556">
        <v>43469.650743416852</v>
      </c>
      <c r="H49" s="559">
        <v>6592.93</v>
      </c>
      <c r="I49" s="556">
        <v>47030.491555347937</v>
      </c>
      <c r="J49" s="559">
        <v>63204.21</v>
      </c>
      <c r="K49" s="556">
        <v>46053.13974353925</v>
      </c>
      <c r="L49" s="559">
        <v>35638.53</v>
      </c>
      <c r="M49" s="556">
        <v>30122.058525702381</v>
      </c>
    </row>
    <row r="50" spans="1:13" x14ac:dyDescent="0.3">
      <c r="A50" s="552" t="s">
        <v>295</v>
      </c>
      <c r="B50" s="557">
        <v>1168.69</v>
      </c>
      <c r="C50" s="558">
        <v>88245.320324465851</v>
      </c>
      <c r="D50" s="559">
        <v>2741.61</v>
      </c>
      <c r="E50" s="556">
        <v>80317.597988043533</v>
      </c>
      <c r="F50" s="559">
        <v>53100.11</v>
      </c>
      <c r="G50" s="556">
        <v>44960.865590673922</v>
      </c>
      <c r="H50" s="559">
        <v>6709.96</v>
      </c>
      <c r="I50" s="556">
        <v>48613.589057162782</v>
      </c>
      <c r="J50" s="559">
        <v>63912.25</v>
      </c>
      <c r="K50" s="556">
        <v>47676.611587606443</v>
      </c>
      <c r="L50" s="559">
        <v>36157.339999999997</v>
      </c>
      <c r="M50" s="556">
        <v>31512.064479300749</v>
      </c>
    </row>
    <row r="51" spans="1:13" x14ac:dyDescent="0.3">
      <c r="A51" s="552" t="s">
        <v>331</v>
      </c>
      <c r="B51" s="557">
        <v>1146.56</v>
      </c>
      <c r="C51" s="558">
        <v>89362.502014722311</v>
      </c>
      <c r="D51" s="559">
        <v>2751.04</v>
      </c>
      <c r="E51" s="556">
        <v>80956.797145806675</v>
      </c>
      <c r="F51" s="559">
        <v>52892.43</v>
      </c>
      <c r="G51" s="556">
        <v>45437.080145495303</v>
      </c>
      <c r="H51" s="559">
        <v>6747.24</v>
      </c>
      <c r="I51" s="556">
        <v>48847.831482206064</v>
      </c>
      <c r="J51" s="559">
        <v>63721.79</v>
      </c>
      <c r="K51" s="556">
        <v>48141.14217664006</v>
      </c>
      <c r="L51" s="559">
        <v>36041.69</v>
      </c>
      <c r="M51" s="556">
        <v>31828.1784719307</v>
      </c>
    </row>
    <row r="52" spans="1:13" x14ac:dyDescent="0.3">
      <c r="A52" s="552" t="s">
        <v>336</v>
      </c>
      <c r="B52" s="557">
        <v>1126.03</v>
      </c>
      <c r="C52" s="558">
        <v>91144.852952408022</v>
      </c>
      <c r="D52" s="559">
        <v>2799.37</v>
      </c>
      <c r="E52" s="556">
        <v>81880.293698224981</v>
      </c>
      <c r="F52" s="559">
        <v>53253.84</v>
      </c>
      <c r="G52" s="556">
        <v>45722.181989317578</v>
      </c>
      <c r="H52" s="559">
        <v>6911.88</v>
      </c>
      <c r="I52" s="556">
        <v>49135.184784747427</v>
      </c>
      <c r="J52" s="559">
        <v>64273.45</v>
      </c>
      <c r="K52" s="556">
        <v>48481.414094311105</v>
      </c>
      <c r="L52" s="559">
        <v>36602.04</v>
      </c>
      <c r="M52" s="556">
        <v>32512.595992190592</v>
      </c>
    </row>
    <row r="53" spans="1:13" x14ac:dyDescent="0.3">
      <c r="A53" s="552" t="s">
        <v>339</v>
      </c>
      <c r="B53" s="557">
        <v>1161.6199999999999</v>
      </c>
      <c r="C53" s="558">
        <v>93343.001678690125</v>
      </c>
      <c r="D53" s="559">
        <v>2837.01</v>
      </c>
      <c r="E53" s="565">
        <v>83975.534079893972</v>
      </c>
      <c r="F53" s="559">
        <v>53633.37</v>
      </c>
      <c r="G53" s="565">
        <v>46316.67878710587</v>
      </c>
      <c r="H53" s="559">
        <v>7015.82</v>
      </c>
      <c r="I53" s="565">
        <v>49700.121367138854</v>
      </c>
      <c r="J53" s="559">
        <v>64816.5</v>
      </c>
      <c r="K53" s="565">
        <v>49198.121836877952</v>
      </c>
      <c r="L53" s="559">
        <v>36748.449999999997</v>
      </c>
      <c r="M53" s="565">
        <v>33350.167996201191</v>
      </c>
    </row>
    <row r="54" spans="1:13" x14ac:dyDescent="0.3">
      <c r="A54" s="552" t="s">
        <v>343</v>
      </c>
      <c r="B54" s="557">
        <v>1171.19</v>
      </c>
      <c r="C54" s="558">
        <v>97439.704975281536</v>
      </c>
      <c r="D54" s="559">
        <v>2804</v>
      </c>
      <c r="E54" s="565">
        <v>88227.786833095583</v>
      </c>
      <c r="F54" s="559">
        <v>53956.590000000004</v>
      </c>
      <c r="G54" s="565">
        <v>47879.684373678909</v>
      </c>
      <c r="H54" s="559">
        <v>7151.1600000000008</v>
      </c>
      <c r="I54" s="565">
        <v>51272.489312223472</v>
      </c>
      <c r="J54" s="559">
        <v>65262.05999999999</v>
      </c>
      <c r="K54" s="565">
        <v>50899.91909909065</v>
      </c>
      <c r="L54" s="559">
        <v>36882.46</v>
      </c>
      <c r="M54" s="565">
        <v>34735.474262291616</v>
      </c>
    </row>
    <row r="55" spans="1:13" x14ac:dyDescent="0.3">
      <c r="A55" s="552" t="s">
        <v>354</v>
      </c>
      <c r="B55" s="557">
        <v>1192.01</v>
      </c>
      <c r="C55" s="558">
        <v>102006.138572663</v>
      </c>
      <c r="D55" s="559">
        <v>2844.89</v>
      </c>
      <c r="E55" s="565">
        <v>92319.664401787071</v>
      </c>
      <c r="F55" s="559">
        <v>54181.049999999996</v>
      </c>
      <c r="G55" s="565">
        <v>49887.054003198544</v>
      </c>
      <c r="H55" s="559">
        <v>7311.9000000000005</v>
      </c>
      <c r="I55" s="565">
        <v>53567.888271174386</v>
      </c>
      <c r="J55" s="559">
        <v>65702.239999999991</v>
      </c>
      <c r="K55" s="565">
        <v>53103.220246524317</v>
      </c>
      <c r="L55" s="559">
        <v>37306.759999999995</v>
      </c>
      <c r="M55" s="565">
        <v>36316.323806194916</v>
      </c>
    </row>
    <row r="56" spans="1:13" x14ac:dyDescent="0.3">
      <c r="A56" s="552" t="s">
        <v>363</v>
      </c>
      <c r="B56" s="557">
        <v>1158.53</v>
      </c>
      <c r="C56" s="558">
        <v>106892.25849999569</v>
      </c>
      <c r="D56" s="559">
        <v>2876.8599999999997</v>
      </c>
      <c r="E56" s="565">
        <v>96958.661005401736</v>
      </c>
      <c r="F56" s="559">
        <v>54657.689999999988</v>
      </c>
      <c r="G56" s="565">
        <v>52568.202878497061</v>
      </c>
      <c r="H56" s="559">
        <v>7384.7200000000021</v>
      </c>
      <c r="I56" s="565">
        <v>56396.996950459841</v>
      </c>
      <c r="J56" s="559">
        <v>66221.179999999993</v>
      </c>
      <c r="K56" s="565">
        <v>55901.93749537535</v>
      </c>
      <c r="L56" s="559">
        <v>37516.18</v>
      </c>
      <c r="M56" s="565">
        <v>38402.429358479458</v>
      </c>
    </row>
    <row r="57" spans="1:13" x14ac:dyDescent="0.3">
      <c r="A57" s="552" t="s">
        <v>366</v>
      </c>
      <c r="B57" s="557">
        <v>1107.08</v>
      </c>
      <c r="C57" s="558">
        <v>108113.9356415074</v>
      </c>
      <c r="D57" s="559">
        <v>2791.9000000000005</v>
      </c>
      <c r="E57" s="565">
        <v>98544.473362226418</v>
      </c>
      <c r="F57" s="559">
        <v>53620.36</v>
      </c>
      <c r="G57" s="565">
        <v>53003.261933713235</v>
      </c>
      <c r="H57" s="559">
        <v>7250.7999999999993</v>
      </c>
      <c r="I57" s="565">
        <v>56290.131149666246</v>
      </c>
      <c r="J57" s="559">
        <v>64913.359999999993</v>
      </c>
      <c r="K57" s="565">
        <v>56295.556558619064</v>
      </c>
      <c r="L57" s="559">
        <v>36905.129999999997</v>
      </c>
      <c r="M57" s="565">
        <v>38677.350137230249</v>
      </c>
    </row>
    <row r="58" spans="1:13" x14ac:dyDescent="0.3">
      <c r="A58" s="552" t="s">
        <v>378</v>
      </c>
      <c r="B58" s="557">
        <v>1109.79</v>
      </c>
      <c r="C58" s="558">
        <v>109391.89010533525</v>
      </c>
      <c r="D58" s="559">
        <v>2792.55</v>
      </c>
      <c r="E58" s="565">
        <v>99004.888904406354</v>
      </c>
      <c r="F58" s="559">
        <v>53881.010000000009</v>
      </c>
      <c r="G58" s="565">
        <v>52929.753318840892</v>
      </c>
      <c r="H58" s="559">
        <v>7299.3400000000011</v>
      </c>
      <c r="I58" s="565">
        <v>55976.88683771409</v>
      </c>
      <c r="J58" s="559">
        <v>65241.920000000013</v>
      </c>
      <c r="K58" s="565">
        <v>56226.354120632874</v>
      </c>
      <c r="L58" s="559">
        <v>37110.009999999995</v>
      </c>
      <c r="M58" s="565">
        <v>38914.422415407607</v>
      </c>
    </row>
    <row r="59" spans="1:13" x14ac:dyDescent="0.3">
      <c r="A59" s="552" t="s">
        <v>451</v>
      </c>
      <c r="B59" s="557">
        <v>1076.58</v>
      </c>
      <c r="C59" s="558">
        <v>110375.3141429341</v>
      </c>
      <c r="D59" s="559">
        <v>2807.73</v>
      </c>
      <c r="E59" s="565">
        <v>99218.129218265283</v>
      </c>
      <c r="F59" s="559">
        <v>53016.46</v>
      </c>
      <c r="G59" s="565">
        <v>52236.940413599856</v>
      </c>
      <c r="H59" s="559">
        <v>7186.0900000000011</v>
      </c>
      <c r="I59" s="565">
        <v>55057.73072561017</v>
      </c>
      <c r="J59" s="559">
        <v>64249.53</v>
      </c>
      <c r="K59" s="565">
        <v>55605.202772066979</v>
      </c>
      <c r="L59" s="559">
        <v>36199.800000000003</v>
      </c>
      <c r="M59" s="565">
        <v>39158.339750772102</v>
      </c>
    </row>
    <row r="60" spans="1:13" x14ac:dyDescent="0.3">
      <c r="A60" s="552" t="s">
        <v>467</v>
      </c>
      <c r="B60" s="557">
        <v>1106.3400000000001</v>
      </c>
      <c r="C60" s="558">
        <v>110872.674756404</v>
      </c>
      <c r="D60" s="559">
        <v>2864.2400000000002</v>
      </c>
      <c r="E60" s="565">
        <v>99715.320804122559</v>
      </c>
      <c r="F60" s="559">
        <v>53563.21</v>
      </c>
      <c r="G60" s="565">
        <v>52238.149210437543</v>
      </c>
      <c r="H60" s="559">
        <v>7302.05</v>
      </c>
      <c r="I60" s="565">
        <v>54916.241423983673</v>
      </c>
      <c r="J60" s="559">
        <v>64995.59</v>
      </c>
      <c r="K60" s="565">
        <v>55653.314721968061</v>
      </c>
      <c r="L60" s="559">
        <v>36450.080000000002</v>
      </c>
      <c r="M60" s="565">
        <v>39487.30803855574</v>
      </c>
    </row>
    <row r="61" spans="1:13" x14ac:dyDescent="0.3">
      <c r="A61" s="552" t="s">
        <v>485</v>
      </c>
      <c r="B61" s="557">
        <v>1141.7</v>
      </c>
      <c r="C61" s="558">
        <v>113763</v>
      </c>
      <c r="D61" s="559">
        <v>2958.7</v>
      </c>
      <c r="E61" s="565">
        <v>101835</v>
      </c>
      <c r="F61" s="559">
        <v>54727.6</v>
      </c>
      <c r="G61" s="565">
        <v>52969</v>
      </c>
      <c r="H61" s="559">
        <v>7617.4</v>
      </c>
      <c r="I61" s="565">
        <v>55594</v>
      </c>
      <c r="J61" s="559">
        <v>66599.7</v>
      </c>
      <c r="K61" s="565">
        <v>56507</v>
      </c>
      <c r="L61" s="559">
        <v>37273.800000000003</v>
      </c>
      <c r="M61" s="565">
        <v>40229</v>
      </c>
    </row>
    <row r="62" spans="1:13" x14ac:dyDescent="0.3">
      <c r="A62" s="552" t="s">
        <v>498</v>
      </c>
      <c r="B62" s="557">
        <v>1234.42</v>
      </c>
      <c r="C62" s="558">
        <v>115870.54553555515</v>
      </c>
      <c r="D62" s="559">
        <v>3092.35</v>
      </c>
      <c r="E62" s="565">
        <v>103897.81944475883</v>
      </c>
      <c r="F62" s="559">
        <v>56183.32</v>
      </c>
      <c r="G62" s="565">
        <v>52509.811957000762</v>
      </c>
      <c r="H62" s="559">
        <v>8109.8499999999985</v>
      </c>
      <c r="I62" s="565">
        <v>55271.954226033784</v>
      </c>
      <c r="J62" s="559">
        <v>68807.289999999994</v>
      </c>
      <c r="K62" s="565">
        <v>56306.748124217665</v>
      </c>
      <c r="L62" s="559">
        <v>38598.15</v>
      </c>
      <c r="M62" s="565">
        <v>41147.00858279477</v>
      </c>
    </row>
    <row r="63" spans="1:13" x14ac:dyDescent="0.3">
      <c r="A63" s="552" t="s">
        <v>525</v>
      </c>
      <c r="B63" s="557">
        <v>1310.2</v>
      </c>
      <c r="C63" s="558">
        <v>121037</v>
      </c>
      <c r="D63" s="559">
        <v>3243.9</v>
      </c>
      <c r="E63" s="565">
        <v>108385</v>
      </c>
      <c r="F63" s="559">
        <v>57912</v>
      </c>
      <c r="G63" s="565">
        <v>53707</v>
      </c>
      <c r="H63" s="559">
        <v>8440.5</v>
      </c>
      <c r="I63" s="565">
        <v>56714</v>
      </c>
      <c r="J63" s="559">
        <v>71122.399999999994</v>
      </c>
      <c r="K63" s="565">
        <v>57822</v>
      </c>
      <c r="L63" s="559">
        <v>39845.1</v>
      </c>
      <c r="M63" s="565">
        <v>43048</v>
      </c>
    </row>
    <row r="64" spans="1:13" x14ac:dyDescent="0.3">
      <c r="A64" s="552" t="s">
        <v>530</v>
      </c>
      <c r="B64" s="557">
        <v>1375.47</v>
      </c>
      <c r="C64" s="558">
        <v>125273.50717209392</v>
      </c>
      <c r="D64" s="559">
        <v>3423.2699999999995</v>
      </c>
      <c r="E64" s="565">
        <v>111519.43418135295</v>
      </c>
      <c r="F64" s="559">
        <v>59566.400000000001</v>
      </c>
      <c r="G64" s="565">
        <v>54459.619144853474</v>
      </c>
      <c r="H64" s="559">
        <v>8910.619999999999</v>
      </c>
      <c r="I64" s="565">
        <v>57526.073552682079</v>
      </c>
      <c r="J64" s="559">
        <v>73560.310000000012</v>
      </c>
      <c r="K64" s="565">
        <v>58820.624313845299</v>
      </c>
      <c r="L64" s="559">
        <v>41509.660000000003</v>
      </c>
      <c r="M64" s="565">
        <v>44704.040055013698</v>
      </c>
    </row>
    <row r="65" spans="1:13" x14ac:dyDescent="0.3">
      <c r="A65" s="552" t="s">
        <v>536</v>
      </c>
      <c r="B65" s="557">
        <v>1413.3</v>
      </c>
      <c r="C65" s="558">
        <v>131577</v>
      </c>
      <c r="D65" s="559">
        <v>3502.1</v>
      </c>
      <c r="E65" s="565">
        <v>117249</v>
      </c>
      <c r="F65" s="559">
        <v>61010.8</v>
      </c>
      <c r="G65" s="565">
        <v>55698</v>
      </c>
      <c r="H65" s="559">
        <v>9060.5</v>
      </c>
      <c r="I65" s="565">
        <v>58777</v>
      </c>
      <c r="J65" s="559">
        <v>75229.100000000006</v>
      </c>
      <c r="K65" s="565">
        <v>60388</v>
      </c>
      <c r="L65" s="559">
        <v>42510</v>
      </c>
      <c r="M65" s="565">
        <v>47275</v>
      </c>
    </row>
    <row r="66" spans="1:13" x14ac:dyDescent="0.3">
      <c r="A66" s="552" t="s">
        <v>547</v>
      </c>
      <c r="B66" s="557">
        <v>1421.22</v>
      </c>
      <c r="C66" s="558">
        <v>138249.70082042189</v>
      </c>
      <c r="D66" s="559">
        <v>3609.65</v>
      </c>
      <c r="E66" s="565">
        <v>122668.49829207818</v>
      </c>
      <c r="F66" s="559">
        <v>62545.159999999996</v>
      </c>
      <c r="G66" s="565">
        <v>73060.374233593786</v>
      </c>
      <c r="H66" s="559">
        <v>9527.880000000001</v>
      </c>
      <c r="I66" s="565">
        <v>77975.36461206479</v>
      </c>
      <c r="J66" s="559">
        <v>77350.98</v>
      </c>
      <c r="K66" s="565">
        <v>77203</v>
      </c>
      <c r="L66" s="559">
        <v>44335.49</v>
      </c>
      <c r="M66" s="565">
        <v>50404</v>
      </c>
    </row>
    <row r="67" spans="1:13" ht="17.25" thickBot="1" x14ac:dyDescent="0.35">
      <c r="A67" s="566" t="s">
        <v>570</v>
      </c>
      <c r="B67" s="567">
        <f>+Table3WS1!G6</f>
        <v>1382.5300000000002</v>
      </c>
      <c r="C67" s="568">
        <f>+Table3WS1!H6</f>
        <v>146676.15540349935</v>
      </c>
      <c r="D67" s="569">
        <f>+Table3WS1!G11</f>
        <v>3589.5399999999995</v>
      </c>
      <c r="E67" s="568">
        <f>+Table3WS1!H11</f>
        <v>131034.80176847173</v>
      </c>
      <c r="F67" s="569">
        <f>+Table3WS1!G16</f>
        <v>63034.26</v>
      </c>
      <c r="G67" s="570">
        <f>+Table3WS1!H16</f>
        <v>76753.288386981934</v>
      </c>
      <c r="H67" s="569">
        <f>+Table3WS1!G27</f>
        <v>9552.3300000000017</v>
      </c>
      <c r="I67" s="570">
        <f>+Table3WS1!H27</f>
        <v>81279.865139709349</v>
      </c>
      <c r="J67" s="569">
        <f>+Table3WS1!D33</f>
        <v>77777.350000000006</v>
      </c>
      <c r="K67" s="570">
        <f>+Table3WS1!F33</f>
        <v>81082</v>
      </c>
      <c r="L67" s="569">
        <f>+Table3WS1!D48</f>
        <v>44743.09</v>
      </c>
      <c r="M67" s="570">
        <f>+Table3WS1!F48</f>
        <v>53464</v>
      </c>
    </row>
    <row r="68" spans="1:13" ht="17.25" thickTop="1" x14ac:dyDescent="0.3"/>
    <row r="69" spans="1:13" x14ac:dyDescent="0.3">
      <c r="A69" s="551" t="s">
        <v>270</v>
      </c>
      <c r="B69" s="573"/>
      <c r="C69" s="574"/>
      <c r="E69" s="575"/>
      <c r="G69" s="575"/>
      <c r="I69" s="575"/>
      <c r="K69" s="575"/>
      <c r="M69" s="575"/>
    </row>
    <row r="70" spans="1:13" x14ac:dyDescent="0.3">
      <c r="A70" s="551" t="s">
        <v>271</v>
      </c>
    </row>
  </sheetData>
  <mergeCells count="14">
    <mergeCell ref="L5:M5"/>
    <mergeCell ref="A1:M1"/>
    <mergeCell ref="A2:M2"/>
    <mergeCell ref="B3:K3"/>
    <mergeCell ref="L3:M3"/>
    <mergeCell ref="B4:E4"/>
    <mergeCell ref="F4:I4"/>
    <mergeCell ref="J4:K4"/>
    <mergeCell ref="L4:M4"/>
    <mergeCell ref="B5:C5"/>
    <mergeCell ref="D5:E5"/>
    <mergeCell ref="F5:G5"/>
    <mergeCell ref="H5:I5"/>
    <mergeCell ref="J5:K5"/>
  </mergeCells>
  <phoneticPr fontId="0" type="noConversion"/>
  <printOptions horizontalCentered="1"/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7"/>
  <sheetViews>
    <sheetView zoomScale="75" workbookViewId="0">
      <selection activeCell="A3" sqref="A3"/>
    </sheetView>
  </sheetViews>
  <sheetFormatPr defaultRowHeight="16.5" x14ac:dyDescent="0.3"/>
  <cols>
    <col min="1" max="1" width="31.140625" style="463" customWidth="1"/>
    <col min="2" max="3" width="9.42578125" style="463" hidden="1" customWidth="1"/>
    <col min="4" max="19" width="9.85546875" style="463" hidden="1" customWidth="1"/>
    <col min="20" max="24" width="10.7109375" style="463" hidden="1" customWidth="1"/>
    <col min="25" max="27" width="10.7109375" style="546" hidden="1" customWidth="1"/>
    <col min="28" max="29" width="10.7109375" style="656" hidden="1" customWidth="1"/>
    <col min="30" max="42" width="10.7109375" style="656" customWidth="1"/>
    <col min="43" max="43" width="10.7109375" style="657" customWidth="1"/>
    <col min="44" max="16384" width="9.140625" style="463"/>
  </cols>
  <sheetData>
    <row r="1" spans="1:43" s="576" customFormat="1" ht="20.25" customHeight="1" x14ac:dyDescent="0.35">
      <c r="A1" s="840" t="s">
        <v>387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841"/>
      <c r="AM1" s="841"/>
      <c r="AN1" s="841"/>
      <c r="AO1" s="841"/>
      <c r="AP1" s="841"/>
      <c r="AQ1" s="841"/>
    </row>
    <row r="2" spans="1:43" s="576" customFormat="1" ht="20.25" customHeight="1" x14ac:dyDescent="0.35">
      <c r="A2" s="840" t="s">
        <v>589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841"/>
      <c r="AL2" s="841"/>
      <c r="AM2" s="841"/>
      <c r="AN2" s="841"/>
      <c r="AO2" s="841"/>
      <c r="AP2" s="841"/>
      <c r="AQ2" s="841"/>
    </row>
    <row r="3" spans="1:43" s="661" customFormat="1" ht="15.75" customHeight="1" thickBot="1" x14ac:dyDescent="0.35">
      <c r="A3" s="3" t="s">
        <v>540</v>
      </c>
      <c r="B3" s="658" t="s">
        <v>244</v>
      </c>
      <c r="C3" s="658" t="s">
        <v>245</v>
      </c>
      <c r="D3" s="658" t="s">
        <v>246</v>
      </c>
      <c r="E3" s="658" t="s">
        <v>247</v>
      </c>
      <c r="F3" s="658" t="s">
        <v>248</v>
      </c>
      <c r="G3" s="658" t="s">
        <v>249</v>
      </c>
      <c r="H3" s="658" t="s">
        <v>250</v>
      </c>
      <c r="I3" s="658" t="s">
        <v>251</v>
      </c>
      <c r="J3" s="658" t="s">
        <v>252</v>
      </c>
      <c r="K3" s="658" t="s">
        <v>253</v>
      </c>
      <c r="L3" s="658" t="s">
        <v>254</v>
      </c>
      <c r="M3" s="658" t="s">
        <v>255</v>
      </c>
      <c r="N3" s="658" t="s">
        <v>256</v>
      </c>
      <c r="O3" s="658" t="s">
        <v>257</v>
      </c>
      <c r="P3" s="658" t="s">
        <v>258</v>
      </c>
      <c r="Q3" s="658" t="s">
        <v>259</v>
      </c>
      <c r="R3" s="658" t="s">
        <v>260</v>
      </c>
      <c r="S3" s="658" t="s">
        <v>261</v>
      </c>
      <c r="T3" s="658" t="s">
        <v>262</v>
      </c>
      <c r="U3" s="658" t="s">
        <v>263</v>
      </c>
      <c r="V3" s="658" t="s">
        <v>264</v>
      </c>
      <c r="W3" s="658" t="s">
        <v>265</v>
      </c>
      <c r="X3" s="659" t="s">
        <v>279</v>
      </c>
      <c r="Y3" s="659" t="s">
        <v>289</v>
      </c>
      <c r="Z3" s="659" t="s">
        <v>295</v>
      </c>
      <c r="AA3" s="659" t="s">
        <v>331</v>
      </c>
      <c r="AB3" s="659" t="s">
        <v>336</v>
      </c>
      <c r="AC3" s="659" t="s">
        <v>339</v>
      </c>
      <c r="AD3" s="658" t="s">
        <v>343</v>
      </c>
      <c r="AE3" s="658" t="s">
        <v>354</v>
      </c>
      <c r="AF3" s="658" t="s">
        <v>363</v>
      </c>
      <c r="AG3" s="658" t="s">
        <v>366</v>
      </c>
      <c r="AH3" s="658" t="s">
        <v>378</v>
      </c>
      <c r="AI3" s="658" t="s">
        <v>451</v>
      </c>
      <c r="AJ3" s="658" t="s">
        <v>467</v>
      </c>
      <c r="AK3" s="658" t="s">
        <v>485</v>
      </c>
      <c r="AL3" s="658" t="s">
        <v>498</v>
      </c>
      <c r="AM3" s="658" t="s">
        <v>525</v>
      </c>
      <c r="AN3" s="658" t="s">
        <v>530</v>
      </c>
      <c r="AO3" s="658" t="s">
        <v>536</v>
      </c>
      <c r="AP3" s="658" t="s">
        <v>547</v>
      </c>
      <c r="AQ3" s="660" t="s">
        <v>570</v>
      </c>
    </row>
    <row r="4" spans="1:43" s="584" customFormat="1" ht="15.75" customHeight="1" x14ac:dyDescent="0.3">
      <c r="A4" s="579" t="s">
        <v>541</v>
      </c>
      <c r="B4" s="580"/>
      <c r="C4" s="580"/>
      <c r="D4" s="580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2"/>
      <c r="Y4" s="582"/>
      <c r="Z4" s="582"/>
      <c r="AA4" s="582"/>
      <c r="AB4" s="582"/>
      <c r="AC4" s="583"/>
      <c r="AD4" s="797"/>
      <c r="AE4" s="797"/>
      <c r="AF4" s="797"/>
      <c r="AG4" s="797"/>
      <c r="AH4" s="797"/>
      <c r="AI4" s="797"/>
      <c r="AJ4" s="797"/>
      <c r="AK4" s="797"/>
      <c r="AL4" s="797"/>
      <c r="AM4" s="797"/>
      <c r="AN4" s="797"/>
      <c r="AO4" s="797"/>
      <c r="AP4" s="797"/>
      <c r="AQ4" s="798"/>
    </row>
    <row r="5" spans="1:43" s="591" customFormat="1" ht="15.75" customHeight="1" x14ac:dyDescent="0.3">
      <c r="A5" s="585" t="s">
        <v>22</v>
      </c>
      <c r="B5" s="586">
        <v>41638</v>
      </c>
      <c r="C5" s="586">
        <v>42406</v>
      </c>
      <c r="D5" s="586">
        <v>42719</v>
      </c>
      <c r="E5" s="586">
        <v>41860</v>
      </c>
      <c r="F5" s="586">
        <v>40686</v>
      </c>
      <c r="G5" s="586">
        <v>41634</v>
      </c>
      <c r="H5" s="586">
        <v>42735</v>
      </c>
      <c r="I5" s="586">
        <v>43292</v>
      </c>
      <c r="J5" s="586">
        <v>44321</v>
      </c>
      <c r="K5" s="586">
        <v>45236</v>
      </c>
      <c r="L5" s="586">
        <v>46338</v>
      </c>
      <c r="M5" s="586">
        <v>48111</v>
      </c>
      <c r="N5" s="586">
        <v>49997</v>
      </c>
      <c r="O5" s="587">
        <v>51209</v>
      </c>
      <c r="P5" s="587">
        <v>52955</v>
      </c>
      <c r="Q5" s="587">
        <v>54343</v>
      </c>
      <c r="R5" s="587">
        <v>55563</v>
      </c>
      <c r="S5" s="587">
        <v>56171</v>
      </c>
      <c r="T5" s="587">
        <v>57672.99</v>
      </c>
      <c r="U5" s="587">
        <v>58658.71</v>
      </c>
      <c r="V5" s="587">
        <v>59457.87</v>
      </c>
      <c r="W5" s="587">
        <v>60487.97800000001</v>
      </c>
      <c r="X5" s="588">
        <v>61138.77</v>
      </c>
      <c r="Y5" s="588">
        <v>63204.21</v>
      </c>
      <c r="Z5" s="588">
        <v>63912.25</v>
      </c>
      <c r="AA5" s="588">
        <v>63721.79</v>
      </c>
      <c r="AB5" s="588">
        <v>64273.45</v>
      </c>
      <c r="AC5" s="588">
        <v>64816.5</v>
      </c>
      <c r="AD5" s="589">
        <v>65262.05999999999</v>
      </c>
      <c r="AE5" s="589">
        <v>65702.239999999991</v>
      </c>
      <c r="AF5" s="589">
        <v>66221.179999999993</v>
      </c>
      <c r="AG5" s="589">
        <v>64913.359999999993</v>
      </c>
      <c r="AH5" s="589">
        <v>65241.920000000013</v>
      </c>
      <c r="AI5" s="589">
        <v>64249.53</v>
      </c>
      <c r="AJ5" s="589">
        <v>64995.59</v>
      </c>
      <c r="AK5" s="589">
        <v>66599.7</v>
      </c>
      <c r="AL5" s="589">
        <v>68807.289999999994</v>
      </c>
      <c r="AM5" s="589">
        <v>71122.349999999991</v>
      </c>
      <c r="AN5" s="589">
        <v>73560.310000000012</v>
      </c>
      <c r="AO5" s="589">
        <v>75229.100000000006</v>
      </c>
      <c r="AP5" s="589">
        <v>77350.959999999977</v>
      </c>
      <c r="AQ5" s="590">
        <f>+Table3WS1!D32</f>
        <v>77777.349999999991</v>
      </c>
    </row>
    <row r="6" spans="1:43" s="578" customFormat="1" ht="15.75" customHeight="1" x14ac:dyDescent="0.3">
      <c r="A6" s="592" t="s">
        <v>448</v>
      </c>
      <c r="B6" s="593">
        <v>18336</v>
      </c>
      <c r="C6" s="593">
        <v>19877</v>
      </c>
      <c r="D6" s="594">
        <v>22430</v>
      </c>
      <c r="E6" s="594">
        <v>24158</v>
      </c>
      <c r="F6" s="594">
        <v>24681</v>
      </c>
      <c r="G6" s="594">
        <v>25667</v>
      </c>
      <c r="H6" s="594">
        <v>26806</v>
      </c>
      <c r="I6" s="594">
        <v>27562</v>
      </c>
      <c r="J6" s="594">
        <v>28673</v>
      </c>
      <c r="K6" s="594">
        <v>29683</v>
      </c>
      <c r="L6" s="594">
        <v>30756</v>
      </c>
      <c r="M6" s="594">
        <v>32085</v>
      </c>
      <c r="N6" s="594">
        <v>34826</v>
      </c>
      <c r="O6" s="478">
        <v>36665</v>
      </c>
      <c r="P6" s="478">
        <v>37698</v>
      </c>
      <c r="Q6" s="478">
        <v>37777</v>
      </c>
      <c r="R6" s="478">
        <v>38100</v>
      </c>
      <c r="S6" s="478">
        <v>39900</v>
      </c>
      <c r="T6" s="478">
        <v>39867.979573973898</v>
      </c>
      <c r="U6" s="478">
        <v>40913.738914476664</v>
      </c>
      <c r="V6" s="478">
        <v>40900</v>
      </c>
      <c r="W6" s="478">
        <v>43359.299165199503</v>
      </c>
      <c r="X6" s="595">
        <v>44588</v>
      </c>
      <c r="Y6" s="596">
        <v>46053.13974353925</v>
      </c>
      <c r="Z6" s="596">
        <v>47676.611587606443</v>
      </c>
      <c r="AA6" s="596">
        <v>48141.14217664006</v>
      </c>
      <c r="AB6" s="596">
        <v>48481.414094311105</v>
      </c>
      <c r="AC6" s="596">
        <v>49198.121836877952</v>
      </c>
      <c r="AD6" s="597">
        <v>50899.91909909065</v>
      </c>
      <c r="AE6" s="597">
        <v>53103.220246524317</v>
      </c>
      <c r="AF6" s="597">
        <v>55901.93749537535</v>
      </c>
      <c r="AG6" s="597">
        <v>56295.556558619064</v>
      </c>
      <c r="AH6" s="596">
        <v>56226.354120632874</v>
      </c>
      <c r="AI6" s="596">
        <v>55605.202772066979</v>
      </c>
      <c r="AJ6" s="596">
        <v>55653.314721968061</v>
      </c>
      <c r="AK6" s="596">
        <v>56507</v>
      </c>
      <c r="AL6" s="596">
        <v>56306.748124217665</v>
      </c>
      <c r="AM6" s="596">
        <v>57822.167633943493</v>
      </c>
      <c r="AN6" s="596">
        <v>58820.624313845321</v>
      </c>
      <c r="AO6" s="596">
        <v>60388</v>
      </c>
      <c r="AP6" s="596">
        <v>77203.188958999352</v>
      </c>
      <c r="AQ6" s="598">
        <f>+Table3WS1!F32</f>
        <v>81081.834554532921</v>
      </c>
    </row>
    <row r="7" spans="1:43" s="605" customFormat="1" ht="15.75" hidden="1" customHeight="1" x14ac:dyDescent="0.3">
      <c r="A7" s="599" t="s">
        <v>23</v>
      </c>
      <c r="B7" s="600">
        <v>1.57</v>
      </c>
      <c r="C7" s="600">
        <v>1.5840000000000001</v>
      </c>
      <c r="D7" s="600">
        <v>1.601</v>
      </c>
      <c r="E7" s="600">
        <v>1.629</v>
      </c>
      <c r="F7" s="600">
        <v>1.641</v>
      </c>
      <c r="G7" s="600">
        <v>1.645</v>
      </c>
      <c r="H7" s="600">
        <v>1.65</v>
      </c>
      <c r="I7" s="600">
        <v>1.66</v>
      </c>
      <c r="J7" s="600">
        <v>1.667</v>
      </c>
      <c r="K7" s="600">
        <v>1.6739999999999999</v>
      </c>
      <c r="L7" s="600">
        <v>1.6850000000000001</v>
      </c>
      <c r="M7" s="600">
        <v>1.6879999999999999</v>
      </c>
      <c r="N7" s="600">
        <v>1.6970000000000001</v>
      </c>
      <c r="O7" s="601" t="s">
        <v>450</v>
      </c>
      <c r="P7" s="601" t="s">
        <v>450</v>
      </c>
      <c r="Q7" s="601" t="s">
        <v>450</v>
      </c>
      <c r="R7" s="601" t="s">
        <v>450</v>
      </c>
      <c r="S7" s="601" t="s">
        <v>450</v>
      </c>
      <c r="T7" s="601" t="s">
        <v>450</v>
      </c>
      <c r="U7" s="601" t="s">
        <v>450</v>
      </c>
      <c r="V7" s="601" t="s">
        <v>450</v>
      </c>
      <c r="W7" s="601" t="s">
        <v>450</v>
      </c>
      <c r="X7" s="601" t="s">
        <v>450</v>
      </c>
      <c r="Y7" s="601" t="s">
        <v>450</v>
      </c>
      <c r="Z7" s="601" t="s">
        <v>450</v>
      </c>
      <c r="AA7" s="601" t="s">
        <v>450</v>
      </c>
      <c r="AB7" s="601" t="s">
        <v>450</v>
      </c>
      <c r="AC7" s="601" t="s">
        <v>450</v>
      </c>
      <c r="AD7" s="602" t="s">
        <v>450</v>
      </c>
      <c r="AE7" s="602" t="s">
        <v>450</v>
      </c>
      <c r="AF7" s="602" t="s">
        <v>450</v>
      </c>
      <c r="AG7" s="602" t="s">
        <v>450</v>
      </c>
      <c r="AH7" s="603" t="s">
        <v>450</v>
      </c>
      <c r="AI7" s="603" t="s">
        <v>450</v>
      </c>
      <c r="AJ7" s="603" t="s">
        <v>450</v>
      </c>
      <c r="AK7" s="603" t="s">
        <v>450</v>
      </c>
      <c r="AL7" s="603" t="s">
        <v>450</v>
      </c>
      <c r="AM7" s="603" t="s">
        <v>450</v>
      </c>
      <c r="AN7" s="603" t="s">
        <v>450</v>
      </c>
      <c r="AO7" s="603" t="s">
        <v>450</v>
      </c>
      <c r="AP7" s="603" t="s">
        <v>450</v>
      </c>
      <c r="AQ7" s="604" t="s">
        <v>450</v>
      </c>
    </row>
    <row r="8" spans="1:43" s="578" customFormat="1" ht="15.75" hidden="1" customHeight="1" x14ac:dyDescent="0.3">
      <c r="A8" s="592" t="s">
        <v>25</v>
      </c>
      <c r="B8" s="577" t="s">
        <v>450</v>
      </c>
      <c r="C8" s="577" t="s">
        <v>450</v>
      </c>
      <c r="D8" s="606" t="s">
        <v>450</v>
      </c>
      <c r="E8" s="606" t="s">
        <v>450</v>
      </c>
      <c r="F8" s="606" t="s">
        <v>450</v>
      </c>
      <c r="G8" s="606" t="s">
        <v>450</v>
      </c>
      <c r="H8" s="606" t="s">
        <v>450</v>
      </c>
      <c r="I8" s="606" t="s">
        <v>450</v>
      </c>
      <c r="J8" s="606" t="s">
        <v>450</v>
      </c>
      <c r="K8" s="606" t="s">
        <v>450</v>
      </c>
      <c r="L8" s="606" t="s">
        <v>450</v>
      </c>
      <c r="M8" s="606" t="s">
        <v>450</v>
      </c>
      <c r="N8" s="600">
        <v>1.6779999999999999</v>
      </c>
      <c r="O8" s="607">
        <v>1.696</v>
      </c>
      <c r="P8" s="607">
        <v>1.6879999999999999</v>
      </c>
      <c r="Q8" s="607">
        <v>1.6950000000000001</v>
      </c>
      <c r="R8" s="607">
        <v>1.7010000000000001</v>
      </c>
      <c r="S8" s="607">
        <v>1.7130000000000001</v>
      </c>
      <c r="T8" s="607">
        <v>1.711275547950609</v>
      </c>
      <c r="U8" s="607">
        <v>1.710260011812996</v>
      </c>
      <c r="V8" s="607">
        <v>1.7070000000000001</v>
      </c>
      <c r="W8" s="608" t="s">
        <v>450</v>
      </c>
      <c r="X8" s="608" t="s">
        <v>450</v>
      </c>
      <c r="Y8" s="608" t="s">
        <v>450</v>
      </c>
      <c r="Z8" s="608" t="s">
        <v>450</v>
      </c>
      <c r="AA8" s="608" t="s">
        <v>450</v>
      </c>
      <c r="AB8" s="608" t="s">
        <v>450</v>
      </c>
      <c r="AC8" s="608" t="s">
        <v>450</v>
      </c>
      <c r="AD8" s="609" t="s">
        <v>450</v>
      </c>
      <c r="AE8" s="609" t="s">
        <v>450</v>
      </c>
      <c r="AF8" s="609" t="s">
        <v>450</v>
      </c>
      <c r="AG8" s="609" t="s">
        <v>450</v>
      </c>
      <c r="AH8" s="610" t="s">
        <v>450</v>
      </c>
      <c r="AI8" s="610" t="s">
        <v>450</v>
      </c>
      <c r="AJ8" s="610" t="s">
        <v>450</v>
      </c>
      <c r="AK8" s="610" t="s">
        <v>450</v>
      </c>
      <c r="AL8" s="610" t="s">
        <v>450</v>
      </c>
      <c r="AM8" s="610" t="s">
        <v>450</v>
      </c>
      <c r="AN8" s="610" t="s">
        <v>450</v>
      </c>
      <c r="AO8" s="610" t="s">
        <v>450</v>
      </c>
      <c r="AP8" s="610" t="s">
        <v>450</v>
      </c>
      <c r="AQ8" s="611" t="s">
        <v>450</v>
      </c>
    </row>
    <row r="9" spans="1:43" s="578" customFormat="1" ht="15.75" hidden="1" customHeight="1" x14ac:dyDescent="0.3">
      <c r="A9" s="592" t="s">
        <v>208</v>
      </c>
      <c r="B9" s="577" t="s">
        <v>450</v>
      </c>
      <c r="C9" s="577" t="s">
        <v>450</v>
      </c>
      <c r="D9" s="606" t="s">
        <v>450</v>
      </c>
      <c r="E9" s="606" t="s">
        <v>450</v>
      </c>
      <c r="F9" s="606" t="s">
        <v>450</v>
      </c>
      <c r="G9" s="606" t="s">
        <v>450</v>
      </c>
      <c r="H9" s="606" t="s">
        <v>450</v>
      </c>
      <c r="I9" s="606" t="s">
        <v>450</v>
      </c>
      <c r="J9" s="606" t="s">
        <v>450</v>
      </c>
      <c r="K9" s="606" t="s">
        <v>450</v>
      </c>
      <c r="L9" s="606" t="s">
        <v>450</v>
      </c>
      <c r="M9" s="606" t="s">
        <v>450</v>
      </c>
      <c r="N9" s="606" t="s">
        <v>450</v>
      </c>
      <c r="O9" s="601" t="s">
        <v>450</v>
      </c>
      <c r="P9" s="601" t="s">
        <v>450</v>
      </c>
      <c r="Q9" s="601" t="s">
        <v>450</v>
      </c>
      <c r="R9" s="601" t="s">
        <v>450</v>
      </c>
      <c r="S9" s="601" t="s">
        <v>450</v>
      </c>
      <c r="T9" s="608" t="s">
        <v>450</v>
      </c>
      <c r="U9" s="608" t="s">
        <v>450</v>
      </c>
      <c r="V9" s="608" t="s">
        <v>450</v>
      </c>
      <c r="W9" s="607">
        <v>1.6162722613385818</v>
      </c>
      <c r="X9" s="612">
        <v>1.61154</v>
      </c>
      <c r="Y9" s="612">
        <v>1.6038183393542929</v>
      </c>
      <c r="Z9" s="612">
        <v>1.6102191345274188</v>
      </c>
      <c r="AA9" s="613" t="s">
        <v>450</v>
      </c>
      <c r="AB9" s="613" t="s">
        <v>450</v>
      </c>
      <c r="AC9" s="613" t="s">
        <v>450</v>
      </c>
      <c r="AD9" s="614" t="s">
        <v>450</v>
      </c>
      <c r="AE9" s="614" t="s">
        <v>450</v>
      </c>
      <c r="AF9" s="614" t="s">
        <v>450</v>
      </c>
      <c r="AG9" s="614" t="s">
        <v>450</v>
      </c>
      <c r="AH9" s="615" t="s">
        <v>450</v>
      </c>
      <c r="AI9" s="615" t="s">
        <v>450</v>
      </c>
      <c r="AJ9" s="615" t="s">
        <v>450</v>
      </c>
      <c r="AK9" s="615" t="s">
        <v>450</v>
      </c>
      <c r="AL9" s="615" t="s">
        <v>450</v>
      </c>
      <c r="AM9" s="615" t="s">
        <v>450</v>
      </c>
      <c r="AN9" s="615" t="s">
        <v>450</v>
      </c>
      <c r="AO9" s="615" t="s">
        <v>450</v>
      </c>
      <c r="AP9" s="615" t="s">
        <v>450</v>
      </c>
      <c r="AQ9" s="616" t="s">
        <v>450</v>
      </c>
    </row>
    <row r="10" spans="1:43" s="578" customFormat="1" ht="15.75" hidden="1" customHeight="1" x14ac:dyDescent="0.3">
      <c r="A10" s="592" t="s">
        <v>333</v>
      </c>
      <c r="B10" s="577" t="s">
        <v>450</v>
      </c>
      <c r="C10" s="577" t="s">
        <v>450</v>
      </c>
      <c r="D10" s="606" t="s">
        <v>450</v>
      </c>
      <c r="E10" s="606" t="s">
        <v>450</v>
      </c>
      <c r="F10" s="606" t="s">
        <v>450</v>
      </c>
      <c r="G10" s="606" t="s">
        <v>450</v>
      </c>
      <c r="H10" s="606" t="s">
        <v>450</v>
      </c>
      <c r="I10" s="606" t="s">
        <v>450</v>
      </c>
      <c r="J10" s="606" t="s">
        <v>450</v>
      </c>
      <c r="K10" s="606" t="s">
        <v>450</v>
      </c>
      <c r="L10" s="606" t="s">
        <v>450</v>
      </c>
      <c r="M10" s="606" t="s">
        <v>450</v>
      </c>
      <c r="N10" s="606" t="s">
        <v>450</v>
      </c>
      <c r="O10" s="601" t="s">
        <v>450</v>
      </c>
      <c r="P10" s="601" t="s">
        <v>450</v>
      </c>
      <c r="Q10" s="601" t="s">
        <v>450</v>
      </c>
      <c r="R10" s="601" t="s">
        <v>450</v>
      </c>
      <c r="S10" s="601" t="s">
        <v>450</v>
      </c>
      <c r="T10" s="608" t="s">
        <v>450</v>
      </c>
      <c r="U10" s="608" t="s">
        <v>450</v>
      </c>
      <c r="V10" s="608" t="s">
        <v>450</v>
      </c>
      <c r="W10" s="617" t="s">
        <v>450</v>
      </c>
      <c r="X10" s="613" t="s">
        <v>450</v>
      </c>
      <c r="Y10" s="613" t="s">
        <v>450</v>
      </c>
      <c r="Z10" s="613" t="s">
        <v>450</v>
      </c>
      <c r="AA10" s="612">
        <v>1.5772039155868032</v>
      </c>
      <c r="AB10" s="613" t="s">
        <v>450</v>
      </c>
      <c r="AC10" s="613" t="s">
        <v>450</v>
      </c>
      <c r="AD10" s="614" t="s">
        <v>450</v>
      </c>
      <c r="AE10" s="614" t="s">
        <v>450</v>
      </c>
      <c r="AF10" s="614" t="s">
        <v>450</v>
      </c>
      <c r="AG10" s="614" t="s">
        <v>450</v>
      </c>
      <c r="AH10" s="615" t="s">
        <v>450</v>
      </c>
      <c r="AI10" s="615" t="s">
        <v>450</v>
      </c>
      <c r="AJ10" s="615" t="s">
        <v>450</v>
      </c>
      <c r="AK10" s="615" t="s">
        <v>450</v>
      </c>
      <c r="AL10" s="615" t="s">
        <v>450</v>
      </c>
      <c r="AM10" s="615" t="s">
        <v>450</v>
      </c>
      <c r="AN10" s="615" t="s">
        <v>450</v>
      </c>
      <c r="AO10" s="615" t="s">
        <v>450</v>
      </c>
      <c r="AP10" s="615" t="s">
        <v>450</v>
      </c>
      <c r="AQ10" s="616" t="s">
        <v>450</v>
      </c>
    </row>
    <row r="11" spans="1:43" s="578" customFormat="1" ht="15.75" customHeight="1" x14ac:dyDescent="0.3">
      <c r="A11" s="592" t="s">
        <v>551</v>
      </c>
      <c r="B11" s="577" t="s">
        <v>450</v>
      </c>
      <c r="C11" s="577" t="s">
        <v>450</v>
      </c>
      <c r="D11" s="606" t="s">
        <v>450</v>
      </c>
      <c r="E11" s="606" t="s">
        <v>450</v>
      </c>
      <c r="F11" s="606" t="s">
        <v>450</v>
      </c>
      <c r="G11" s="606" t="s">
        <v>450</v>
      </c>
      <c r="H11" s="606" t="s">
        <v>450</v>
      </c>
      <c r="I11" s="606" t="s">
        <v>450</v>
      </c>
      <c r="J11" s="606" t="s">
        <v>450</v>
      </c>
      <c r="K11" s="606" t="s">
        <v>450</v>
      </c>
      <c r="L11" s="606" t="s">
        <v>450</v>
      </c>
      <c r="M11" s="606" t="s">
        <v>450</v>
      </c>
      <c r="N11" s="606" t="s">
        <v>450</v>
      </c>
      <c r="O11" s="601" t="s">
        <v>450</v>
      </c>
      <c r="P11" s="601" t="s">
        <v>450</v>
      </c>
      <c r="Q11" s="601" t="s">
        <v>450</v>
      </c>
      <c r="R11" s="601" t="s">
        <v>450</v>
      </c>
      <c r="S11" s="601" t="s">
        <v>450</v>
      </c>
      <c r="T11" s="608" t="s">
        <v>450</v>
      </c>
      <c r="U11" s="608" t="s">
        <v>450</v>
      </c>
      <c r="V11" s="608" t="s">
        <v>450</v>
      </c>
      <c r="W11" s="617" t="s">
        <v>450</v>
      </c>
      <c r="X11" s="613" t="s">
        <v>450</v>
      </c>
      <c r="Y11" s="613" t="s">
        <v>450</v>
      </c>
      <c r="Z11" s="613" t="s">
        <v>450</v>
      </c>
      <c r="AA11" s="613" t="s">
        <v>450</v>
      </c>
      <c r="AB11" s="612">
        <v>1.5396220606969127</v>
      </c>
      <c r="AC11" s="612">
        <v>1.5409068781714532</v>
      </c>
      <c r="AD11" s="618">
        <v>1.5411358481283008</v>
      </c>
      <c r="AE11" s="618">
        <v>1.5413837728531024</v>
      </c>
      <c r="AF11" s="618">
        <v>1.5476977135940497</v>
      </c>
      <c r="AG11" s="618">
        <v>1.5662151175181811</v>
      </c>
      <c r="AH11" s="619">
        <v>1.5712688752829465</v>
      </c>
      <c r="AI11" s="619">
        <v>1.5794065737710454</v>
      </c>
      <c r="AJ11" s="619">
        <v>1.5789737058991231</v>
      </c>
      <c r="AK11" s="619">
        <v>1.571</v>
      </c>
      <c r="AL11" s="619">
        <v>1.5598429769287527</v>
      </c>
      <c r="AM11" s="619">
        <v>1.5501078603195761</v>
      </c>
      <c r="AN11" s="619">
        <v>1.5437788325484212</v>
      </c>
      <c r="AO11" s="619">
        <v>1.5409999999999999</v>
      </c>
      <c r="AP11" s="619">
        <v>1.5374276181562589</v>
      </c>
      <c r="AQ11" s="802">
        <f>+Table3WS1!E32</f>
        <v>1.5460777977573161</v>
      </c>
    </row>
    <row r="12" spans="1:43" s="578" customFormat="1" ht="15.75" customHeight="1" thickBot="1" x14ac:dyDescent="0.35">
      <c r="A12" s="620" t="s">
        <v>552</v>
      </c>
      <c r="B12" s="621">
        <v>11678</v>
      </c>
      <c r="C12" s="621">
        <v>12550</v>
      </c>
      <c r="D12" s="622">
        <v>14009</v>
      </c>
      <c r="E12" s="622">
        <v>14831</v>
      </c>
      <c r="F12" s="622">
        <v>15037</v>
      </c>
      <c r="G12" s="622">
        <v>15604</v>
      </c>
      <c r="H12" s="622">
        <v>16247</v>
      </c>
      <c r="I12" s="622">
        <v>16599</v>
      </c>
      <c r="J12" s="622">
        <v>17203</v>
      </c>
      <c r="K12" s="622">
        <v>17730</v>
      </c>
      <c r="L12" s="622">
        <v>18255</v>
      </c>
      <c r="M12" s="622">
        <v>19027</v>
      </c>
      <c r="N12" s="622">
        <v>19565</v>
      </c>
      <c r="O12" s="623">
        <v>21618</v>
      </c>
      <c r="P12" s="623">
        <v>22329</v>
      </c>
      <c r="Q12" s="623">
        <v>22292</v>
      </c>
      <c r="R12" s="623">
        <v>22395</v>
      </c>
      <c r="S12" s="623">
        <v>23295</v>
      </c>
      <c r="T12" s="623">
        <v>23297.229731190298</v>
      </c>
      <c r="U12" s="623">
        <v>23922.525599546247</v>
      </c>
      <c r="V12" s="623">
        <v>23955</v>
      </c>
      <c r="W12" s="596">
        <f>+W6/W9</f>
        <v>26826.729754855616</v>
      </c>
      <c r="X12" s="596">
        <f>+X6/X9</f>
        <v>27667.944947069263</v>
      </c>
      <c r="Y12" s="624">
        <f>+Y6/Y9</f>
        <v>28714.685830366878</v>
      </c>
      <c r="Z12" s="624">
        <f>+Z6/Z9</f>
        <v>29608.772225650511</v>
      </c>
      <c r="AA12" s="624">
        <f>+AA6/AA10</f>
        <v>30523.09324170617</v>
      </c>
      <c r="AB12" s="624">
        <f t="shared" ref="AB12:AH12" si="0">+AB6/AB11</f>
        <v>31489.165641317133</v>
      </c>
      <c r="AC12" s="624">
        <f t="shared" si="0"/>
        <v>31928.030521390006</v>
      </c>
      <c r="AD12" s="624">
        <f t="shared" si="0"/>
        <v>33027.535606876096</v>
      </c>
      <c r="AE12" s="624">
        <f t="shared" si="0"/>
        <v>34451.653885151667</v>
      </c>
      <c r="AF12" s="624">
        <f t="shared" si="0"/>
        <v>36119.4159585339</v>
      </c>
      <c r="AG12" s="624">
        <f t="shared" si="0"/>
        <v>35943.693767829798</v>
      </c>
      <c r="AH12" s="624">
        <f t="shared" si="0"/>
        <v>35784.043714674808</v>
      </c>
      <c r="AI12" s="624">
        <f>+AI6/AI11</f>
        <v>35206.389346159354</v>
      </c>
      <c r="AJ12" s="624">
        <f>+AJ6/AJ11</f>
        <v>35246.51139790647</v>
      </c>
      <c r="AK12" s="624">
        <v>35972</v>
      </c>
      <c r="AL12" s="624">
        <v>36097.702754082748</v>
      </c>
      <c r="AM12" s="624">
        <v>37302.028532403325</v>
      </c>
      <c r="AN12" s="624">
        <v>38101.717081290779</v>
      </c>
      <c r="AO12" s="596">
        <v>39179</v>
      </c>
      <c r="AP12" s="596">
        <v>50215.820274898091</v>
      </c>
      <c r="AQ12" s="598">
        <f t="shared" ref="AQ12" si="1">+AQ6/AQ11</f>
        <v>52443.566987474536</v>
      </c>
    </row>
    <row r="13" spans="1:43" s="584" customFormat="1" ht="15.75" customHeight="1" x14ac:dyDescent="0.3">
      <c r="A13" s="579" t="s">
        <v>542</v>
      </c>
      <c r="B13" s="580"/>
      <c r="C13" s="580"/>
      <c r="D13" s="580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2"/>
      <c r="Y13" s="625"/>
      <c r="Z13" s="625"/>
      <c r="AA13" s="625"/>
      <c r="AB13" s="625"/>
      <c r="AC13" s="626"/>
      <c r="AD13" s="797"/>
      <c r="AE13" s="797"/>
      <c r="AF13" s="797"/>
      <c r="AG13" s="797"/>
      <c r="AH13" s="797"/>
      <c r="AI13" s="797"/>
      <c r="AJ13" s="797"/>
      <c r="AK13" s="797"/>
      <c r="AL13" s="797"/>
      <c r="AM13" s="797"/>
      <c r="AN13" s="797"/>
      <c r="AO13" s="797"/>
      <c r="AP13" s="797"/>
      <c r="AQ13" s="798"/>
    </row>
    <row r="14" spans="1:43" s="591" customFormat="1" ht="15.75" customHeight="1" x14ac:dyDescent="0.3">
      <c r="A14" s="585" t="s">
        <v>22</v>
      </c>
      <c r="B14" s="586">
        <v>3344</v>
      </c>
      <c r="C14" s="586">
        <v>3388</v>
      </c>
      <c r="D14" s="586">
        <v>3441</v>
      </c>
      <c r="E14" s="586">
        <v>3250</v>
      </c>
      <c r="F14" s="586">
        <v>3099</v>
      </c>
      <c r="G14" s="586">
        <v>3133</v>
      </c>
      <c r="H14" s="586">
        <v>3270</v>
      </c>
      <c r="I14" s="586">
        <v>3248</v>
      </c>
      <c r="J14" s="586">
        <v>3194</v>
      </c>
      <c r="K14" s="586">
        <v>3220</v>
      </c>
      <c r="L14" s="586">
        <v>3288</v>
      </c>
      <c r="M14" s="586">
        <v>3298</v>
      </c>
      <c r="N14" s="586">
        <v>3390</v>
      </c>
      <c r="O14" s="587">
        <v>3375</v>
      </c>
      <c r="P14" s="587">
        <v>3444</v>
      </c>
      <c r="Q14" s="587">
        <v>3443</v>
      </c>
      <c r="R14" s="587">
        <v>3495</v>
      </c>
      <c r="S14" s="587">
        <v>3500</v>
      </c>
      <c r="T14" s="587">
        <v>3578.98</v>
      </c>
      <c r="U14" s="587">
        <v>3647.4950000000008</v>
      </c>
      <c r="V14" s="587">
        <v>3680.78</v>
      </c>
      <c r="W14" s="587">
        <v>3733.944</v>
      </c>
      <c r="X14" s="588">
        <v>3761.7</v>
      </c>
      <c r="Y14" s="588">
        <v>3855.9</v>
      </c>
      <c r="Z14" s="588">
        <v>3910.3</v>
      </c>
      <c r="AA14" s="588">
        <v>3897.6</v>
      </c>
      <c r="AB14" s="588">
        <v>3925.4</v>
      </c>
      <c r="AC14" s="588">
        <v>3998.63</v>
      </c>
      <c r="AD14" s="589">
        <v>3975.19</v>
      </c>
      <c r="AE14" s="589">
        <v>4036.8999999999996</v>
      </c>
      <c r="AF14" s="589">
        <v>4035.3899999999994</v>
      </c>
      <c r="AG14" s="589">
        <v>3898.9800000000005</v>
      </c>
      <c r="AH14" s="627">
        <v>3902.34</v>
      </c>
      <c r="AI14" s="627">
        <v>3884.31</v>
      </c>
      <c r="AJ14" s="627">
        <v>3970.5800000000004</v>
      </c>
      <c r="AK14" s="627">
        <v>4100.3</v>
      </c>
      <c r="AL14" s="627">
        <v>4326.7700000000004</v>
      </c>
      <c r="AM14" s="627">
        <v>4554.13</v>
      </c>
      <c r="AN14" s="627">
        <v>4798.74</v>
      </c>
      <c r="AO14" s="627">
        <v>4915.3</v>
      </c>
      <c r="AP14" s="627">
        <v>5030.87</v>
      </c>
      <c r="AQ14" s="628">
        <f>+Table3WS1!K9</f>
        <v>4972.07</v>
      </c>
    </row>
    <row r="15" spans="1:43" s="578" customFormat="1" ht="15.75" customHeight="1" x14ac:dyDescent="0.3">
      <c r="A15" s="592" t="s">
        <v>448</v>
      </c>
      <c r="B15" s="593">
        <v>27641</v>
      </c>
      <c r="C15" s="593">
        <v>30023</v>
      </c>
      <c r="D15" s="594">
        <v>33575</v>
      </c>
      <c r="E15" s="594">
        <v>36137</v>
      </c>
      <c r="F15" s="594">
        <v>36792</v>
      </c>
      <c r="G15" s="594">
        <v>38609</v>
      </c>
      <c r="H15" s="594">
        <v>40133</v>
      </c>
      <c r="I15" s="594">
        <v>41684</v>
      </c>
      <c r="J15" s="594">
        <v>43785</v>
      </c>
      <c r="K15" s="594">
        <v>46120</v>
      </c>
      <c r="L15" s="594">
        <v>48377</v>
      </c>
      <c r="M15" s="594">
        <v>51216</v>
      </c>
      <c r="N15" s="594">
        <v>55196</v>
      </c>
      <c r="O15" s="478">
        <v>58753</v>
      </c>
      <c r="P15" s="478">
        <v>61205</v>
      </c>
      <c r="Q15" s="478">
        <v>61542</v>
      </c>
      <c r="R15" s="478">
        <v>62267</v>
      </c>
      <c r="S15" s="478">
        <v>65704.53</v>
      </c>
      <c r="T15" s="478">
        <v>66294.497465758381</v>
      </c>
      <c r="U15" s="478">
        <v>68626.044723844709</v>
      </c>
      <c r="V15" s="478">
        <v>69381</v>
      </c>
      <c r="W15" s="478">
        <v>72992.566037412442</v>
      </c>
      <c r="X15" s="595">
        <v>76072</v>
      </c>
      <c r="Y15" s="596">
        <v>79450.462968437976</v>
      </c>
      <c r="Z15" s="596">
        <v>82686.994151343868</v>
      </c>
      <c r="AA15" s="596">
        <v>83429.509834256984</v>
      </c>
      <c r="AB15" s="596">
        <v>84537.900988434296</v>
      </c>
      <c r="AC15" s="596">
        <v>86696.825550250971</v>
      </c>
      <c r="AD15" s="597">
        <v>90941.847395973513</v>
      </c>
      <c r="AE15" s="597">
        <v>95179.872501176651</v>
      </c>
      <c r="AF15" s="597">
        <v>99810.521842994131</v>
      </c>
      <c r="AG15" s="597">
        <v>101261.63536360791</v>
      </c>
      <c r="AH15" s="596">
        <v>101958.85756494821</v>
      </c>
      <c r="AI15" s="596">
        <v>102310.4679209435</v>
      </c>
      <c r="AJ15" s="596">
        <v>102824.14293377794</v>
      </c>
      <c r="AK15" s="596">
        <v>105156</v>
      </c>
      <c r="AL15" s="596">
        <v>107313.61749757901</v>
      </c>
      <c r="AM15" s="596">
        <v>112024.80314132446</v>
      </c>
      <c r="AN15" s="596">
        <v>115461.78462679787</v>
      </c>
      <c r="AO15" s="596">
        <v>121369</v>
      </c>
      <c r="AP15" s="596">
        <v>127070.18560606813</v>
      </c>
      <c r="AQ15" s="598">
        <f>+Table3WS1!K10</f>
        <v>135384.02465572691</v>
      </c>
    </row>
    <row r="16" spans="1:43" s="605" customFormat="1" ht="15.75" hidden="1" customHeight="1" x14ac:dyDescent="0.3">
      <c r="A16" s="599" t="s">
        <v>23</v>
      </c>
      <c r="B16" s="600">
        <v>1.8720000000000001</v>
      </c>
      <c r="C16" s="600">
        <v>1.89</v>
      </c>
      <c r="D16" s="600">
        <v>1.897</v>
      </c>
      <c r="E16" s="600">
        <v>1.9219999999999999</v>
      </c>
      <c r="F16" s="600">
        <v>1.9319999999999999</v>
      </c>
      <c r="G16" s="600">
        <v>1.9390000000000001</v>
      </c>
      <c r="H16" s="600">
        <v>1.9379999999999999</v>
      </c>
      <c r="I16" s="600">
        <v>1.95</v>
      </c>
      <c r="J16" s="600">
        <v>1.96</v>
      </c>
      <c r="K16" s="600">
        <v>1.9630000000000001</v>
      </c>
      <c r="L16" s="600">
        <v>1.9610000000000001</v>
      </c>
      <c r="M16" s="600">
        <v>1.9670000000000001</v>
      </c>
      <c r="N16" s="600">
        <v>1.97</v>
      </c>
      <c r="O16" s="601" t="s">
        <v>450</v>
      </c>
      <c r="P16" s="601" t="s">
        <v>450</v>
      </c>
      <c r="Q16" s="601" t="s">
        <v>450</v>
      </c>
      <c r="R16" s="601" t="s">
        <v>450</v>
      </c>
      <c r="S16" s="601" t="s">
        <v>450</v>
      </c>
      <c r="T16" s="601" t="s">
        <v>450</v>
      </c>
      <c r="U16" s="601" t="s">
        <v>450</v>
      </c>
      <c r="V16" s="601" t="s">
        <v>450</v>
      </c>
      <c r="W16" s="601" t="s">
        <v>450</v>
      </c>
      <c r="X16" s="601" t="s">
        <v>450</v>
      </c>
      <c r="Y16" s="601" t="s">
        <v>450</v>
      </c>
      <c r="Z16" s="601" t="s">
        <v>450</v>
      </c>
      <c r="AA16" s="601" t="s">
        <v>450</v>
      </c>
      <c r="AB16" s="601" t="s">
        <v>450</v>
      </c>
      <c r="AC16" s="601" t="s">
        <v>450</v>
      </c>
      <c r="AD16" s="602" t="s">
        <v>450</v>
      </c>
      <c r="AE16" s="602" t="s">
        <v>450</v>
      </c>
      <c r="AF16" s="602" t="s">
        <v>450</v>
      </c>
      <c r="AG16" s="602" t="s">
        <v>450</v>
      </c>
      <c r="AH16" s="603" t="s">
        <v>450</v>
      </c>
      <c r="AI16" s="603" t="s">
        <v>450</v>
      </c>
      <c r="AJ16" s="603" t="s">
        <v>450</v>
      </c>
      <c r="AK16" s="603" t="s">
        <v>450</v>
      </c>
      <c r="AL16" s="603" t="s">
        <v>450</v>
      </c>
      <c r="AM16" s="603" t="s">
        <v>450</v>
      </c>
      <c r="AN16" s="603" t="s">
        <v>450</v>
      </c>
      <c r="AO16" s="603" t="s">
        <v>450</v>
      </c>
      <c r="AP16" s="603" t="s">
        <v>450</v>
      </c>
      <c r="AQ16" s="604" t="s">
        <v>450</v>
      </c>
    </row>
    <row r="17" spans="1:43" s="631" customFormat="1" ht="15.75" hidden="1" customHeight="1" x14ac:dyDescent="0.3">
      <c r="A17" s="629" t="s">
        <v>25</v>
      </c>
      <c r="B17" s="630" t="s">
        <v>450</v>
      </c>
      <c r="C17" s="630" t="s">
        <v>450</v>
      </c>
      <c r="D17" s="630" t="s">
        <v>450</v>
      </c>
      <c r="E17" s="630" t="s">
        <v>450</v>
      </c>
      <c r="F17" s="630" t="s">
        <v>450</v>
      </c>
      <c r="G17" s="630" t="s">
        <v>450</v>
      </c>
      <c r="H17" s="630" t="s">
        <v>450</v>
      </c>
      <c r="I17" s="630" t="s">
        <v>450</v>
      </c>
      <c r="J17" s="630" t="s">
        <v>450</v>
      </c>
      <c r="K17" s="630" t="s">
        <v>450</v>
      </c>
      <c r="L17" s="630" t="s">
        <v>450</v>
      </c>
      <c r="M17" s="630" t="s">
        <v>450</v>
      </c>
      <c r="N17" s="630">
        <v>1.94</v>
      </c>
      <c r="O17" s="607">
        <v>1.948</v>
      </c>
      <c r="P17" s="607">
        <v>1.95</v>
      </c>
      <c r="Q17" s="607">
        <v>1.9530000000000001</v>
      </c>
      <c r="R17" s="607">
        <v>1.956</v>
      </c>
      <c r="S17" s="607">
        <v>1.958</v>
      </c>
      <c r="T17" s="607">
        <v>1.958007140498131</v>
      </c>
      <c r="U17" s="607">
        <v>1.9508558722493079</v>
      </c>
      <c r="V17" s="607">
        <v>1.95</v>
      </c>
      <c r="W17" s="617" t="s">
        <v>450</v>
      </c>
      <c r="X17" s="617" t="s">
        <v>450</v>
      </c>
      <c r="Y17" s="613" t="s">
        <v>450</v>
      </c>
      <c r="Z17" s="613" t="s">
        <v>450</v>
      </c>
      <c r="AA17" s="613" t="s">
        <v>450</v>
      </c>
      <c r="AB17" s="613" t="s">
        <v>450</v>
      </c>
      <c r="AC17" s="613" t="s">
        <v>450</v>
      </c>
      <c r="AD17" s="614" t="s">
        <v>450</v>
      </c>
      <c r="AE17" s="614" t="s">
        <v>450</v>
      </c>
      <c r="AF17" s="614" t="s">
        <v>450</v>
      </c>
      <c r="AG17" s="614" t="s">
        <v>450</v>
      </c>
      <c r="AH17" s="615" t="s">
        <v>450</v>
      </c>
      <c r="AI17" s="615" t="s">
        <v>450</v>
      </c>
      <c r="AJ17" s="615" t="s">
        <v>450</v>
      </c>
      <c r="AK17" s="615" t="s">
        <v>450</v>
      </c>
      <c r="AL17" s="615" t="s">
        <v>450</v>
      </c>
      <c r="AM17" s="615" t="s">
        <v>450</v>
      </c>
      <c r="AN17" s="615" t="s">
        <v>450</v>
      </c>
      <c r="AO17" s="615" t="s">
        <v>450</v>
      </c>
      <c r="AP17" s="615" t="s">
        <v>450</v>
      </c>
      <c r="AQ17" s="616" t="s">
        <v>450</v>
      </c>
    </row>
    <row r="18" spans="1:43" s="631" customFormat="1" ht="15.75" hidden="1" customHeight="1" x14ac:dyDescent="0.3">
      <c r="A18" s="629" t="s">
        <v>208</v>
      </c>
      <c r="B18" s="630" t="s">
        <v>450</v>
      </c>
      <c r="C18" s="630" t="s">
        <v>450</v>
      </c>
      <c r="D18" s="630" t="s">
        <v>450</v>
      </c>
      <c r="E18" s="630" t="s">
        <v>450</v>
      </c>
      <c r="F18" s="630" t="s">
        <v>450</v>
      </c>
      <c r="G18" s="630" t="s">
        <v>450</v>
      </c>
      <c r="H18" s="630" t="s">
        <v>450</v>
      </c>
      <c r="I18" s="630" t="s">
        <v>450</v>
      </c>
      <c r="J18" s="630" t="s">
        <v>450</v>
      </c>
      <c r="K18" s="630" t="s">
        <v>450</v>
      </c>
      <c r="L18" s="630" t="s">
        <v>450</v>
      </c>
      <c r="M18" s="630" t="s">
        <v>450</v>
      </c>
      <c r="N18" s="630" t="s">
        <v>450</v>
      </c>
      <c r="O18" s="607" t="s">
        <v>450</v>
      </c>
      <c r="P18" s="607" t="s">
        <v>450</v>
      </c>
      <c r="Q18" s="607" t="s">
        <v>450</v>
      </c>
      <c r="R18" s="607" t="s">
        <v>450</v>
      </c>
      <c r="S18" s="607" t="s">
        <v>450</v>
      </c>
      <c r="T18" s="617" t="s">
        <v>450</v>
      </c>
      <c r="U18" s="617" t="s">
        <v>450</v>
      </c>
      <c r="V18" s="617" t="s">
        <v>450</v>
      </c>
      <c r="W18" s="607">
        <v>1.8409527701031467</v>
      </c>
      <c r="X18" s="612">
        <v>1.8296699999999999</v>
      </c>
      <c r="Y18" s="612">
        <v>1.813914436214632</v>
      </c>
      <c r="Z18" s="612">
        <v>1.8158810252921769</v>
      </c>
      <c r="AA18" s="613" t="s">
        <v>450</v>
      </c>
      <c r="AB18" s="613" t="s">
        <v>450</v>
      </c>
      <c r="AC18" s="613" t="s">
        <v>450</v>
      </c>
      <c r="AD18" s="614" t="s">
        <v>450</v>
      </c>
      <c r="AE18" s="614" t="s">
        <v>450</v>
      </c>
      <c r="AF18" s="614" t="s">
        <v>450</v>
      </c>
      <c r="AG18" s="614" t="s">
        <v>450</v>
      </c>
      <c r="AH18" s="615" t="s">
        <v>450</v>
      </c>
      <c r="AI18" s="615" t="s">
        <v>450</v>
      </c>
      <c r="AJ18" s="615" t="s">
        <v>450</v>
      </c>
      <c r="AK18" s="615" t="s">
        <v>450</v>
      </c>
      <c r="AL18" s="615" t="s">
        <v>450</v>
      </c>
      <c r="AM18" s="615" t="s">
        <v>450</v>
      </c>
      <c r="AN18" s="615" t="s">
        <v>450</v>
      </c>
      <c r="AO18" s="615" t="s">
        <v>450</v>
      </c>
      <c r="AP18" s="615" t="s">
        <v>450</v>
      </c>
      <c r="AQ18" s="616" t="s">
        <v>450</v>
      </c>
    </row>
    <row r="19" spans="1:43" s="631" customFormat="1" ht="15.75" hidden="1" customHeight="1" x14ac:dyDescent="0.3">
      <c r="A19" s="629" t="s">
        <v>333</v>
      </c>
      <c r="B19" s="630" t="s">
        <v>450</v>
      </c>
      <c r="C19" s="630" t="s">
        <v>450</v>
      </c>
      <c r="D19" s="630" t="s">
        <v>450</v>
      </c>
      <c r="E19" s="630" t="s">
        <v>450</v>
      </c>
      <c r="F19" s="630" t="s">
        <v>450</v>
      </c>
      <c r="G19" s="630" t="s">
        <v>450</v>
      </c>
      <c r="H19" s="630" t="s">
        <v>450</v>
      </c>
      <c r="I19" s="630" t="s">
        <v>450</v>
      </c>
      <c r="J19" s="630" t="s">
        <v>450</v>
      </c>
      <c r="K19" s="630" t="s">
        <v>450</v>
      </c>
      <c r="L19" s="630" t="s">
        <v>450</v>
      </c>
      <c r="M19" s="630" t="s">
        <v>450</v>
      </c>
      <c r="N19" s="630" t="s">
        <v>450</v>
      </c>
      <c r="O19" s="607" t="s">
        <v>450</v>
      </c>
      <c r="P19" s="607" t="s">
        <v>450</v>
      </c>
      <c r="Q19" s="607" t="s">
        <v>450</v>
      </c>
      <c r="R19" s="607" t="s">
        <v>450</v>
      </c>
      <c r="S19" s="607" t="s">
        <v>450</v>
      </c>
      <c r="T19" s="617" t="s">
        <v>450</v>
      </c>
      <c r="U19" s="617" t="s">
        <v>450</v>
      </c>
      <c r="V19" s="617" t="s">
        <v>450</v>
      </c>
      <c r="W19" s="617" t="s">
        <v>450</v>
      </c>
      <c r="X19" s="613" t="s">
        <v>450</v>
      </c>
      <c r="Y19" s="613" t="s">
        <v>450</v>
      </c>
      <c r="Z19" s="613" t="s">
        <v>450</v>
      </c>
      <c r="AA19" s="612">
        <v>1.7684239737274219</v>
      </c>
      <c r="AB19" s="613" t="s">
        <v>450</v>
      </c>
      <c r="AC19" s="613" t="s">
        <v>450</v>
      </c>
      <c r="AD19" s="614" t="s">
        <v>450</v>
      </c>
      <c r="AE19" s="614" t="s">
        <v>450</v>
      </c>
      <c r="AF19" s="614" t="s">
        <v>450</v>
      </c>
      <c r="AG19" s="614" t="s">
        <v>450</v>
      </c>
      <c r="AH19" s="615" t="s">
        <v>450</v>
      </c>
      <c r="AI19" s="615" t="s">
        <v>450</v>
      </c>
      <c r="AJ19" s="615" t="s">
        <v>450</v>
      </c>
      <c r="AK19" s="615" t="s">
        <v>450</v>
      </c>
      <c r="AL19" s="615" t="s">
        <v>450</v>
      </c>
      <c r="AM19" s="615" t="s">
        <v>450</v>
      </c>
      <c r="AN19" s="615" t="s">
        <v>450</v>
      </c>
      <c r="AO19" s="615" t="s">
        <v>450</v>
      </c>
      <c r="AP19" s="615" t="s">
        <v>450</v>
      </c>
      <c r="AQ19" s="616" t="s">
        <v>450</v>
      </c>
    </row>
    <row r="20" spans="1:43" s="631" customFormat="1" ht="15.75" customHeight="1" x14ac:dyDescent="0.3">
      <c r="A20" s="629" t="s">
        <v>551</v>
      </c>
      <c r="B20" s="630" t="s">
        <v>450</v>
      </c>
      <c r="C20" s="630" t="s">
        <v>450</v>
      </c>
      <c r="D20" s="630" t="s">
        <v>450</v>
      </c>
      <c r="E20" s="630" t="s">
        <v>450</v>
      </c>
      <c r="F20" s="630" t="s">
        <v>450</v>
      </c>
      <c r="G20" s="630" t="s">
        <v>450</v>
      </c>
      <c r="H20" s="630" t="s">
        <v>450</v>
      </c>
      <c r="I20" s="630" t="s">
        <v>450</v>
      </c>
      <c r="J20" s="630" t="s">
        <v>450</v>
      </c>
      <c r="K20" s="630" t="s">
        <v>450</v>
      </c>
      <c r="L20" s="630" t="s">
        <v>450</v>
      </c>
      <c r="M20" s="630" t="s">
        <v>450</v>
      </c>
      <c r="N20" s="630" t="s">
        <v>450</v>
      </c>
      <c r="O20" s="607" t="s">
        <v>450</v>
      </c>
      <c r="P20" s="607" t="s">
        <v>450</v>
      </c>
      <c r="Q20" s="607" t="s">
        <v>450</v>
      </c>
      <c r="R20" s="607" t="s">
        <v>450</v>
      </c>
      <c r="S20" s="607" t="s">
        <v>450</v>
      </c>
      <c r="T20" s="617" t="s">
        <v>450</v>
      </c>
      <c r="U20" s="617" t="s">
        <v>450</v>
      </c>
      <c r="V20" s="617" t="s">
        <v>450</v>
      </c>
      <c r="W20" s="617" t="s">
        <v>450</v>
      </c>
      <c r="X20" s="613" t="s">
        <v>450</v>
      </c>
      <c r="Y20" s="613" t="s">
        <v>450</v>
      </c>
      <c r="Z20" s="613" t="s">
        <v>450</v>
      </c>
      <c r="AA20" s="613" t="s">
        <v>450</v>
      </c>
      <c r="AB20" s="612">
        <v>1.7100065065471035</v>
      </c>
      <c r="AC20" s="612">
        <v>1.7064807335762497</v>
      </c>
      <c r="AD20" s="618">
        <v>1.6971857182172425</v>
      </c>
      <c r="AE20" s="618">
        <v>1.6939375408853328</v>
      </c>
      <c r="AF20" s="618">
        <v>1.7079276697915196</v>
      </c>
      <c r="AG20" s="618">
        <v>1.7196358624819825</v>
      </c>
      <c r="AH20" s="619">
        <v>1.722121039299497</v>
      </c>
      <c r="AI20" s="619">
        <v>1.7255945011340494</v>
      </c>
      <c r="AJ20" s="619">
        <v>1.7235616428330371</v>
      </c>
      <c r="AK20" s="619">
        <v>1.7150000000000001</v>
      </c>
      <c r="AL20" s="619">
        <v>1.7058337273763104</v>
      </c>
      <c r="AM20" s="619">
        <v>1.6944650986686811</v>
      </c>
      <c r="AN20" s="619">
        <v>1.6880987437952466</v>
      </c>
      <c r="AO20" s="619">
        <v>1.681</v>
      </c>
      <c r="AP20" s="619">
        <v>1.6740697781497036</v>
      </c>
      <c r="AQ20" s="802">
        <f>+Table3WS1!K11</f>
        <v>1.6725988008616133</v>
      </c>
    </row>
    <row r="21" spans="1:43" s="633" customFormat="1" ht="15.75" customHeight="1" thickBot="1" x14ac:dyDescent="0.35">
      <c r="A21" s="632" t="s">
        <v>552</v>
      </c>
      <c r="B21" s="622">
        <v>14767</v>
      </c>
      <c r="C21" s="622">
        <v>15888</v>
      </c>
      <c r="D21" s="622">
        <v>17698</v>
      </c>
      <c r="E21" s="622">
        <v>18799</v>
      </c>
      <c r="F21" s="622">
        <v>19044</v>
      </c>
      <c r="G21" s="622">
        <v>19912</v>
      </c>
      <c r="H21" s="622">
        <v>20708</v>
      </c>
      <c r="I21" s="622">
        <v>21376</v>
      </c>
      <c r="J21" s="622">
        <v>22339</v>
      </c>
      <c r="K21" s="622">
        <v>23495</v>
      </c>
      <c r="L21" s="622">
        <v>24668</v>
      </c>
      <c r="M21" s="622">
        <v>26034</v>
      </c>
      <c r="N21" s="622">
        <v>26823</v>
      </c>
      <c r="O21" s="623">
        <v>30155</v>
      </c>
      <c r="P21" s="623">
        <v>31392</v>
      </c>
      <c r="Q21" s="623">
        <v>31507</v>
      </c>
      <c r="R21" s="623">
        <v>31832</v>
      </c>
      <c r="S21" s="623">
        <v>33560</v>
      </c>
      <c r="T21" s="623">
        <v>33858.148979422309</v>
      </c>
      <c r="U21" s="623">
        <v>35177.403774436651</v>
      </c>
      <c r="V21" s="623">
        <v>35587</v>
      </c>
      <c r="W21" s="624">
        <f>+W15/W18</f>
        <v>39649.34202702155</v>
      </c>
      <c r="X21" s="624">
        <f>+X15/X18</f>
        <v>41576.896380221573</v>
      </c>
      <c r="Y21" s="624">
        <f>+Y15/Y18</f>
        <v>43800.557171946435</v>
      </c>
      <c r="Z21" s="624">
        <f>+Z15/Z18</f>
        <v>45535.469009066524</v>
      </c>
      <c r="AA21" s="624">
        <f>+AA15/AA19</f>
        <v>47177.323466389789</v>
      </c>
      <c r="AB21" s="624">
        <f t="shared" ref="AB21:AH21" si="2">+AB15/AB20</f>
        <v>49437.180890694835</v>
      </c>
      <c r="AC21" s="624">
        <f t="shared" si="2"/>
        <v>50804.456120967479</v>
      </c>
      <c r="AD21" s="624">
        <f t="shared" si="2"/>
        <v>53583.910363976327</v>
      </c>
      <c r="AE21" s="624">
        <f t="shared" si="2"/>
        <v>56188.537182682128</v>
      </c>
      <c r="AF21" s="624">
        <f t="shared" si="2"/>
        <v>58439.548470561189</v>
      </c>
      <c r="AG21" s="624">
        <f t="shared" si="2"/>
        <v>58885.510341390014</v>
      </c>
      <c r="AH21" s="624">
        <f t="shared" si="2"/>
        <v>59205.395694150371</v>
      </c>
      <c r="AI21" s="624">
        <f>+AI15/AI20</f>
        <v>59289.982584961719</v>
      </c>
      <c r="AJ21" s="624">
        <f>+AJ15/AJ20</f>
        <v>59657.943399555334</v>
      </c>
      <c r="AK21" s="624">
        <v>61306</v>
      </c>
      <c r="AL21" s="624">
        <v>62909.775891601537</v>
      </c>
      <c r="AM21" s="624">
        <v>66112.192708684801</v>
      </c>
      <c r="AN21" s="624">
        <v>68397.530091878623</v>
      </c>
      <c r="AO21" s="596">
        <v>72196</v>
      </c>
      <c r="AP21" s="596">
        <v>75904.951672035313</v>
      </c>
      <c r="AQ21" s="598">
        <f t="shared" ref="AQ21" si="3">+AQ15/AQ20</f>
        <v>80942.31837663996</v>
      </c>
    </row>
    <row r="22" spans="1:43" s="584" customFormat="1" ht="15.75" customHeight="1" x14ac:dyDescent="0.3">
      <c r="A22" s="579" t="s">
        <v>34</v>
      </c>
      <c r="B22" s="580"/>
      <c r="C22" s="580"/>
      <c r="D22" s="580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2"/>
      <c r="Y22" s="582"/>
      <c r="Z22" s="582"/>
      <c r="AA22" s="582"/>
      <c r="AB22" s="582"/>
      <c r="AC22" s="583"/>
      <c r="AD22" s="797"/>
      <c r="AE22" s="797"/>
      <c r="AF22" s="797"/>
      <c r="AG22" s="797"/>
      <c r="AH22" s="797"/>
      <c r="AI22" s="797"/>
      <c r="AJ22" s="797"/>
      <c r="AK22" s="797"/>
      <c r="AL22" s="797"/>
      <c r="AM22" s="797"/>
      <c r="AN22" s="797"/>
      <c r="AO22" s="797"/>
      <c r="AP22" s="797"/>
      <c r="AQ22" s="798"/>
    </row>
    <row r="23" spans="1:43" s="591" customFormat="1" ht="15.75" customHeight="1" x14ac:dyDescent="0.3">
      <c r="A23" s="585" t="s">
        <v>22</v>
      </c>
      <c r="B23" s="586">
        <v>38294</v>
      </c>
      <c r="C23" s="586">
        <v>39018</v>
      </c>
      <c r="D23" s="586">
        <v>39278</v>
      </c>
      <c r="E23" s="586">
        <v>38610</v>
      </c>
      <c r="F23" s="586">
        <v>37587</v>
      </c>
      <c r="G23" s="586">
        <v>38501</v>
      </c>
      <c r="H23" s="586">
        <v>39466</v>
      </c>
      <c r="I23" s="586">
        <v>40044</v>
      </c>
      <c r="J23" s="586">
        <v>41127</v>
      </c>
      <c r="K23" s="586">
        <v>42016</v>
      </c>
      <c r="L23" s="586">
        <v>43010</v>
      </c>
      <c r="M23" s="586">
        <v>44756</v>
      </c>
      <c r="N23" s="586">
        <v>46546</v>
      </c>
      <c r="O23" s="587">
        <v>47763</v>
      </c>
      <c r="P23" s="587">
        <v>49364</v>
      </c>
      <c r="Q23" s="587">
        <v>50749</v>
      </c>
      <c r="R23" s="587">
        <v>51894</v>
      </c>
      <c r="S23" s="587">
        <v>52499</v>
      </c>
      <c r="T23" s="587">
        <v>53908.29</v>
      </c>
      <c r="U23" s="587">
        <v>54837.585000000006</v>
      </c>
      <c r="V23" s="587">
        <v>55606.94</v>
      </c>
      <c r="W23" s="587">
        <v>56585.302999999993</v>
      </c>
      <c r="X23" s="588">
        <v>57196.97</v>
      </c>
      <c r="Y23" s="588">
        <v>59159.67</v>
      </c>
      <c r="Z23" s="588">
        <v>59810.07</v>
      </c>
      <c r="AA23" s="588">
        <v>59639.67</v>
      </c>
      <c r="AB23" s="588">
        <v>60165.72</v>
      </c>
      <c r="AC23" s="588">
        <v>60649.19</v>
      </c>
      <c r="AD23" s="589">
        <v>61107.750000000007</v>
      </c>
      <c r="AE23" s="589">
        <v>61492.95</v>
      </c>
      <c r="AF23" s="589">
        <v>62042.409999999989</v>
      </c>
      <c r="AG23" s="589">
        <v>60871.16</v>
      </c>
      <c r="AH23" s="627">
        <v>61180.350000000013</v>
      </c>
      <c r="AI23" s="627">
        <v>60202.55</v>
      </c>
      <c r="AJ23" s="627">
        <v>60865.26</v>
      </c>
      <c r="AK23" s="627">
        <v>62345</v>
      </c>
      <c r="AL23" s="627">
        <v>64293.17</v>
      </c>
      <c r="AM23" s="627">
        <v>66352.509999999995</v>
      </c>
      <c r="AN23" s="627">
        <v>68477.02</v>
      </c>
      <c r="AO23" s="627">
        <v>70071.3</v>
      </c>
      <c r="AP23" s="627">
        <v>72073.039999999994</v>
      </c>
      <c r="AQ23" s="628">
        <f>+Table3WS1!K24</f>
        <v>72586.59</v>
      </c>
    </row>
    <row r="24" spans="1:43" s="633" customFormat="1" ht="15.75" customHeight="1" x14ac:dyDescent="0.3">
      <c r="A24" s="634" t="s">
        <v>448</v>
      </c>
      <c r="B24" s="594">
        <v>17523</v>
      </c>
      <c r="C24" s="594">
        <v>18996</v>
      </c>
      <c r="D24" s="594">
        <v>21453</v>
      </c>
      <c r="E24" s="594">
        <v>23149</v>
      </c>
      <c r="F24" s="594">
        <v>23682</v>
      </c>
      <c r="G24" s="594">
        <v>24614</v>
      </c>
      <c r="H24" s="594">
        <v>25702</v>
      </c>
      <c r="I24" s="594">
        <v>26417</v>
      </c>
      <c r="J24" s="594">
        <v>27499</v>
      </c>
      <c r="K24" s="594">
        <v>28423</v>
      </c>
      <c r="L24" s="594">
        <v>29407</v>
      </c>
      <c r="M24" s="594">
        <v>30670</v>
      </c>
      <c r="N24" s="594">
        <v>33337</v>
      </c>
      <c r="O24" s="478">
        <v>35100</v>
      </c>
      <c r="P24" s="478">
        <v>36050</v>
      </c>
      <c r="Q24" s="478">
        <v>36158</v>
      </c>
      <c r="R24" s="478">
        <v>36460</v>
      </c>
      <c r="S24" s="478">
        <v>38168</v>
      </c>
      <c r="T24" s="478">
        <v>38111.928974374823</v>
      </c>
      <c r="U24" s="478">
        <v>39059.197719957963</v>
      </c>
      <c r="V24" s="478">
        <v>39007</v>
      </c>
      <c r="W24" s="478">
        <v>41393.358042105145</v>
      </c>
      <c r="X24" s="595">
        <v>42507</v>
      </c>
      <c r="Y24" s="596">
        <v>43866.481459582203</v>
      </c>
      <c r="Z24" s="596">
        <v>45370.656589935439</v>
      </c>
      <c r="AA24" s="596">
        <v>45822.950118436282</v>
      </c>
      <c r="AB24" s="596">
        <v>46114.270137879183</v>
      </c>
      <c r="AC24" s="596">
        <v>46708.071056678578</v>
      </c>
      <c r="AD24" s="597">
        <v>48276.728790538014</v>
      </c>
      <c r="AE24" s="597">
        <v>50324.72843716231</v>
      </c>
      <c r="AF24" s="597">
        <v>53023.93263108252</v>
      </c>
      <c r="AG24" s="597">
        <v>53394.784475932443</v>
      </c>
      <c r="AH24" s="596">
        <v>53293.302458060462</v>
      </c>
      <c r="AI24" s="596">
        <v>52573.644640467894</v>
      </c>
      <c r="AJ24" s="596">
        <v>52559.44190265514</v>
      </c>
      <c r="AK24" s="596">
        <v>53290</v>
      </c>
      <c r="AL24" s="596">
        <v>52858.224696340221</v>
      </c>
      <c r="AM24" s="596">
        <v>54089.365531462186</v>
      </c>
      <c r="AN24" s="596">
        <v>54858.643663962015</v>
      </c>
      <c r="AO24" s="596">
        <v>56096</v>
      </c>
      <c r="AP24" s="596">
        <v>73710.123967020132</v>
      </c>
      <c r="AQ24" s="598">
        <f>+Table3WS1!K25</f>
        <v>77348.981818955814</v>
      </c>
    </row>
    <row r="25" spans="1:43" s="605" customFormat="1" ht="15.75" hidden="1" customHeight="1" x14ac:dyDescent="0.3">
      <c r="A25" s="599" t="s">
        <v>23</v>
      </c>
      <c r="B25" s="600">
        <v>1.544</v>
      </c>
      <c r="C25" s="600">
        <v>1.5569999999999999</v>
      </c>
      <c r="D25" s="600">
        <v>1.575</v>
      </c>
      <c r="E25" s="600">
        <v>1.6040000000000001</v>
      </c>
      <c r="F25" s="600">
        <v>1.617</v>
      </c>
      <c r="G25" s="600">
        <v>1.621</v>
      </c>
      <c r="H25" s="600">
        <v>1.6259999999999999</v>
      </c>
      <c r="I25" s="600">
        <v>1.637</v>
      </c>
      <c r="J25" s="600">
        <v>1.6439999999999999</v>
      </c>
      <c r="K25" s="600">
        <v>1.6519999999999999</v>
      </c>
      <c r="L25" s="600">
        <v>1.6639999999999999</v>
      </c>
      <c r="M25" s="600">
        <v>1.665</v>
      </c>
      <c r="N25" s="600">
        <v>1.677</v>
      </c>
      <c r="O25" s="601" t="s">
        <v>450</v>
      </c>
      <c r="P25" s="601" t="s">
        <v>450</v>
      </c>
      <c r="Q25" s="601" t="s">
        <v>450</v>
      </c>
      <c r="R25" s="601" t="s">
        <v>450</v>
      </c>
      <c r="S25" s="601" t="s">
        <v>450</v>
      </c>
      <c r="T25" s="601" t="s">
        <v>450</v>
      </c>
      <c r="U25" s="601" t="s">
        <v>450</v>
      </c>
      <c r="V25" s="601" t="s">
        <v>450</v>
      </c>
      <c r="W25" s="601" t="s">
        <v>450</v>
      </c>
      <c r="X25" s="601" t="s">
        <v>450</v>
      </c>
      <c r="Y25" s="601" t="s">
        <v>450</v>
      </c>
      <c r="Z25" s="601" t="s">
        <v>450</v>
      </c>
      <c r="AA25" s="601" t="s">
        <v>450</v>
      </c>
      <c r="AB25" s="601" t="s">
        <v>450</v>
      </c>
      <c r="AC25" s="601" t="s">
        <v>450</v>
      </c>
      <c r="AD25" s="602" t="s">
        <v>450</v>
      </c>
      <c r="AE25" s="602" t="s">
        <v>450</v>
      </c>
      <c r="AF25" s="602" t="s">
        <v>450</v>
      </c>
      <c r="AG25" s="602" t="s">
        <v>450</v>
      </c>
      <c r="AH25" s="603" t="s">
        <v>450</v>
      </c>
      <c r="AI25" s="603" t="s">
        <v>450</v>
      </c>
      <c r="AJ25" s="603" t="s">
        <v>450</v>
      </c>
      <c r="AK25" s="603" t="s">
        <v>450</v>
      </c>
      <c r="AL25" s="603" t="s">
        <v>450</v>
      </c>
      <c r="AM25" s="603" t="s">
        <v>450</v>
      </c>
      <c r="AN25" s="603" t="s">
        <v>450</v>
      </c>
      <c r="AO25" s="603" t="s">
        <v>450</v>
      </c>
      <c r="AP25" s="603" t="s">
        <v>450</v>
      </c>
      <c r="AQ25" s="604" t="s">
        <v>450</v>
      </c>
    </row>
    <row r="26" spans="1:43" s="631" customFormat="1" ht="15.75" hidden="1" customHeight="1" x14ac:dyDescent="0.3">
      <c r="A26" s="629" t="s">
        <v>25</v>
      </c>
      <c r="B26" s="630" t="s">
        <v>450</v>
      </c>
      <c r="C26" s="630" t="s">
        <v>450</v>
      </c>
      <c r="D26" s="630" t="s">
        <v>450</v>
      </c>
      <c r="E26" s="630" t="s">
        <v>450</v>
      </c>
      <c r="F26" s="630" t="s">
        <v>450</v>
      </c>
      <c r="G26" s="630" t="s">
        <v>450</v>
      </c>
      <c r="H26" s="630" t="s">
        <v>450</v>
      </c>
      <c r="I26" s="630" t="s">
        <v>450</v>
      </c>
      <c r="J26" s="630" t="s">
        <v>450</v>
      </c>
      <c r="K26" s="630" t="s">
        <v>450</v>
      </c>
      <c r="L26" s="630" t="s">
        <v>450</v>
      </c>
      <c r="M26" s="630" t="s">
        <v>450</v>
      </c>
      <c r="N26" s="630">
        <v>1.659</v>
      </c>
      <c r="O26" s="607">
        <v>1.6779999999999999</v>
      </c>
      <c r="P26" s="607">
        <v>1.67</v>
      </c>
      <c r="Q26" s="607">
        <v>1.677</v>
      </c>
      <c r="R26" s="607">
        <v>1.6839999999999999</v>
      </c>
      <c r="S26" s="607">
        <v>1.696</v>
      </c>
      <c r="T26" s="607">
        <v>1.6946252892532856</v>
      </c>
      <c r="U26" s="607">
        <v>1.6940514012928385</v>
      </c>
      <c r="V26" s="607">
        <v>1.6910000000000001</v>
      </c>
      <c r="W26" s="617" t="s">
        <v>450</v>
      </c>
      <c r="X26" s="617" t="s">
        <v>450</v>
      </c>
      <c r="Y26" s="613" t="s">
        <v>450</v>
      </c>
      <c r="Z26" s="613" t="s">
        <v>450</v>
      </c>
      <c r="AA26" s="613" t="s">
        <v>450</v>
      </c>
      <c r="AB26" s="613" t="s">
        <v>450</v>
      </c>
      <c r="AC26" s="613" t="s">
        <v>450</v>
      </c>
      <c r="AD26" s="614" t="s">
        <v>450</v>
      </c>
      <c r="AE26" s="614" t="s">
        <v>450</v>
      </c>
      <c r="AF26" s="614" t="s">
        <v>450</v>
      </c>
      <c r="AG26" s="614" t="s">
        <v>450</v>
      </c>
      <c r="AH26" s="615" t="s">
        <v>450</v>
      </c>
      <c r="AI26" s="615" t="s">
        <v>450</v>
      </c>
      <c r="AJ26" s="615" t="s">
        <v>450</v>
      </c>
      <c r="AK26" s="615" t="s">
        <v>450</v>
      </c>
      <c r="AL26" s="615" t="s">
        <v>450</v>
      </c>
      <c r="AM26" s="615" t="s">
        <v>450</v>
      </c>
      <c r="AN26" s="615" t="s">
        <v>450</v>
      </c>
      <c r="AO26" s="615" t="s">
        <v>450</v>
      </c>
      <c r="AP26" s="615" t="s">
        <v>450</v>
      </c>
      <c r="AQ26" s="616" t="s">
        <v>450</v>
      </c>
    </row>
    <row r="27" spans="1:43" s="631" customFormat="1" ht="15.75" hidden="1" customHeight="1" x14ac:dyDescent="0.3">
      <c r="A27" s="629" t="s">
        <v>208</v>
      </c>
      <c r="B27" s="630" t="s">
        <v>450</v>
      </c>
      <c r="C27" s="630" t="s">
        <v>450</v>
      </c>
      <c r="D27" s="630" t="s">
        <v>450</v>
      </c>
      <c r="E27" s="630" t="s">
        <v>450</v>
      </c>
      <c r="F27" s="630" t="s">
        <v>450</v>
      </c>
      <c r="G27" s="630" t="s">
        <v>450</v>
      </c>
      <c r="H27" s="630" t="s">
        <v>450</v>
      </c>
      <c r="I27" s="630" t="s">
        <v>450</v>
      </c>
      <c r="J27" s="630" t="s">
        <v>450</v>
      </c>
      <c r="K27" s="630" t="s">
        <v>450</v>
      </c>
      <c r="L27" s="630" t="s">
        <v>450</v>
      </c>
      <c r="M27" s="630" t="s">
        <v>450</v>
      </c>
      <c r="N27" s="630" t="s">
        <v>450</v>
      </c>
      <c r="O27" s="607" t="s">
        <v>450</v>
      </c>
      <c r="P27" s="607" t="s">
        <v>450</v>
      </c>
      <c r="Q27" s="607" t="s">
        <v>450</v>
      </c>
      <c r="R27" s="607" t="s">
        <v>450</v>
      </c>
      <c r="S27" s="607" t="s">
        <v>450</v>
      </c>
      <c r="T27" s="617" t="s">
        <v>450</v>
      </c>
      <c r="U27" s="617" t="s">
        <v>450</v>
      </c>
      <c r="V27" s="617" t="s">
        <v>450</v>
      </c>
      <c r="W27" s="607">
        <v>1.601188454874906</v>
      </c>
      <c r="X27" s="612">
        <v>1.5969500000000001</v>
      </c>
      <c r="Y27" s="612">
        <v>1.5898824938340597</v>
      </c>
      <c r="Z27" s="612">
        <v>1.5964150902715883</v>
      </c>
      <c r="AA27" s="613" t="s">
        <v>450</v>
      </c>
      <c r="AB27" s="613" t="s">
        <v>450</v>
      </c>
      <c r="AC27" s="613" t="s">
        <v>450</v>
      </c>
      <c r="AD27" s="614" t="s">
        <v>450</v>
      </c>
      <c r="AE27" s="614" t="s">
        <v>450</v>
      </c>
      <c r="AF27" s="614" t="s">
        <v>450</v>
      </c>
      <c r="AG27" s="614" t="s">
        <v>450</v>
      </c>
      <c r="AH27" s="615" t="s">
        <v>450</v>
      </c>
      <c r="AI27" s="615" t="s">
        <v>450</v>
      </c>
      <c r="AJ27" s="615" t="s">
        <v>450</v>
      </c>
      <c r="AK27" s="615" t="s">
        <v>450</v>
      </c>
      <c r="AL27" s="615" t="s">
        <v>450</v>
      </c>
      <c r="AM27" s="615" t="s">
        <v>450</v>
      </c>
      <c r="AN27" s="615" t="s">
        <v>450</v>
      </c>
      <c r="AO27" s="615" t="s">
        <v>450</v>
      </c>
      <c r="AP27" s="615" t="s">
        <v>450</v>
      </c>
      <c r="AQ27" s="616" t="s">
        <v>450</v>
      </c>
    </row>
    <row r="28" spans="1:43" s="631" customFormat="1" ht="15.75" hidden="1" customHeight="1" x14ac:dyDescent="0.3">
      <c r="A28" s="629" t="s">
        <v>333</v>
      </c>
      <c r="B28" s="630" t="s">
        <v>450</v>
      </c>
      <c r="C28" s="630" t="s">
        <v>450</v>
      </c>
      <c r="D28" s="630" t="s">
        <v>450</v>
      </c>
      <c r="E28" s="630" t="s">
        <v>450</v>
      </c>
      <c r="F28" s="630" t="s">
        <v>450</v>
      </c>
      <c r="G28" s="630" t="s">
        <v>450</v>
      </c>
      <c r="H28" s="630" t="s">
        <v>450</v>
      </c>
      <c r="I28" s="630" t="s">
        <v>450</v>
      </c>
      <c r="J28" s="630" t="s">
        <v>450</v>
      </c>
      <c r="K28" s="630" t="s">
        <v>450</v>
      </c>
      <c r="L28" s="630" t="s">
        <v>450</v>
      </c>
      <c r="M28" s="630" t="s">
        <v>450</v>
      </c>
      <c r="N28" s="630" t="s">
        <v>450</v>
      </c>
      <c r="O28" s="607" t="s">
        <v>450</v>
      </c>
      <c r="P28" s="607" t="s">
        <v>450</v>
      </c>
      <c r="Q28" s="607" t="s">
        <v>450</v>
      </c>
      <c r="R28" s="607" t="s">
        <v>450</v>
      </c>
      <c r="S28" s="607" t="s">
        <v>450</v>
      </c>
      <c r="T28" s="617" t="s">
        <v>450</v>
      </c>
      <c r="U28" s="617" t="s">
        <v>450</v>
      </c>
      <c r="V28" s="617" t="s">
        <v>450</v>
      </c>
      <c r="W28" s="617" t="s">
        <v>450</v>
      </c>
      <c r="X28" s="613" t="s">
        <v>450</v>
      </c>
      <c r="Y28" s="613" t="s">
        <v>450</v>
      </c>
      <c r="Z28" s="613" t="s">
        <v>450</v>
      </c>
      <c r="AA28" s="612">
        <v>1.5644969951141583</v>
      </c>
      <c r="AB28" s="613" t="s">
        <v>450</v>
      </c>
      <c r="AC28" s="613" t="s">
        <v>450</v>
      </c>
      <c r="AD28" s="614" t="s">
        <v>450</v>
      </c>
      <c r="AE28" s="614" t="s">
        <v>450</v>
      </c>
      <c r="AF28" s="614" t="s">
        <v>450</v>
      </c>
      <c r="AG28" s="614" t="s">
        <v>450</v>
      </c>
      <c r="AH28" s="615" t="s">
        <v>450</v>
      </c>
      <c r="AI28" s="615" t="s">
        <v>450</v>
      </c>
      <c r="AJ28" s="615" t="s">
        <v>450</v>
      </c>
      <c r="AK28" s="615" t="s">
        <v>450</v>
      </c>
      <c r="AL28" s="615" t="s">
        <v>450</v>
      </c>
      <c r="AM28" s="615" t="s">
        <v>450</v>
      </c>
      <c r="AN28" s="615" t="s">
        <v>450</v>
      </c>
      <c r="AO28" s="615" t="s">
        <v>450</v>
      </c>
      <c r="AP28" s="615" t="s">
        <v>450</v>
      </c>
      <c r="AQ28" s="616" t="s">
        <v>450</v>
      </c>
    </row>
    <row r="29" spans="1:43" s="631" customFormat="1" ht="15.75" customHeight="1" x14ac:dyDescent="0.3">
      <c r="A29" s="629" t="s">
        <v>551</v>
      </c>
      <c r="B29" s="630" t="s">
        <v>450</v>
      </c>
      <c r="C29" s="630" t="s">
        <v>450</v>
      </c>
      <c r="D29" s="630" t="s">
        <v>450</v>
      </c>
      <c r="E29" s="630" t="s">
        <v>450</v>
      </c>
      <c r="F29" s="630" t="s">
        <v>450</v>
      </c>
      <c r="G29" s="630" t="s">
        <v>450</v>
      </c>
      <c r="H29" s="630" t="s">
        <v>450</v>
      </c>
      <c r="I29" s="630" t="s">
        <v>450</v>
      </c>
      <c r="J29" s="630" t="s">
        <v>450</v>
      </c>
      <c r="K29" s="630" t="s">
        <v>450</v>
      </c>
      <c r="L29" s="630" t="s">
        <v>450</v>
      </c>
      <c r="M29" s="630" t="s">
        <v>450</v>
      </c>
      <c r="N29" s="630" t="s">
        <v>450</v>
      </c>
      <c r="O29" s="607" t="s">
        <v>450</v>
      </c>
      <c r="P29" s="607" t="s">
        <v>450</v>
      </c>
      <c r="Q29" s="607" t="s">
        <v>450</v>
      </c>
      <c r="R29" s="607" t="s">
        <v>450</v>
      </c>
      <c r="S29" s="607" t="s">
        <v>450</v>
      </c>
      <c r="T29" s="617" t="s">
        <v>450</v>
      </c>
      <c r="U29" s="617" t="s">
        <v>450</v>
      </c>
      <c r="V29" s="617" t="s">
        <v>450</v>
      </c>
      <c r="W29" s="617" t="s">
        <v>450</v>
      </c>
      <c r="X29" s="613" t="s">
        <v>450</v>
      </c>
      <c r="Y29" s="613" t="s">
        <v>450</v>
      </c>
      <c r="Z29" s="613" t="s">
        <v>450</v>
      </c>
      <c r="AA29" s="613" t="s">
        <v>450</v>
      </c>
      <c r="AB29" s="612">
        <v>1.5282158641299395</v>
      </c>
      <c r="AC29" s="612">
        <v>1.5296649678981702</v>
      </c>
      <c r="AD29" s="618">
        <v>1.5307021253114379</v>
      </c>
      <c r="AE29" s="618">
        <v>1.5310766338141202</v>
      </c>
      <c r="AF29" s="618">
        <v>1.5369692514797544</v>
      </c>
      <c r="AG29" s="618">
        <v>1.5561132300780858</v>
      </c>
      <c r="AH29" s="619">
        <v>1.5614092913607061</v>
      </c>
      <c r="AI29" s="619">
        <v>1.5697229871209775</v>
      </c>
      <c r="AJ29" s="619">
        <v>1.5693585339798102</v>
      </c>
      <c r="AK29" s="619">
        <v>1.5609999999999999</v>
      </c>
      <c r="AL29" s="619">
        <v>1.5498803953219293</v>
      </c>
      <c r="AM29" s="619">
        <v>1.5400744307577814</v>
      </c>
      <c r="AN29" s="619">
        <v>1.5338115807872477</v>
      </c>
      <c r="AO29" s="619">
        <v>1.5309999999999999</v>
      </c>
      <c r="AP29" s="619">
        <v>1.5277273839649337</v>
      </c>
      <c r="AQ29" s="802">
        <f>+Table3WS1!K26</f>
        <v>1.537162798019579</v>
      </c>
    </row>
    <row r="30" spans="1:43" s="633" customFormat="1" ht="15.75" customHeight="1" x14ac:dyDescent="0.3">
      <c r="A30" s="634" t="s">
        <v>552</v>
      </c>
      <c r="B30" s="594">
        <v>11351</v>
      </c>
      <c r="C30" s="594">
        <v>12198</v>
      </c>
      <c r="D30" s="594">
        <v>13619</v>
      </c>
      <c r="E30" s="594">
        <v>14430</v>
      </c>
      <c r="F30" s="594">
        <v>14642</v>
      </c>
      <c r="G30" s="594">
        <v>15184</v>
      </c>
      <c r="H30" s="594">
        <v>15807</v>
      </c>
      <c r="I30" s="594">
        <v>16137</v>
      </c>
      <c r="J30" s="594">
        <v>16727</v>
      </c>
      <c r="K30" s="594">
        <v>17205</v>
      </c>
      <c r="L30" s="594">
        <v>17677</v>
      </c>
      <c r="M30" s="594">
        <v>18416</v>
      </c>
      <c r="N30" s="594">
        <v>18945</v>
      </c>
      <c r="O30" s="478">
        <v>20916</v>
      </c>
      <c r="P30" s="478">
        <v>21590</v>
      </c>
      <c r="Q30" s="478">
        <v>21564</v>
      </c>
      <c r="R30" s="478">
        <v>21655</v>
      </c>
      <c r="S30" s="478">
        <v>22503</v>
      </c>
      <c r="T30" s="478">
        <v>22489.885649687396</v>
      </c>
      <c r="U30" s="478">
        <v>23056.678026504629</v>
      </c>
      <c r="V30" s="478">
        <v>23064</v>
      </c>
      <c r="W30" s="597">
        <f>+W24/W27</f>
        <v>25851.646579189848</v>
      </c>
      <c r="X30" s="597">
        <f>+X24/X27</f>
        <v>26617.614828266382</v>
      </c>
      <c r="Y30" s="596">
        <f>+Y24/Y27</f>
        <v>27591.021116155938</v>
      </c>
      <c r="Z30" s="596">
        <f>+Z24/Z27</f>
        <v>28420.338085263782</v>
      </c>
      <c r="AA30" s="596">
        <f>+AA24/AA28</f>
        <v>29289.254157431391</v>
      </c>
      <c r="AB30" s="596">
        <f t="shared" ref="AB30:AH30" si="4">+AB24/AB29</f>
        <v>30175.233237834145</v>
      </c>
      <c r="AC30" s="596">
        <f t="shared" si="4"/>
        <v>30534.837390476172</v>
      </c>
      <c r="AD30" s="596">
        <f t="shared" si="4"/>
        <v>31538.944117370709</v>
      </c>
      <c r="AE30" s="596">
        <f t="shared" si="4"/>
        <v>32868.850144879143</v>
      </c>
      <c r="AF30" s="596">
        <f t="shared" si="4"/>
        <v>34499.019794984473</v>
      </c>
      <c r="AG30" s="596">
        <f t="shared" si="4"/>
        <v>34312.917237554168</v>
      </c>
      <c r="AH30" s="596">
        <f t="shared" si="4"/>
        <v>34131.539214562676</v>
      </c>
      <c r="AI30" s="596">
        <f>+AI24/AI29</f>
        <v>33492.307287219512</v>
      </c>
      <c r="AJ30" s="596">
        <f>+AJ24/AJ29</f>
        <v>33491.03519981962</v>
      </c>
      <c r="AK30" s="596">
        <v>34136</v>
      </c>
      <c r="AL30" s="596">
        <v>34104.712115776463</v>
      </c>
      <c r="AM30" s="596">
        <v>35121.267161644872</v>
      </c>
      <c r="AN30" s="596">
        <v>35766.22079995324</v>
      </c>
      <c r="AO30" s="596">
        <v>36631</v>
      </c>
      <c r="AP30" s="596">
        <v>48248.218066052563</v>
      </c>
      <c r="AQ30" s="799">
        <f t="shared" ref="AQ30" si="5">+AQ24/AQ29</f>
        <v>50319.316807958952</v>
      </c>
    </row>
    <row r="31" spans="1:43" s="633" customFormat="1" ht="15.75" customHeight="1" thickBot="1" x14ac:dyDescent="0.35">
      <c r="A31" s="632" t="s">
        <v>196</v>
      </c>
      <c r="B31" s="622" t="s">
        <v>450</v>
      </c>
      <c r="C31" s="622" t="s">
        <v>450</v>
      </c>
      <c r="D31" s="622" t="s">
        <v>450</v>
      </c>
      <c r="E31" s="622" t="s">
        <v>450</v>
      </c>
      <c r="F31" s="622" t="s">
        <v>450</v>
      </c>
      <c r="G31" s="622" t="s">
        <v>450</v>
      </c>
      <c r="H31" s="622" t="s">
        <v>450</v>
      </c>
      <c r="I31" s="622" t="s">
        <v>450</v>
      </c>
      <c r="J31" s="622" t="s">
        <v>450</v>
      </c>
      <c r="K31" s="622">
        <v>1469</v>
      </c>
      <c r="L31" s="622">
        <v>1771</v>
      </c>
      <c r="M31" s="622">
        <v>2139</v>
      </c>
      <c r="N31" s="622">
        <v>2516</v>
      </c>
      <c r="O31" s="623">
        <v>2665</v>
      </c>
      <c r="P31" s="623">
        <v>2845</v>
      </c>
      <c r="Q31" s="623">
        <v>2937</v>
      </c>
      <c r="R31" s="623">
        <v>2557</v>
      </c>
      <c r="S31" s="623">
        <v>2614</v>
      </c>
      <c r="T31" s="623">
        <v>2741</v>
      </c>
      <c r="U31" s="623">
        <v>3090</v>
      </c>
      <c r="V31" s="623">
        <v>3072</v>
      </c>
      <c r="W31" s="623">
        <v>3236.8870234732158</v>
      </c>
      <c r="X31" s="635">
        <v>3529</v>
      </c>
      <c r="Y31" s="596">
        <v>3670.6312425339765</v>
      </c>
      <c r="Z31" s="596">
        <v>4190.9664710307152</v>
      </c>
      <c r="AA31" s="596">
        <v>4593.4914797482961</v>
      </c>
      <c r="AB31" s="596">
        <v>4913.1068987456647</v>
      </c>
      <c r="AC31" s="596">
        <v>5400.5493065942019</v>
      </c>
      <c r="AD31" s="597">
        <v>5875.7362036730192</v>
      </c>
      <c r="AE31" s="597">
        <v>6625.8944480627461</v>
      </c>
      <c r="AF31" s="597">
        <v>7733.56906993136</v>
      </c>
      <c r="AG31" s="597">
        <v>8219.0945925788164</v>
      </c>
      <c r="AH31" s="596">
        <v>8824.1337128669566</v>
      </c>
      <c r="AI31" s="596">
        <v>9438.0404152315805</v>
      </c>
      <c r="AJ31" s="596">
        <v>9794.3525584216677</v>
      </c>
      <c r="AK31" s="596">
        <v>10153</v>
      </c>
      <c r="AL31" s="596">
        <v>10926.112462645722</v>
      </c>
      <c r="AM31" s="596">
        <v>12118.368664576517</v>
      </c>
      <c r="AN31" s="596">
        <v>14088.545427356505</v>
      </c>
      <c r="AO31" s="596">
        <v>16497</v>
      </c>
      <c r="AP31" s="596">
        <v>8640.7800891984025</v>
      </c>
      <c r="AQ31" s="598">
        <f>+Table3WS1!K27</f>
        <v>8362.9379889591182</v>
      </c>
    </row>
    <row r="32" spans="1:43" s="584" customFormat="1" ht="15.75" customHeight="1" x14ac:dyDescent="0.3">
      <c r="A32" s="579" t="s">
        <v>543</v>
      </c>
      <c r="B32" s="580"/>
      <c r="C32" s="580"/>
      <c r="D32" s="580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2"/>
      <c r="Y32" s="582"/>
      <c r="Z32" s="582"/>
      <c r="AA32" s="582"/>
      <c r="AB32" s="582"/>
      <c r="AC32" s="583"/>
      <c r="AD32" s="797"/>
      <c r="AE32" s="797"/>
      <c r="AF32" s="797"/>
      <c r="AG32" s="797"/>
      <c r="AH32" s="797"/>
      <c r="AI32" s="797"/>
      <c r="AJ32" s="797"/>
      <c r="AK32" s="797"/>
      <c r="AL32" s="797"/>
      <c r="AM32" s="797"/>
      <c r="AN32" s="797"/>
      <c r="AO32" s="797"/>
      <c r="AP32" s="797"/>
      <c r="AQ32" s="798"/>
    </row>
    <row r="33" spans="1:43" s="591" customFormat="1" ht="15.75" customHeight="1" x14ac:dyDescent="0.3">
      <c r="A33" s="585" t="s">
        <v>22</v>
      </c>
      <c r="B33" s="586">
        <v>20147</v>
      </c>
      <c r="C33" s="586">
        <v>21013</v>
      </c>
      <c r="D33" s="586">
        <v>21402</v>
      </c>
      <c r="E33" s="586">
        <v>19520</v>
      </c>
      <c r="F33" s="586">
        <v>18963</v>
      </c>
      <c r="G33" s="586">
        <v>19690</v>
      </c>
      <c r="H33" s="586">
        <v>20465</v>
      </c>
      <c r="I33" s="586">
        <v>20959</v>
      </c>
      <c r="J33" s="586">
        <v>21590</v>
      </c>
      <c r="K33" s="586">
        <v>22430</v>
      </c>
      <c r="L33" s="586">
        <v>23488</v>
      </c>
      <c r="M33" s="586">
        <v>24283</v>
      </c>
      <c r="N33" s="586">
        <v>25791</v>
      </c>
      <c r="O33" s="587">
        <v>26681</v>
      </c>
      <c r="P33" s="587">
        <v>28250</v>
      </c>
      <c r="Q33" s="587">
        <v>29399</v>
      </c>
      <c r="R33" s="587">
        <v>30486</v>
      </c>
      <c r="S33" s="587">
        <v>30712.83</v>
      </c>
      <c r="T33" s="587">
        <v>31757.43</v>
      </c>
      <c r="U33" s="587">
        <v>32678.369000000002</v>
      </c>
      <c r="V33" s="587">
        <v>33118.71</v>
      </c>
      <c r="W33" s="587">
        <v>34195.905999999995</v>
      </c>
      <c r="X33" s="588">
        <v>34765.300000000003</v>
      </c>
      <c r="Y33" s="588">
        <v>35638.53</v>
      </c>
      <c r="Z33" s="588">
        <v>36157.339999999997</v>
      </c>
      <c r="AA33" s="588">
        <v>36041.69</v>
      </c>
      <c r="AB33" s="588">
        <v>36602.04</v>
      </c>
      <c r="AC33" s="588">
        <v>36748.449999999997</v>
      </c>
      <c r="AD33" s="589">
        <v>36882.46</v>
      </c>
      <c r="AE33" s="589">
        <v>37306.759999999995</v>
      </c>
      <c r="AF33" s="589">
        <v>37516.18</v>
      </c>
      <c r="AG33" s="589">
        <v>36905.129999999997</v>
      </c>
      <c r="AH33" s="627">
        <v>37110.009999999995</v>
      </c>
      <c r="AI33" s="627">
        <v>36199.800000000003</v>
      </c>
      <c r="AJ33" s="627">
        <v>36450.080000000002</v>
      </c>
      <c r="AK33" s="627">
        <v>37273.800000000003</v>
      </c>
      <c r="AL33" s="627">
        <v>38598.15</v>
      </c>
      <c r="AM33" s="627">
        <v>39845.089999999997</v>
      </c>
      <c r="AN33" s="627">
        <v>41509.660000000003</v>
      </c>
      <c r="AO33" s="627">
        <v>42510</v>
      </c>
      <c r="AP33" s="627">
        <v>44335.48</v>
      </c>
      <c r="AQ33" s="628">
        <f>+Table3WS1!D47</f>
        <v>44743.090000000004</v>
      </c>
    </row>
    <row r="34" spans="1:43" s="633" customFormat="1" ht="15.75" customHeight="1" thickBot="1" x14ac:dyDescent="0.35">
      <c r="A34" s="634" t="s">
        <v>448</v>
      </c>
      <c r="B34" s="594">
        <v>11807</v>
      </c>
      <c r="C34" s="594">
        <v>12732</v>
      </c>
      <c r="D34" s="594">
        <v>14040</v>
      </c>
      <c r="E34" s="594">
        <v>15233</v>
      </c>
      <c r="F34" s="594">
        <v>15440</v>
      </c>
      <c r="G34" s="594">
        <v>16249</v>
      </c>
      <c r="H34" s="594">
        <v>17099</v>
      </c>
      <c r="I34" s="594">
        <v>17505</v>
      </c>
      <c r="J34" s="594">
        <v>18038</v>
      </c>
      <c r="K34" s="594">
        <v>18732</v>
      </c>
      <c r="L34" s="594">
        <v>19578</v>
      </c>
      <c r="M34" s="594">
        <v>20518</v>
      </c>
      <c r="N34" s="594">
        <v>21560</v>
      </c>
      <c r="O34" s="594">
        <v>22715</v>
      </c>
      <c r="P34" s="594">
        <v>23562</v>
      </c>
      <c r="Q34" s="594">
        <v>23837</v>
      </c>
      <c r="R34" s="594">
        <v>24042</v>
      </c>
      <c r="S34" s="594">
        <v>25092</v>
      </c>
      <c r="T34" s="594">
        <v>25314.478068281973</v>
      </c>
      <c r="U34" s="594">
        <v>26332.00084129045</v>
      </c>
      <c r="V34" s="594">
        <v>26662</v>
      </c>
      <c r="W34" s="594">
        <v>27734.776671803691</v>
      </c>
      <c r="X34" s="636">
        <v>28896</v>
      </c>
      <c r="Y34" s="637">
        <v>30122.058525702381</v>
      </c>
      <c r="Z34" s="637">
        <v>31512.064479300749</v>
      </c>
      <c r="AA34" s="637">
        <v>31828.1784719307</v>
      </c>
      <c r="AB34" s="637">
        <v>32512.595992190592</v>
      </c>
      <c r="AC34" s="637">
        <v>33350.167996201191</v>
      </c>
      <c r="AD34" s="638">
        <v>34735.474262291616</v>
      </c>
      <c r="AE34" s="638">
        <v>36316.323806194916</v>
      </c>
      <c r="AF34" s="638">
        <v>38402.429358479458</v>
      </c>
      <c r="AG34" s="638">
        <v>38677.350137230249</v>
      </c>
      <c r="AH34" s="637">
        <v>38914.422415407607</v>
      </c>
      <c r="AI34" s="637">
        <v>39158.339750772102</v>
      </c>
      <c r="AJ34" s="637">
        <v>39487.30803855574</v>
      </c>
      <c r="AK34" s="637">
        <v>40229</v>
      </c>
      <c r="AL34" s="637">
        <v>41147.00858279477</v>
      </c>
      <c r="AM34" s="637">
        <v>43048.29971472019</v>
      </c>
      <c r="AN34" s="637">
        <v>44704.040055013698</v>
      </c>
      <c r="AO34" s="637">
        <v>47275</v>
      </c>
      <c r="AP34" s="637">
        <v>50404.141460744308</v>
      </c>
      <c r="AQ34" s="639">
        <f>+Table3WS1!F47</f>
        <v>53463.741311563419</v>
      </c>
    </row>
    <row r="35" spans="1:43" s="605" customFormat="1" ht="15.75" hidden="1" customHeight="1" x14ac:dyDescent="0.3">
      <c r="A35" s="599" t="s">
        <v>27</v>
      </c>
      <c r="B35" s="600" t="s">
        <v>24</v>
      </c>
      <c r="C35" s="600" t="s">
        <v>24</v>
      </c>
      <c r="D35" s="600" t="s">
        <v>24</v>
      </c>
      <c r="E35" s="600" t="s">
        <v>24</v>
      </c>
      <c r="F35" s="600" t="s">
        <v>24</v>
      </c>
      <c r="G35" s="600" t="s">
        <v>24</v>
      </c>
      <c r="H35" s="600" t="s">
        <v>24</v>
      </c>
      <c r="I35" s="600">
        <v>1.1950000000000001</v>
      </c>
      <c r="J35" s="600">
        <v>1.194</v>
      </c>
      <c r="K35" s="600" t="s">
        <v>24</v>
      </c>
      <c r="L35" s="600" t="s">
        <v>24</v>
      </c>
      <c r="M35" s="600" t="s">
        <v>24</v>
      </c>
      <c r="N35" s="600" t="s">
        <v>24</v>
      </c>
      <c r="O35" s="601" t="s">
        <v>24</v>
      </c>
      <c r="P35" s="601" t="s">
        <v>24</v>
      </c>
      <c r="Q35" s="601" t="s">
        <v>24</v>
      </c>
      <c r="R35" s="601" t="s">
        <v>24</v>
      </c>
      <c r="S35" s="601" t="s">
        <v>24</v>
      </c>
      <c r="T35" s="601" t="s">
        <v>24</v>
      </c>
      <c r="U35" s="601" t="s">
        <v>24</v>
      </c>
      <c r="V35" s="601" t="s">
        <v>24</v>
      </c>
      <c r="W35" s="601" t="s">
        <v>24</v>
      </c>
      <c r="X35" s="601" t="s">
        <v>24</v>
      </c>
      <c r="Y35" s="601" t="s">
        <v>24</v>
      </c>
      <c r="Z35" s="601" t="s">
        <v>24</v>
      </c>
      <c r="AA35" s="601" t="s">
        <v>24</v>
      </c>
      <c r="AB35" s="601" t="s">
        <v>24</v>
      </c>
      <c r="AC35" s="601" t="s">
        <v>24</v>
      </c>
      <c r="AD35" s="602" t="s">
        <v>24</v>
      </c>
      <c r="AE35" s="602" t="s">
        <v>24</v>
      </c>
      <c r="AF35" s="602" t="s">
        <v>24</v>
      </c>
      <c r="AG35" s="602" t="s">
        <v>24</v>
      </c>
      <c r="AH35" s="603" t="s">
        <v>24</v>
      </c>
      <c r="AI35" s="603" t="s">
        <v>24</v>
      </c>
      <c r="AJ35" s="603" t="s">
        <v>24</v>
      </c>
      <c r="AK35" s="603" t="s">
        <v>24</v>
      </c>
      <c r="AL35" s="603" t="s">
        <v>24</v>
      </c>
      <c r="AM35" s="603" t="s">
        <v>24</v>
      </c>
      <c r="AN35" s="603" t="s">
        <v>24</v>
      </c>
      <c r="AO35" s="603" t="s">
        <v>24</v>
      </c>
      <c r="AP35" s="603" t="s">
        <v>24</v>
      </c>
      <c r="AQ35" s="604" t="s">
        <v>24</v>
      </c>
    </row>
    <row r="36" spans="1:43" s="578" customFormat="1" ht="15.75" hidden="1" customHeight="1" thickBot="1" x14ac:dyDescent="0.35">
      <c r="A36" s="592" t="s">
        <v>26</v>
      </c>
      <c r="B36" s="640" t="s">
        <v>24</v>
      </c>
      <c r="C36" s="640" t="s">
        <v>24</v>
      </c>
      <c r="D36" s="641" t="s">
        <v>24</v>
      </c>
      <c r="E36" s="641" t="s">
        <v>24</v>
      </c>
      <c r="F36" s="641" t="s">
        <v>24</v>
      </c>
      <c r="G36" s="641" t="s">
        <v>24</v>
      </c>
      <c r="H36" s="641" t="s">
        <v>24</v>
      </c>
      <c r="I36" s="641">
        <v>14649</v>
      </c>
      <c r="J36" s="641">
        <v>15107</v>
      </c>
      <c r="K36" s="641" t="s">
        <v>24</v>
      </c>
      <c r="L36" s="641" t="s">
        <v>24</v>
      </c>
      <c r="M36" s="641" t="s">
        <v>24</v>
      </c>
      <c r="N36" s="641" t="s">
        <v>24</v>
      </c>
      <c r="O36" s="642" t="s">
        <v>24</v>
      </c>
      <c r="P36" s="642" t="s">
        <v>24</v>
      </c>
      <c r="Q36" s="642" t="s">
        <v>24</v>
      </c>
      <c r="R36" s="642" t="s">
        <v>24</v>
      </c>
      <c r="S36" s="642" t="s">
        <v>24</v>
      </c>
      <c r="T36" s="642" t="s">
        <v>24</v>
      </c>
      <c r="U36" s="642" t="s">
        <v>24</v>
      </c>
      <c r="V36" s="642" t="s">
        <v>24</v>
      </c>
      <c r="W36" s="642" t="s">
        <v>24</v>
      </c>
      <c r="X36" s="642" t="s">
        <v>24</v>
      </c>
      <c r="Y36" s="642" t="s">
        <v>24</v>
      </c>
      <c r="Z36" s="642" t="s">
        <v>24</v>
      </c>
      <c r="AA36" s="642" t="s">
        <v>24</v>
      </c>
      <c r="AB36" s="642" t="s">
        <v>24</v>
      </c>
      <c r="AC36" s="642" t="s">
        <v>24</v>
      </c>
      <c r="AD36" s="643" t="s">
        <v>24</v>
      </c>
      <c r="AE36" s="643" t="s">
        <v>24</v>
      </c>
      <c r="AF36" s="643" t="s">
        <v>24</v>
      </c>
      <c r="AG36" s="643" t="s">
        <v>24</v>
      </c>
      <c r="AH36" s="644" t="s">
        <v>24</v>
      </c>
      <c r="AI36" s="644" t="s">
        <v>24</v>
      </c>
      <c r="AJ36" s="644" t="s">
        <v>24</v>
      </c>
      <c r="AK36" s="644" t="s">
        <v>24</v>
      </c>
      <c r="AL36" s="644" t="s">
        <v>24</v>
      </c>
      <c r="AM36" s="644" t="s">
        <v>24</v>
      </c>
      <c r="AN36" s="644" t="s">
        <v>24</v>
      </c>
      <c r="AO36" s="644" t="s">
        <v>24</v>
      </c>
      <c r="AP36" s="644" t="s">
        <v>24</v>
      </c>
      <c r="AQ36" s="645" t="s">
        <v>24</v>
      </c>
    </row>
    <row r="37" spans="1:43" s="578" customFormat="1" ht="15.75" customHeight="1" thickBot="1" x14ac:dyDescent="0.35">
      <c r="A37" s="796" t="s">
        <v>544</v>
      </c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46"/>
      <c r="AC37" s="646"/>
      <c r="AD37" s="800"/>
      <c r="AE37" s="800"/>
      <c r="AF37" s="800"/>
      <c r="AG37" s="800"/>
      <c r="AH37" s="800"/>
      <c r="AI37" s="800"/>
      <c r="AJ37" s="800"/>
      <c r="AK37" s="800"/>
      <c r="AL37" s="800"/>
      <c r="AM37" s="800"/>
      <c r="AN37" s="800"/>
      <c r="AO37" s="800"/>
      <c r="AP37" s="800"/>
      <c r="AQ37" s="801"/>
    </row>
    <row r="38" spans="1:43" s="584" customFormat="1" ht="15.75" customHeight="1" x14ac:dyDescent="0.3">
      <c r="A38" s="579" t="s">
        <v>541</v>
      </c>
      <c r="B38" s="580"/>
      <c r="C38" s="580"/>
      <c r="D38" s="580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2"/>
      <c r="Y38" s="582"/>
      <c r="Z38" s="582"/>
      <c r="AA38" s="582"/>
      <c r="AB38" s="582"/>
      <c r="AC38" s="583"/>
      <c r="AD38" s="797"/>
      <c r="AE38" s="797"/>
      <c r="AF38" s="797"/>
      <c r="AG38" s="797"/>
      <c r="AH38" s="797"/>
      <c r="AI38" s="797"/>
      <c r="AJ38" s="797"/>
      <c r="AK38" s="797"/>
      <c r="AL38" s="797"/>
      <c r="AM38" s="797"/>
      <c r="AN38" s="797"/>
      <c r="AO38" s="797"/>
      <c r="AP38" s="797"/>
      <c r="AQ38" s="798"/>
    </row>
    <row r="39" spans="1:43" s="591" customFormat="1" ht="15.75" customHeight="1" x14ac:dyDescent="0.3">
      <c r="A39" s="585" t="s">
        <v>22</v>
      </c>
      <c r="B39" s="586">
        <v>36368</v>
      </c>
      <c r="C39" s="586">
        <v>36621</v>
      </c>
      <c r="D39" s="586">
        <v>36351</v>
      </c>
      <c r="E39" s="586">
        <v>35483</v>
      </c>
      <c r="F39" s="586">
        <v>34521</v>
      </c>
      <c r="G39" s="586">
        <v>35225</v>
      </c>
      <c r="H39" s="586">
        <v>35950</v>
      </c>
      <c r="I39" s="586">
        <v>36278</v>
      </c>
      <c r="J39" s="586">
        <v>37196</v>
      </c>
      <c r="K39" s="586">
        <v>37954</v>
      </c>
      <c r="L39" s="586">
        <v>38835</v>
      </c>
      <c r="M39" s="586">
        <v>40422</v>
      </c>
      <c r="N39" s="586">
        <v>41964</v>
      </c>
      <c r="O39" s="587">
        <v>43448</v>
      </c>
      <c r="P39" s="587">
        <v>44833</v>
      </c>
      <c r="Q39" s="587">
        <v>45874</v>
      </c>
      <c r="R39" s="587">
        <v>46830</v>
      </c>
      <c r="S39" s="587">
        <v>48787.45</v>
      </c>
      <c r="T39" s="587">
        <v>50056.98</v>
      </c>
      <c r="U39" s="587">
        <v>50645.61299999999</v>
      </c>
      <c r="V39" s="587">
        <v>51025.58</v>
      </c>
      <c r="W39" s="587">
        <v>51459.747000000003</v>
      </c>
      <c r="X39" s="588">
        <v>51218.52</v>
      </c>
      <c r="Y39" s="588">
        <v>51763.55</v>
      </c>
      <c r="Z39" s="588">
        <v>51655.96</v>
      </c>
      <c r="AA39" s="588">
        <v>51387.09</v>
      </c>
      <c r="AB39" s="588">
        <v>51240.160000000003</v>
      </c>
      <c r="AC39" s="588">
        <v>51279.89</v>
      </c>
      <c r="AD39" s="589">
        <v>51248.010000000009</v>
      </c>
      <c r="AE39" s="589">
        <v>49711.119999999995</v>
      </c>
      <c r="AF39" s="589">
        <v>50091.9</v>
      </c>
      <c r="AG39" s="589">
        <v>50315.360000000001</v>
      </c>
      <c r="AH39" s="627">
        <v>51613.409999999996</v>
      </c>
      <c r="AI39" s="627">
        <v>51670.93</v>
      </c>
      <c r="AJ39" s="627">
        <v>52278.670000000006</v>
      </c>
      <c r="AK39" s="627">
        <v>53569.599999999999</v>
      </c>
      <c r="AL39" s="627">
        <v>55427.78</v>
      </c>
      <c r="AM39" s="627">
        <v>57404.12</v>
      </c>
      <c r="AN39" s="627">
        <v>59456.11</v>
      </c>
      <c r="AO39" s="627">
        <v>60500.71</v>
      </c>
      <c r="AP39" s="627">
        <v>61795.87</v>
      </c>
      <c r="AQ39" s="628">
        <f>+Table3WS2!S25</f>
        <v>61863.26</v>
      </c>
    </row>
    <row r="40" spans="1:43" s="578" customFormat="1" ht="15.75" customHeight="1" x14ac:dyDescent="0.3">
      <c r="A40" s="592" t="s">
        <v>448</v>
      </c>
      <c r="B40" s="593">
        <v>18478</v>
      </c>
      <c r="C40" s="593">
        <v>20220</v>
      </c>
      <c r="D40" s="594">
        <v>22700</v>
      </c>
      <c r="E40" s="594">
        <v>24404</v>
      </c>
      <c r="F40" s="594">
        <v>24935</v>
      </c>
      <c r="G40" s="594">
        <v>25931</v>
      </c>
      <c r="H40" s="594">
        <v>27110</v>
      </c>
      <c r="I40" s="594">
        <v>27856</v>
      </c>
      <c r="J40" s="594">
        <v>28958</v>
      </c>
      <c r="K40" s="594">
        <v>29958</v>
      </c>
      <c r="L40" s="594">
        <v>31031</v>
      </c>
      <c r="M40" s="594">
        <v>32351</v>
      </c>
      <c r="N40" s="594">
        <v>35098</v>
      </c>
      <c r="O40" s="478">
        <v>36953</v>
      </c>
      <c r="P40" s="478">
        <v>37959</v>
      </c>
      <c r="Q40" s="478">
        <v>38040</v>
      </c>
      <c r="R40" s="478">
        <v>38362</v>
      </c>
      <c r="S40" s="478">
        <v>40132</v>
      </c>
      <c r="T40" s="478">
        <v>40126.337331377144</v>
      </c>
      <c r="U40" s="478">
        <v>41189.390183140626</v>
      </c>
      <c r="V40" s="478">
        <v>41153</v>
      </c>
      <c r="W40" s="478">
        <v>43652.759466540003</v>
      </c>
      <c r="X40" s="595">
        <v>45030</v>
      </c>
      <c r="Y40" s="596">
        <v>46731.509935466165</v>
      </c>
      <c r="Z40" s="596">
        <v>48212.34840045563</v>
      </c>
      <c r="AA40" s="596">
        <v>48579.079229043724</v>
      </c>
      <c r="AB40" s="596">
        <v>48896.624859485244</v>
      </c>
      <c r="AC40" s="596">
        <v>49629.995075067425</v>
      </c>
      <c r="AD40" s="597">
        <v>51296.104453031432</v>
      </c>
      <c r="AE40" s="597">
        <v>53632.453052355289</v>
      </c>
      <c r="AF40" s="597">
        <v>56449.296264088844</v>
      </c>
      <c r="AG40" s="597">
        <v>56722.824756799047</v>
      </c>
      <c r="AH40" s="596">
        <v>56579.433284851075</v>
      </c>
      <c r="AI40" s="596">
        <v>56064.898306495234</v>
      </c>
      <c r="AJ40" s="596">
        <v>56143.315837233909</v>
      </c>
      <c r="AK40" s="596">
        <v>57027</v>
      </c>
      <c r="AL40" s="596">
        <v>56788.336823159814</v>
      </c>
      <c r="AM40" s="596">
        <v>58291.904999045386</v>
      </c>
      <c r="AN40" s="596">
        <v>59265.202120790564</v>
      </c>
      <c r="AO40" s="596">
        <v>60894.053207108984</v>
      </c>
      <c r="AP40" s="596">
        <v>77617.007755533225</v>
      </c>
      <c r="AQ40" s="598">
        <f>+Table3WS2!R77</f>
        <v>81527.910962424896</v>
      </c>
    </row>
    <row r="41" spans="1:43" s="605" customFormat="1" ht="15.75" hidden="1" customHeight="1" x14ac:dyDescent="0.3">
      <c r="A41" s="599" t="s">
        <v>23</v>
      </c>
      <c r="B41" s="600">
        <v>1.585</v>
      </c>
      <c r="C41" s="600">
        <v>1.5980000000000001</v>
      </c>
      <c r="D41" s="600">
        <v>1.619</v>
      </c>
      <c r="E41" s="600">
        <v>1.645</v>
      </c>
      <c r="F41" s="600">
        <v>1.657</v>
      </c>
      <c r="G41" s="600">
        <v>1.661</v>
      </c>
      <c r="H41" s="600">
        <v>1.6659999999999999</v>
      </c>
      <c r="I41" s="600">
        <v>1.675</v>
      </c>
      <c r="J41" s="600">
        <v>1.681</v>
      </c>
      <c r="K41" s="600">
        <v>1.6859999999999999</v>
      </c>
      <c r="L41" s="600">
        <v>1.6970000000000001</v>
      </c>
      <c r="M41" s="600">
        <v>1.698</v>
      </c>
      <c r="N41" s="600">
        <v>1.708</v>
      </c>
      <c r="O41" s="601" t="s">
        <v>450</v>
      </c>
      <c r="P41" s="601" t="s">
        <v>450</v>
      </c>
      <c r="Q41" s="601" t="s">
        <v>450</v>
      </c>
      <c r="R41" s="601" t="s">
        <v>450</v>
      </c>
      <c r="S41" s="601" t="s">
        <v>450</v>
      </c>
      <c r="T41" s="601" t="s">
        <v>450</v>
      </c>
      <c r="U41" s="601" t="s">
        <v>450</v>
      </c>
      <c r="V41" s="601" t="s">
        <v>450</v>
      </c>
      <c r="W41" s="601" t="s">
        <v>450</v>
      </c>
      <c r="X41" s="601" t="s">
        <v>450</v>
      </c>
      <c r="Y41" s="601" t="s">
        <v>450</v>
      </c>
      <c r="Z41" s="601" t="s">
        <v>450</v>
      </c>
      <c r="AA41" s="601" t="s">
        <v>450</v>
      </c>
      <c r="AB41" s="601" t="s">
        <v>450</v>
      </c>
      <c r="AC41" s="601" t="s">
        <v>450</v>
      </c>
      <c r="AD41" s="602" t="s">
        <v>450</v>
      </c>
      <c r="AE41" s="602" t="s">
        <v>450</v>
      </c>
      <c r="AF41" s="602" t="s">
        <v>450</v>
      </c>
      <c r="AG41" s="602" t="s">
        <v>450</v>
      </c>
      <c r="AH41" s="603" t="s">
        <v>450</v>
      </c>
      <c r="AI41" s="603" t="s">
        <v>450</v>
      </c>
      <c r="AJ41" s="603" t="s">
        <v>450</v>
      </c>
      <c r="AK41" s="603" t="s">
        <v>450</v>
      </c>
      <c r="AL41" s="603" t="s">
        <v>450</v>
      </c>
      <c r="AM41" s="603" t="s">
        <v>450</v>
      </c>
      <c r="AN41" s="603" t="s">
        <v>450</v>
      </c>
      <c r="AO41" s="603" t="s">
        <v>450</v>
      </c>
      <c r="AP41" s="603" t="s">
        <v>450</v>
      </c>
      <c r="AQ41" s="604" t="s">
        <v>450</v>
      </c>
    </row>
    <row r="42" spans="1:43" s="605" customFormat="1" ht="15.75" hidden="1" customHeight="1" x14ac:dyDescent="0.3">
      <c r="A42" s="599" t="s">
        <v>25</v>
      </c>
      <c r="B42" s="600" t="s">
        <v>450</v>
      </c>
      <c r="C42" s="600" t="s">
        <v>450</v>
      </c>
      <c r="D42" s="600" t="s">
        <v>450</v>
      </c>
      <c r="E42" s="600" t="s">
        <v>450</v>
      </c>
      <c r="F42" s="600" t="s">
        <v>450</v>
      </c>
      <c r="G42" s="600" t="s">
        <v>450</v>
      </c>
      <c r="H42" s="600" t="s">
        <v>450</v>
      </c>
      <c r="I42" s="600" t="s">
        <v>450</v>
      </c>
      <c r="J42" s="600" t="s">
        <v>450</v>
      </c>
      <c r="K42" s="600" t="s">
        <v>450</v>
      </c>
      <c r="L42" s="600" t="s">
        <v>450</v>
      </c>
      <c r="M42" s="600" t="s">
        <v>450</v>
      </c>
      <c r="N42" s="600">
        <v>1.6879999999999999</v>
      </c>
      <c r="O42" s="607">
        <v>1.7050000000000001</v>
      </c>
      <c r="P42" s="607">
        <v>1.6950000000000001</v>
      </c>
      <c r="Q42" s="607">
        <v>1.702</v>
      </c>
      <c r="R42" s="607">
        <v>1.708</v>
      </c>
      <c r="S42" s="607">
        <v>1.7192000000000001</v>
      </c>
      <c r="T42" s="607">
        <v>1.7183324039424666</v>
      </c>
      <c r="U42" s="607">
        <v>1.7172092056503425</v>
      </c>
      <c r="V42" s="607">
        <v>1.7130000000000001</v>
      </c>
      <c r="W42" s="617" t="s">
        <v>450</v>
      </c>
      <c r="X42" s="617" t="s">
        <v>450</v>
      </c>
      <c r="Y42" s="613" t="s">
        <v>450</v>
      </c>
      <c r="Z42" s="613" t="s">
        <v>450</v>
      </c>
      <c r="AA42" s="613" t="s">
        <v>450</v>
      </c>
      <c r="AB42" s="613" t="s">
        <v>450</v>
      </c>
      <c r="AC42" s="613" t="s">
        <v>450</v>
      </c>
      <c r="AD42" s="614" t="s">
        <v>450</v>
      </c>
      <c r="AE42" s="614" t="s">
        <v>450</v>
      </c>
      <c r="AF42" s="614" t="s">
        <v>450</v>
      </c>
      <c r="AG42" s="614" t="s">
        <v>450</v>
      </c>
      <c r="AH42" s="615" t="s">
        <v>450</v>
      </c>
      <c r="AI42" s="615" t="s">
        <v>450</v>
      </c>
      <c r="AJ42" s="615" t="s">
        <v>450</v>
      </c>
      <c r="AK42" s="615" t="s">
        <v>450</v>
      </c>
      <c r="AL42" s="615" t="s">
        <v>450</v>
      </c>
      <c r="AM42" s="615" t="s">
        <v>450</v>
      </c>
      <c r="AN42" s="615" t="s">
        <v>450</v>
      </c>
      <c r="AO42" s="615" t="s">
        <v>450</v>
      </c>
      <c r="AP42" s="615" t="s">
        <v>450</v>
      </c>
      <c r="AQ42" s="616" t="s">
        <v>450</v>
      </c>
    </row>
    <row r="43" spans="1:43" s="605" customFormat="1" ht="15.75" hidden="1" customHeight="1" x14ac:dyDescent="0.3">
      <c r="A43" s="599" t="s">
        <v>208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07" t="s">
        <v>450</v>
      </c>
      <c r="P43" s="607" t="s">
        <v>450</v>
      </c>
      <c r="Q43" s="607" t="s">
        <v>450</v>
      </c>
      <c r="R43" s="607" t="s">
        <v>450</v>
      </c>
      <c r="S43" s="607" t="s">
        <v>450</v>
      </c>
      <c r="T43" s="617" t="s">
        <v>450</v>
      </c>
      <c r="U43" s="617" t="s">
        <v>450</v>
      </c>
      <c r="V43" s="617" t="s">
        <v>450</v>
      </c>
      <c r="W43" s="607">
        <v>1.622134581348551</v>
      </c>
      <c r="X43" s="612">
        <v>1.62168</v>
      </c>
      <c r="Y43" s="612">
        <v>1.6204023234341534</v>
      </c>
      <c r="Z43" s="612">
        <v>1.620278921049962</v>
      </c>
      <c r="AA43" s="613" t="s">
        <v>450</v>
      </c>
      <c r="AB43" s="613" t="s">
        <v>450</v>
      </c>
      <c r="AC43" s="613" t="s">
        <v>450</v>
      </c>
      <c r="AD43" s="614" t="s">
        <v>450</v>
      </c>
      <c r="AE43" s="614" t="s">
        <v>450</v>
      </c>
      <c r="AF43" s="614" t="s">
        <v>450</v>
      </c>
      <c r="AG43" s="614" t="s">
        <v>450</v>
      </c>
      <c r="AH43" s="615" t="s">
        <v>450</v>
      </c>
      <c r="AI43" s="615" t="s">
        <v>450</v>
      </c>
      <c r="AJ43" s="615" t="s">
        <v>450</v>
      </c>
      <c r="AK43" s="615" t="s">
        <v>450</v>
      </c>
      <c r="AL43" s="615" t="s">
        <v>450</v>
      </c>
      <c r="AM43" s="615" t="s">
        <v>450</v>
      </c>
      <c r="AN43" s="615" t="s">
        <v>450</v>
      </c>
      <c r="AO43" s="615" t="s">
        <v>450</v>
      </c>
      <c r="AP43" s="615" t="s">
        <v>450</v>
      </c>
      <c r="AQ43" s="616" t="s">
        <v>450</v>
      </c>
    </row>
    <row r="44" spans="1:43" s="605" customFormat="1" ht="15.75" hidden="1" customHeight="1" x14ac:dyDescent="0.3">
      <c r="A44" s="599" t="s">
        <v>333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07" t="s">
        <v>450</v>
      </c>
      <c r="P44" s="607" t="s">
        <v>450</v>
      </c>
      <c r="Q44" s="607" t="s">
        <v>450</v>
      </c>
      <c r="R44" s="607" t="s">
        <v>450</v>
      </c>
      <c r="S44" s="607" t="s">
        <v>450</v>
      </c>
      <c r="T44" s="617" t="s">
        <v>450</v>
      </c>
      <c r="U44" s="617" t="s">
        <v>450</v>
      </c>
      <c r="V44" s="617" t="s">
        <v>450</v>
      </c>
      <c r="W44" s="617" t="s">
        <v>450</v>
      </c>
      <c r="X44" s="613" t="s">
        <v>450</v>
      </c>
      <c r="Y44" s="613" t="s">
        <v>450</v>
      </c>
      <c r="Z44" s="613" t="s">
        <v>450</v>
      </c>
      <c r="AA44" s="612">
        <v>1.5832708946994281</v>
      </c>
      <c r="AB44" s="613" t="s">
        <v>450</v>
      </c>
      <c r="AC44" s="613" t="s">
        <v>450</v>
      </c>
      <c r="AD44" s="614" t="s">
        <v>450</v>
      </c>
      <c r="AE44" s="614" t="s">
        <v>450</v>
      </c>
      <c r="AF44" s="614" t="s">
        <v>450</v>
      </c>
      <c r="AG44" s="614" t="s">
        <v>450</v>
      </c>
      <c r="AH44" s="615" t="s">
        <v>450</v>
      </c>
      <c r="AI44" s="615" t="s">
        <v>450</v>
      </c>
      <c r="AJ44" s="615" t="s">
        <v>450</v>
      </c>
      <c r="AK44" s="615" t="s">
        <v>450</v>
      </c>
      <c r="AL44" s="615" t="s">
        <v>450</v>
      </c>
      <c r="AM44" s="615" t="s">
        <v>450</v>
      </c>
      <c r="AN44" s="615" t="s">
        <v>450</v>
      </c>
      <c r="AO44" s="615" t="s">
        <v>450</v>
      </c>
      <c r="AP44" s="615" t="s">
        <v>450</v>
      </c>
      <c r="AQ44" s="616" t="s">
        <v>450</v>
      </c>
    </row>
    <row r="45" spans="1:43" s="605" customFormat="1" ht="15.75" customHeight="1" x14ac:dyDescent="0.3">
      <c r="A45" s="599" t="s">
        <v>551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07" t="s">
        <v>450</v>
      </c>
      <c r="P45" s="607" t="s">
        <v>450</v>
      </c>
      <c r="Q45" s="607" t="s">
        <v>450</v>
      </c>
      <c r="R45" s="607" t="s">
        <v>450</v>
      </c>
      <c r="S45" s="607" t="s">
        <v>450</v>
      </c>
      <c r="T45" s="617" t="s">
        <v>450</v>
      </c>
      <c r="U45" s="617" t="s">
        <v>450</v>
      </c>
      <c r="V45" s="617" t="s">
        <v>450</v>
      </c>
      <c r="W45" s="617" t="s">
        <v>450</v>
      </c>
      <c r="X45" s="613" t="s">
        <v>450</v>
      </c>
      <c r="Y45" s="613" t="s">
        <v>450</v>
      </c>
      <c r="Z45" s="613" t="s">
        <v>450</v>
      </c>
      <c r="AA45" s="613" t="s">
        <v>450</v>
      </c>
      <c r="AB45" s="612">
        <v>1.5439082267522193</v>
      </c>
      <c r="AC45" s="612">
        <v>1.5441866988521229</v>
      </c>
      <c r="AD45" s="618">
        <v>1.5423267741244975</v>
      </c>
      <c r="AE45" s="618">
        <v>1.5424945080155101</v>
      </c>
      <c r="AF45" s="618">
        <v>1.5486892181135756</v>
      </c>
      <c r="AG45" s="618">
        <v>1.5675559222933579</v>
      </c>
      <c r="AH45" s="619">
        <v>1.572384943308317</v>
      </c>
      <c r="AI45" s="619">
        <v>1.5824412384405548</v>
      </c>
      <c r="AJ45" s="619">
        <v>1.5826339930334923</v>
      </c>
      <c r="AK45" s="619">
        <v>1.575</v>
      </c>
      <c r="AL45" s="619">
        <v>1.5618685361979141</v>
      </c>
      <c r="AM45" s="619">
        <v>1.5508877459595263</v>
      </c>
      <c r="AN45" s="619">
        <v>1.5438774418297987</v>
      </c>
      <c r="AO45" s="619">
        <v>1.5417860222129478</v>
      </c>
      <c r="AP45" s="619">
        <v>1.5382021490769291</v>
      </c>
      <c r="AQ45" s="802">
        <f>+Table3WS2!R120</f>
        <v>1.5476488406474143</v>
      </c>
    </row>
    <row r="46" spans="1:43" s="578" customFormat="1" ht="15.75" customHeight="1" thickBot="1" x14ac:dyDescent="0.35">
      <c r="A46" s="620" t="s">
        <v>552</v>
      </c>
      <c r="B46" s="621">
        <v>11656</v>
      </c>
      <c r="C46" s="621">
        <v>12656</v>
      </c>
      <c r="D46" s="622">
        <v>14025</v>
      </c>
      <c r="E46" s="622">
        <v>14839</v>
      </c>
      <c r="F46" s="622">
        <v>15051</v>
      </c>
      <c r="G46" s="622">
        <v>15616</v>
      </c>
      <c r="H46" s="622">
        <v>16275</v>
      </c>
      <c r="I46" s="622">
        <v>16626</v>
      </c>
      <c r="J46" s="622">
        <v>17228</v>
      </c>
      <c r="K46" s="622">
        <v>17765</v>
      </c>
      <c r="L46" s="622">
        <v>18287</v>
      </c>
      <c r="M46" s="622">
        <v>19056</v>
      </c>
      <c r="N46" s="622">
        <v>19596</v>
      </c>
      <c r="O46" s="623">
        <v>21676</v>
      </c>
      <c r="P46" s="623">
        <v>22389</v>
      </c>
      <c r="Q46" s="623">
        <v>22353</v>
      </c>
      <c r="R46" s="623">
        <v>22458</v>
      </c>
      <c r="S46" s="623">
        <v>23344</v>
      </c>
      <c r="T46" s="623">
        <v>23351.906324592979</v>
      </c>
      <c r="U46" s="623">
        <v>23986.238862224916</v>
      </c>
      <c r="V46" s="623">
        <v>24025</v>
      </c>
      <c r="W46" s="635">
        <f>+W40/W43</f>
        <v>26910.689142851246</v>
      </c>
      <c r="X46" s="635">
        <f>+X40/X43</f>
        <v>27767.500369986679</v>
      </c>
      <c r="Y46" s="596">
        <f>+Y40/Y43</f>
        <v>28839.44885763128</v>
      </c>
      <c r="Z46" s="596">
        <f>+Z40/Z43</f>
        <v>29755.585766192278</v>
      </c>
      <c r="AA46" s="596">
        <f>+AA40/AA44</f>
        <v>30682.733694960072</v>
      </c>
      <c r="AB46" s="596">
        <f t="shared" ref="AB46:AH46" si="6">+AB40/AB45</f>
        <v>31670.680946071952</v>
      </c>
      <c r="AC46" s="596">
        <f t="shared" si="6"/>
        <v>32139.892871736345</v>
      </c>
      <c r="AD46" s="596">
        <f t="shared" si="6"/>
        <v>33258.908107945987</v>
      </c>
      <c r="AE46" s="596">
        <f t="shared" si="6"/>
        <v>34769.94749326913</v>
      </c>
      <c r="AF46" s="596">
        <f t="shared" si="6"/>
        <v>36449.72509904117</v>
      </c>
      <c r="AG46" s="596">
        <f t="shared" si="6"/>
        <v>36185.519093834111</v>
      </c>
      <c r="AH46" s="596">
        <f t="shared" si="6"/>
        <v>35983.194526021893</v>
      </c>
      <c r="AI46" s="596">
        <f>+AI40/AI45</f>
        <v>35429.371369103974</v>
      </c>
      <c r="AJ46" s="596">
        <f>+AJ40/AJ45</f>
        <v>35474.605047261728</v>
      </c>
      <c r="AK46" s="596">
        <v>36219</v>
      </c>
      <c r="AL46" s="596">
        <v>36359.229670763925</v>
      </c>
      <c r="AM46" s="596">
        <v>37586.153576176774</v>
      </c>
      <c r="AN46" s="596">
        <v>38387.245331177088</v>
      </c>
      <c r="AO46" s="596">
        <v>39495.787567010673</v>
      </c>
      <c r="AP46" s="596">
        <v>50459.562679788854</v>
      </c>
      <c r="AQ46" s="598">
        <f t="shared" ref="AQ46" si="7">+AQ40/AQ45</f>
        <v>52678.559128645778</v>
      </c>
    </row>
    <row r="47" spans="1:43" s="584" customFormat="1" ht="15.75" customHeight="1" x14ac:dyDescent="0.3">
      <c r="A47" s="579" t="s">
        <v>542</v>
      </c>
      <c r="B47" s="580"/>
      <c r="C47" s="580"/>
      <c r="D47" s="580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2"/>
      <c r="Y47" s="582"/>
      <c r="Z47" s="582"/>
      <c r="AA47" s="582"/>
      <c r="AB47" s="582"/>
      <c r="AC47" s="583"/>
      <c r="AD47" s="797"/>
      <c r="AE47" s="797"/>
      <c r="AF47" s="797"/>
      <c r="AG47" s="797"/>
      <c r="AH47" s="797"/>
      <c r="AI47" s="797"/>
      <c r="AJ47" s="797"/>
      <c r="AK47" s="797"/>
      <c r="AL47" s="797"/>
      <c r="AM47" s="797"/>
      <c r="AN47" s="797"/>
      <c r="AO47" s="797"/>
      <c r="AP47" s="797"/>
      <c r="AQ47" s="798"/>
    </row>
    <row r="48" spans="1:43" s="591" customFormat="1" ht="15.75" customHeight="1" x14ac:dyDescent="0.3">
      <c r="A48" s="585" t="s">
        <v>22</v>
      </c>
      <c r="B48" s="586">
        <v>2987</v>
      </c>
      <c r="C48" s="586">
        <v>3030</v>
      </c>
      <c r="D48" s="586">
        <v>3047</v>
      </c>
      <c r="E48" s="586">
        <v>2876</v>
      </c>
      <c r="F48" s="586">
        <v>2773</v>
      </c>
      <c r="G48" s="586">
        <v>2814</v>
      </c>
      <c r="H48" s="586">
        <v>2901</v>
      </c>
      <c r="I48" s="586">
        <v>2896</v>
      </c>
      <c r="J48" s="586">
        <v>2849</v>
      </c>
      <c r="K48" s="586">
        <v>2876</v>
      </c>
      <c r="L48" s="586">
        <v>2913</v>
      </c>
      <c r="M48" s="586">
        <v>2937</v>
      </c>
      <c r="N48" s="586">
        <v>3023</v>
      </c>
      <c r="O48" s="587">
        <v>3056</v>
      </c>
      <c r="P48" s="587">
        <v>3115</v>
      </c>
      <c r="Q48" s="587">
        <v>3125</v>
      </c>
      <c r="R48" s="587">
        <v>3186</v>
      </c>
      <c r="S48" s="587">
        <v>3208.26</v>
      </c>
      <c r="T48" s="587">
        <v>3277.59</v>
      </c>
      <c r="U48" s="587">
        <v>3336.76</v>
      </c>
      <c r="V48" s="587">
        <v>3368.39</v>
      </c>
      <c r="W48" s="587">
        <v>3409.5789999999997</v>
      </c>
      <c r="X48" s="588">
        <v>3414.67</v>
      </c>
      <c r="Y48" s="588">
        <v>3467.45</v>
      </c>
      <c r="Z48" s="588">
        <v>3493.94</v>
      </c>
      <c r="AA48" s="588">
        <v>3504.77</v>
      </c>
      <c r="AB48" s="588">
        <v>3531.64</v>
      </c>
      <c r="AC48" s="588">
        <v>3594.35</v>
      </c>
      <c r="AD48" s="589">
        <v>3557.94</v>
      </c>
      <c r="AE48" s="589">
        <v>3613.12</v>
      </c>
      <c r="AF48" s="589">
        <v>3617.0099999999998</v>
      </c>
      <c r="AG48" s="589">
        <v>3402.4999999999995</v>
      </c>
      <c r="AH48" s="627">
        <v>3402.9599999999996</v>
      </c>
      <c r="AI48" s="627">
        <v>3483.98</v>
      </c>
      <c r="AJ48" s="627">
        <v>3571.8299999999995</v>
      </c>
      <c r="AK48" s="627">
        <v>3703.6</v>
      </c>
      <c r="AL48" s="627">
        <v>3899.6899999999996</v>
      </c>
      <c r="AM48" s="627">
        <v>4112.33</v>
      </c>
      <c r="AN48" s="627">
        <v>4328.3099999999995</v>
      </c>
      <c r="AO48" s="627">
        <v>4433.3399999999992</v>
      </c>
      <c r="AP48" s="627">
        <v>4530.6000000000004</v>
      </c>
      <c r="AQ48" s="628">
        <f>+Table3WS2!S5</f>
        <v>4476.29</v>
      </c>
    </row>
    <row r="49" spans="1:43" s="578" customFormat="1" ht="15.75" customHeight="1" x14ac:dyDescent="0.3">
      <c r="A49" s="592" t="s">
        <v>448</v>
      </c>
      <c r="B49" s="593">
        <v>27972</v>
      </c>
      <c r="C49" s="593">
        <v>30509</v>
      </c>
      <c r="D49" s="594">
        <v>34025</v>
      </c>
      <c r="E49" s="594">
        <v>36484</v>
      </c>
      <c r="F49" s="594">
        <v>37047</v>
      </c>
      <c r="G49" s="594">
        <v>38847</v>
      </c>
      <c r="H49" s="594">
        <v>40568</v>
      </c>
      <c r="I49" s="594">
        <v>41995</v>
      </c>
      <c r="J49" s="594">
        <v>44123</v>
      </c>
      <c r="K49" s="594">
        <v>46476</v>
      </c>
      <c r="L49" s="594">
        <v>48837</v>
      </c>
      <c r="M49" s="594">
        <v>51573</v>
      </c>
      <c r="N49" s="594">
        <v>55550</v>
      </c>
      <c r="O49" s="478">
        <v>59064</v>
      </c>
      <c r="P49" s="478">
        <v>61574</v>
      </c>
      <c r="Q49" s="478">
        <v>61887</v>
      </c>
      <c r="R49" s="478">
        <v>62576</v>
      </c>
      <c r="S49" s="478">
        <v>66040</v>
      </c>
      <c r="T49" s="478">
        <v>66639</v>
      </c>
      <c r="U49" s="478">
        <v>68951</v>
      </c>
      <c r="V49" s="478">
        <v>69732</v>
      </c>
      <c r="W49" s="478">
        <v>73383.052277128634</v>
      </c>
      <c r="X49" s="595">
        <v>76545.789999999994</v>
      </c>
      <c r="Y49" s="596">
        <v>80038.009935255017</v>
      </c>
      <c r="Z49" s="596">
        <v>83394.37028970159</v>
      </c>
      <c r="AA49" s="596">
        <v>84016.251408794298</v>
      </c>
      <c r="AB49" s="596">
        <v>85000.64136491828</v>
      </c>
      <c r="AC49" s="596">
        <v>87228.964004618363</v>
      </c>
      <c r="AD49" s="597">
        <v>91431.966151761982</v>
      </c>
      <c r="AE49" s="597">
        <v>95739.814049907029</v>
      </c>
      <c r="AF49" s="597">
        <v>100510.0725986381</v>
      </c>
      <c r="AG49" s="597">
        <v>102198.06408229242</v>
      </c>
      <c r="AH49" s="596">
        <v>102673.18798634132</v>
      </c>
      <c r="AI49" s="596">
        <v>102979.13485439066</v>
      </c>
      <c r="AJ49" s="596">
        <v>103444.30605879899</v>
      </c>
      <c r="AK49" s="596">
        <v>105754</v>
      </c>
      <c r="AL49" s="596">
        <v>107895.05164256645</v>
      </c>
      <c r="AM49" s="596">
        <v>112553.93320331782</v>
      </c>
      <c r="AN49" s="596">
        <v>115887.0051729197</v>
      </c>
      <c r="AO49" s="596">
        <v>121894.01348870154</v>
      </c>
      <c r="AP49" s="596">
        <v>127671</v>
      </c>
      <c r="AQ49" s="598">
        <f>+Table3WS2!S55</f>
        <v>135841</v>
      </c>
    </row>
    <row r="50" spans="1:43" s="605" customFormat="1" ht="15.75" hidden="1" customHeight="1" x14ac:dyDescent="0.3">
      <c r="A50" s="599" t="s">
        <v>23</v>
      </c>
      <c r="B50" s="600">
        <v>1.889</v>
      </c>
      <c r="C50" s="600">
        <v>1.901</v>
      </c>
      <c r="D50" s="600">
        <v>1.9079999999999999</v>
      </c>
      <c r="E50" s="600">
        <v>1.93</v>
      </c>
      <c r="F50" s="600">
        <v>1.9370000000000001</v>
      </c>
      <c r="G50" s="600">
        <v>1.9430000000000001</v>
      </c>
      <c r="H50" s="600">
        <v>1.948</v>
      </c>
      <c r="I50" s="600">
        <v>1.9570000000000001</v>
      </c>
      <c r="J50" s="600">
        <v>1.968</v>
      </c>
      <c r="K50" s="600">
        <v>1.9710000000000001</v>
      </c>
      <c r="L50" s="600">
        <v>1.97</v>
      </c>
      <c r="M50" s="600">
        <v>1.972</v>
      </c>
      <c r="N50" s="600">
        <v>1.9750000000000001</v>
      </c>
      <c r="O50" s="601" t="s">
        <v>450</v>
      </c>
      <c r="P50" s="601" t="s">
        <v>450</v>
      </c>
      <c r="Q50" s="601" t="s">
        <v>450</v>
      </c>
      <c r="R50" s="601" t="s">
        <v>450</v>
      </c>
      <c r="S50" s="601" t="s">
        <v>450</v>
      </c>
      <c r="T50" s="601" t="s">
        <v>450</v>
      </c>
      <c r="U50" s="601" t="s">
        <v>450</v>
      </c>
      <c r="V50" s="601" t="s">
        <v>450</v>
      </c>
      <c r="W50" s="601" t="s">
        <v>450</v>
      </c>
      <c r="X50" s="601" t="s">
        <v>450</v>
      </c>
      <c r="Y50" s="601" t="s">
        <v>450</v>
      </c>
      <c r="Z50" s="601" t="s">
        <v>450</v>
      </c>
      <c r="AA50" s="601" t="s">
        <v>450</v>
      </c>
      <c r="AB50" s="601" t="s">
        <v>450</v>
      </c>
      <c r="AC50" s="601" t="s">
        <v>450</v>
      </c>
      <c r="AD50" s="602" t="s">
        <v>450</v>
      </c>
      <c r="AE50" s="602" t="s">
        <v>450</v>
      </c>
      <c r="AF50" s="602" t="s">
        <v>450</v>
      </c>
      <c r="AG50" s="602" t="s">
        <v>450</v>
      </c>
      <c r="AH50" s="603" t="s">
        <v>450</v>
      </c>
      <c r="AI50" s="603" t="s">
        <v>450</v>
      </c>
      <c r="AJ50" s="603" t="s">
        <v>450</v>
      </c>
      <c r="AK50" s="603" t="s">
        <v>450</v>
      </c>
      <c r="AL50" s="603" t="s">
        <v>450</v>
      </c>
      <c r="AM50" s="603" t="s">
        <v>450</v>
      </c>
      <c r="AN50" s="603" t="s">
        <v>450</v>
      </c>
      <c r="AO50" s="603" t="s">
        <v>450</v>
      </c>
      <c r="AP50" s="603" t="s">
        <v>450</v>
      </c>
      <c r="AQ50" s="604" t="s">
        <v>450</v>
      </c>
    </row>
    <row r="51" spans="1:43" s="605" customFormat="1" ht="15.75" hidden="1" customHeight="1" x14ac:dyDescent="0.3">
      <c r="A51" s="599" t="s">
        <v>25</v>
      </c>
      <c r="B51" s="600" t="s">
        <v>450</v>
      </c>
      <c r="C51" s="600" t="s">
        <v>450</v>
      </c>
      <c r="D51" s="600" t="s">
        <v>450</v>
      </c>
      <c r="E51" s="600" t="s">
        <v>450</v>
      </c>
      <c r="F51" s="600" t="s">
        <v>450</v>
      </c>
      <c r="G51" s="600" t="s">
        <v>450</v>
      </c>
      <c r="H51" s="600" t="s">
        <v>450</v>
      </c>
      <c r="I51" s="600" t="s">
        <v>450</v>
      </c>
      <c r="J51" s="600" t="s">
        <v>450</v>
      </c>
      <c r="K51" s="600" t="s">
        <v>450</v>
      </c>
      <c r="L51" s="600" t="s">
        <v>450</v>
      </c>
      <c r="M51" s="600" t="s">
        <v>450</v>
      </c>
      <c r="N51" s="600">
        <v>1.946</v>
      </c>
      <c r="O51" s="607">
        <v>1.95</v>
      </c>
      <c r="P51" s="607">
        <v>1.952</v>
      </c>
      <c r="Q51" s="607">
        <v>1.954</v>
      </c>
      <c r="R51" s="607">
        <v>1.956</v>
      </c>
      <c r="S51" s="607">
        <v>1.9567699999999999</v>
      </c>
      <c r="T51" s="607">
        <v>1.9579</v>
      </c>
      <c r="U51" s="607">
        <v>1.94913</v>
      </c>
      <c r="V51" s="607">
        <v>1.948</v>
      </c>
      <c r="W51" s="617" t="s">
        <v>450</v>
      </c>
      <c r="X51" s="617" t="s">
        <v>450</v>
      </c>
      <c r="Y51" s="613" t="s">
        <v>450</v>
      </c>
      <c r="Z51" s="613" t="s">
        <v>450</v>
      </c>
      <c r="AA51" s="613" t="s">
        <v>450</v>
      </c>
      <c r="AB51" s="613" t="s">
        <v>450</v>
      </c>
      <c r="AC51" s="613" t="s">
        <v>450</v>
      </c>
      <c r="AD51" s="614" t="s">
        <v>450</v>
      </c>
      <c r="AE51" s="614" t="s">
        <v>450</v>
      </c>
      <c r="AF51" s="614" t="s">
        <v>450</v>
      </c>
      <c r="AG51" s="614" t="s">
        <v>450</v>
      </c>
      <c r="AH51" s="615" t="s">
        <v>450</v>
      </c>
      <c r="AI51" s="615" t="s">
        <v>450</v>
      </c>
      <c r="AJ51" s="615" t="s">
        <v>450</v>
      </c>
      <c r="AK51" s="615" t="s">
        <v>450</v>
      </c>
      <c r="AL51" s="615" t="s">
        <v>450</v>
      </c>
      <c r="AM51" s="615" t="s">
        <v>450</v>
      </c>
      <c r="AN51" s="615" t="s">
        <v>450</v>
      </c>
      <c r="AO51" s="615" t="s">
        <v>450</v>
      </c>
      <c r="AP51" s="615" t="s">
        <v>450</v>
      </c>
      <c r="AQ51" s="616" t="s">
        <v>450</v>
      </c>
    </row>
    <row r="52" spans="1:43" s="605" customFormat="1" ht="15.75" hidden="1" customHeight="1" x14ac:dyDescent="0.3">
      <c r="A52" s="599" t="s">
        <v>208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07" t="s">
        <v>450</v>
      </c>
      <c r="P52" s="607" t="s">
        <v>450</v>
      </c>
      <c r="Q52" s="607" t="s">
        <v>450</v>
      </c>
      <c r="R52" s="607" t="s">
        <v>450</v>
      </c>
      <c r="S52" s="607" t="s">
        <v>450</v>
      </c>
      <c r="T52" s="617" t="s">
        <v>450</v>
      </c>
      <c r="U52" s="617" t="s">
        <v>450</v>
      </c>
      <c r="V52" s="617" t="s">
        <v>450</v>
      </c>
      <c r="W52" s="607">
        <v>1.8387503685821691</v>
      </c>
      <c r="X52" s="612">
        <v>1.82724</v>
      </c>
      <c r="Y52" s="612">
        <v>1.8113949314626021</v>
      </c>
      <c r="Z52" s="612">
        <v>1.8148687414494811</v>
      </c>
      <c r="AA52" s="613" t="s">
        <v>450</v>
      </c>
      <c r="AB52" s="613" t="s">
        <v>450</v>
      </c>
      <c r="AC52" s="613" t="s">
        <v>450</v>
      </c>
      <c r="AD52" s="614" t="s">
        <v>450</v>
      </c>
      <c r="AE52" s="614" t="s">
        <v>450</v>
      </c>
      <c r="AF52" s="614" t="s">
        <v>450</v>
      </c>
      <c r="AG52" s="614" t="s">
        <v>450</v>
      </c>
      <c r="AH52" s="615" t="s">
        <v>450</v>
      </c>
      <c r="AI52" s="615" t="s">
        <v>450</v>
      </c>
      <c r="AJ52" s="615" t="s">
        <v>450</v>
      </c>
      <c r="AK52" s="615" t="s">
        <v>450</v>
      </c>
      <c r="AL52" s="615" t="s">
        <v>450</v>
      </c>
      <c r="AM52" s="615" t="s">
        <v>450</v>
      </c>
      <c r="AN52" s="615" t="s">
        <v>450</v>
      </c>
      <c r="AO52" s="615" t="s">
        <v>450</v>
      </c>
      <c r="AP52" s="615" t="s">
        <v>450</v>
      </c>
      <c r="AQ52" s="616" t="s">
        <v>450</v>
      </c>
    </row>
    <row r="53" spans="1:43" s="605" customFormat="1" ht="15.75" hidden="1" customHeight="1" x14ac:dyDescent="0.3">
      <c r="A53" s="599" t="s">
        <v>333</v>
      </c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07" t="s">
        <v>450</v>
      </c>
      <c r="P53" s="607" t="s">
        <v>450</v>
      </c>
      <c r="Q53" s="607" t="s">
        <v>450</v>
      </c>
      <c r="R53" s="607" t="s">
        <v>450</v>
      </c>
      <c r="S53" s="607" t="s">
        <v>450</v>
      </c>
      <c r="T53" s="617" t="s">
        <v>450</v>
      </c>
      <c r="U53" s="617" t="s">
        <v>450</v>
      </c>
      <c r="V53" s="617" t="s">
        <v>450</v>
      </c>
      <c r="W53" s="617" t="s">
        <v>450</v>
      </c>
      <c r="X53" s="613" t="s">
        <v>450</v>
      </c>
      <c r="Y53" s="613" t="s">
        <v>450</v>
      </c>
      <c r="Z53" s="613" t="s">
        <v>450</v>
      </c>
      <c r="AA53" s="612">
        <v>1.7657998887516155</v>
      </c>
      <c r="AB53" s="613" t="s">
        <v>450</v>
      </c>
      <c r="AC53" s="613" t="s">
        <v>450</v>
      </c>
      <c r="AD53" s="614" t="s">
        <v>450</v>
      </c>
      <c r="AE53" s="614" t="s">
        <v>450</v>
      </c>
      <c r="AF53" s="614" t="s">
        <v>450</v>
      </c>
      <c r="AG53" s="614" t="s">
        <v>450</v>
      </c>
      <c r="AH53" s="615" t="s">
        <v>450</v>
      </c>
      <c r="AI53" s="615" t="s">
        <v>450</v>
      </c>
      <c r="AJ53" s="615" t="s">
        <v>450</v>
      </c>
      <c r="AK53" s="615" t="s">
        <v>450</v>
      </c>
      <c r="AL53" s="615" t="s">
        <v>450</v>
      </c>
      <c r="AM53" s="615" t="s">
        <v>450</v>
      </c>
      <c r="AN53" s="615" t="s">
        <v>450</v>
      </c>
      <c r="AO53" s="615" t="s">
        <v>450</v>
      </c>
      <c r="AP53" s="615" t="s">
        <v>450</v>
      </c>
      <c r="AQ53" s="616" t="s">
        <v>450</v>
      </c>
    </row>
    <row r="54" spans="1:43" s="605" customFormat="1" ht="15.75" customHeight="1" x14ac:dyDescent="0.3">
      <c r="A54" s="599" t="s">
        <v>551</v>
      </c>
      <c r="B54" s="647"/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07" t="s">
        <v>450</v>
      </c>
      <c r="P54" s="607" t="s">
        <v>450</v>
      </c>
      <c r="Q54" s="607" t="s">
        <v>450</v>
      </c>
      <c r="R54" s="607" t="s">
        <v>450</v>
      </c>
      <c r="S54" s="607" t="s">
        <v>450</v>
      </c>
      <c r="T54" s="617" t="s">
        <v>450</v>
      </c>
      <c r="U54" s="617" t="s">
        <v>450</v>
      </c>
      <c r="V54" s="617" t="s">
        <v>450</v>
      </c>
      <c r="W54" s="617" t="s">
        <v>450</v>
      </c>
      <c r="X54" s="613" t="s">
        <v>450</v>
      </c>
      <c r="Y54" s="613" t="s">
        <v>450</v>
      </c>
      <c r="Z54" s="613" t="s">
        <v>450</v>
      </c>
      <c r="AA54" s="613" t="s">
        <v>450</v>
      </c>
      <c r="AB54" s="612">
        <v>1.7065299946766948</v>
      </c>
      <c r="AC54" s="612">
        <v>1.7027324967518471</v>
      </c>
      <c r="AD54" s="618">
        <v>1.6931462207906822</v>
      </c>
      <c r="AE54" s="618">
        <v>1.6901845821893544</v>
      </c>
      <c r="AF54" s="618">
        <v>1.705699337159698</v>
      </c>
      <c r="AG54" s="618">
        <v>1.7177445028067597</v>
      </c>
      <c r="AH54" s="619">
        <v>1.7212034732115575</v>
      </c>
      <c r="AI54" s="619">
        <v>1.7250006404743998</v>
      </c>
      <c r="AJ54" s="619">
        <v>1.7231784306923905</v>
      </c>
      <c r="AK54" s="619">
        <v>1.7150000000000001</v>
      </c>
      <c r="AL54" s="619">
        <v>1.704765833976547</v>
      </c>
      <c r="AM54" s="619">
        <v>1.6940494729751747</v>
      </c>
      <c r="AN54" s="619">
        <v>1.6881427548165451</v>
      </c>
      <c r="AO54" s="619">
        <v>1.6811978463415846</v>
      </c>
      <c r="AP54" s="619">
        <v>1.6754100000000001</v>
      </c>
      <c r="AQ54" s="802">
        <f>+Table3WS2!S98</f>
        <v>1.67415</v>
      </c>
    </row>
    <row r="55" spans="1:43" s="578" customFormat="1" ht="15.75" customHeight="1" thickBot="1" x14ac:dyDescent="0.35">
      <c r="A55" s="620" t="s">
        <v>552</v>
      </c>
      <c r="B55" s="621">
        <v>14805</v>
      </c>
      <c r="C55" s="621">
        <v>16053</v>
      </c>
      <c r="D55" s="622">
        <v>17833</v>
      </c>
      <c r="E55" s="622">
        <v>18905</v>
      </c>
      <c r="F55" s="622">
        <v>19123</v>
      </c>
      <c r="G55" s="622">
        <v>19993</v>
      </c>
      <c r="H55" s="622">
        <v>20825</v>
      </c>
      <c r="I55" s="622">
        <v>21459</v>
      </c>
      <c r="J55" s="622">
        <v>22420</v>
      </c>
      <c r="K55" s="622">
        <v>23580</v>
      </c>
      <c r="L55" s="622">
        <v>24793</v>
      </c>
      <c r="M55" s="622">
        <v>26149</v>
      </c>
      <c r="N55" s="622">
        <v>26902</v>
      </c>
      <c r="O55" s="623">
        <v>30286</v>
      </c>
      <c r="P55" s="623">
        <v>31543</v>
      </c>
      <c r="Q55" s="623">
        <v>31670</v>
      </c>
      <c r="R55" s="623">
        <v>31993</v>
      </c>
      <c r="S55" s="623">
        <v>33749</v>
      </c>
      <c r="T55" s="623">
        <v>34035.956892588998</v>
      </c>
      <c r="U55" s="623">
        <v>35375.26999225295</v>
      </c>
      <c r="V55" s="623">
        <v>35795</v>
      </c>
      <c r="W55" s="635">
        <f>+W49/W52</f>
        <v>39909.197861215456</v>
      </c>
      <c r="X55" s="635">
        <f>+X49/X52</f>
        <v>41891.481140955759</v>
      </c>
      <c r="Y55" s="596">
        <f>+Y49/Y52</f>
        <v>44185.841831095728</v>
      </c>
      <c r="Z55" s="596">
        <f>+Z49/Z52</f>
        <v>45950.634547321046</v>
      </c>
      <c r="AA55" s="596">
        <f>+AA49/AA53</f>
        <v>47579.712709231208</v>
      </c>
      <c r="AB55" s="596">
        <f t="shared" ref="AB55:AH55" si="8">+AB49/AB54</f>
        <v>49809.052070615267</v>
      </c>
      <c r="AC55" s="596">
        <f t="shared" si="8"/>
        <v>51228.812612091082</v>
      </c>
      <c r="AD55" s="596">
        <f t="shared" si="8"/>
        <v>54001.222711328606</v>
      </c>
      <c r="AE55" s="596">
        <f t="shared" si="8"/>
        <v>56644.590809065332</v>
      </c>
      <c r="AF55" s="596">
        <f t="shared" si="8"/>
        <v>58926.019614925681</v>
      </c>
      <c r="AG55" s="596">
        <f t="shared" si="8"/>
        <v>59495.497680419205</v>
      </c>
      <c r="AH55" s="596">
        <f t="shared" si="8"/>
        <v>59651.975832215561</v>
      </c>
      <c r="AI55" s="596">
        <f>+AI49/AI54</f>
        <v>59698.027025700081</v>
      </c>
      <c r="AJ55" s="596">
        <f>+AJ49/AJ54</f>
        <v>60031.10543650086</v>
      </c>
      <c r="AK55" s="596">
        <v>61654</v>
      </c>
      <c r="AL55" s="596">
        <v>63290.247547306724</v>
      </c>
      <c r="AM55" s="596">
        <v>66440.759256956619</v>
      </c>
      <c r="AN55" s="596">
        <v>68647.633526415506</v>
      </c>
      <c r="AO55" s="596">
        <v>72504.264595599059</v>
      </c>
      <c r="AP55" s="596">
        <v>76202.839901874759</v>
      </c>
      <c r="AQ55" s="598">
        <f t="shared" ref="AQ55" si="9">+AQ49/AQ54</f>
        <v>81140.28014216169</v>
      </c>
    </row>
    <row r="56" spans="1:43" s="584" customFormat="1" ht="15.75" customHeight="1" x14ac:dyDescent="0.3">
      <c r="A56" s="579" t="s">
        <v>34</v>
      </c>
      <c r="B56" s="580"/>
      <c r="C56" s="580"/>
      <c r="D56" s="580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2"/>
      <c r="Y56" s="582"/>
      <c r="Z56" s="582"/>
      <c r="AA56" s="582"/>
      <c r="AB56" s="582"/>
      <c r="AC56" s="583"/>
      <c r="AD56" s="797"/>
      <c r="AE56" s="797"/>
      <c r="AF56" s="797"/>
      <c r="AG56" s="797"/>
      <c r="AH56" s="797"/>
      <c r="AI56" s="797"/>
      <c r="AJ56" s="797"/>
      <c r="AK56" s="797"/>
      <c r="AL56" s="797"/>
      <c r="AM56" s="797"/>
      <c r="AN56" s="797"/>
      <c r="AO56" s="797"/>
      <c r="AP56" s="797"/>
      <c r="AQ56" s="798"/>
    </row>
    <row r="57" spans="1:43" s="591" customFormat="1" ht="15.75" customHeight="1" x14ac:dyDescent="0.3">
      <c r="A57" s="585" t="s">
        <v>22</v>
      </c>
      <c r="B57" s="586">
        <v>33381</v>
      </c>
      <c r="C57" s="586">
        <v>33591</v>
      </c>
      <c r="D57" s="586">
        <v>33304</v>
      </c>
      <c r="E57" s="586">
        <v>32607</v>
      </c>
      <c r="F57" s="586">
        <v>31748</v>
      </c>
      <c r="G57" s="586">
        <v>32410</v>
      </c>
      <c r="H57" s="586">
        <v>33049</v>
      </c>
      <c r="I57" s="586">
        <v>33382</v>
      </c>
      <c r="J57" s="586">
        <v>34347</v>
      </c>
      <c r="K57" s="586">
        <v>35077</v>
      </c>
      <c r="L57" s="586">
        <v>35885</v>
      </c>
      <c r="M57" s="586">
        <v>37432</v>
      </c>
      <c r="N57" s="586">
        <v>38886</v>
      </c>
      <c r="O57" s="587">
        <v>40328</v>
      </c>
      <c r="P57" s="587">
        <v>41582</v>
      </c>
      <c r="Q57" s="587">
        <v>42609</v>
      </c>
      <c r="R57" s="587">
        <v>43482</v>
      </c>
      <c r="S57" s="587">
        <v>45420</v>
      </c>
      <c r="T57" s="587">
        <v>46608</v>
      </c>
      <c r="U57" s="587">
        <v>47150.378999999994</v>
      </c>
      <c r="V57" s="587">
        <v>47501.37</v>
      </c>
      <c r="W57" s="587">
        <v>47903.331999999995</v>
      </c>
      <c r="X57" s="588">
        <v>47642.04</v>
      </c>
      <c r="Y57" s="588">
        <v>48129.62</v>
      </c>
      <c r="Z57" s="588">
        <v>47983.38</v>
      </c>
      <c r="AA57" s="588">
        <v>47715.93</v>
      </c>
      <c r="AB57" s="588">
        <v>47546.94</v>
      </c>
      <c r="AC57" s="588">
        <v>47538.67</v>
      </c>
      <c r="AD57" s="589">
        <v>47533.740000000013</v>
      </c>
      <c r="AE57" s="589">
        <v>45951.360000000001</v>
      </c>
      <c r="AF57" s="589">
        <v>46348.740000000005</v>
      </c>
      <c r="AG57" s="589">
        <v>46786.850000000006</v>
      </c>
      <c r="AH57" s="627">
        <v>48066.589999999989</v>
      </c>
      <c r="AI57" s="627">
        <v>48042.510000000017</v>
      </c>
      <c r="AJ57" s="627">
        <v>48563.889999999985</v>
      </c>
      <c r="AK57" s="627">
        <v>49732.1</v>
      </c>
      <c r="AL57" s="627">
        <v>51370.450000000004</v>
      </c>
      <c r="AM57" s="627">
        <v>53113.39</v>
      </c>
      <c r="AN57" s="627">
        <v>54884.070000000007</v>
      </c>
      <c r="AO57" s="627">
        <v>55860.740000000013</v>
      </c>
      <c r="AP57" s="627">
        <v>57054.44</v>
      </c>
      <c r="AQ57" s="628">
        <f>+Table3WS2!S12</f>
        <v>57198.57</v>
      </c>
    </row>
    <row r="58" spans="1:43" s="578" customFormat="1" ht="15.75" customHeight="1" x14ac:dyDescent="0.3">
      <c r="A58" s="592" t="s">
        <v>448</v>
      </c>
      <c r="B58" s="593">
        <v>17628</v>
      </c>
      <c r="C58" s="593">
        <v>19292</v>
      </c>
      <c r="D58" s="594">
        <v>21664</v>
      </c>
      <c r="E58" s="594">
        <v>23338</v>
      </c>
      <c r="F58" s="594">
        <v>23877</v>
      </c>
      <c r="G58" s="594">
        <v>24810</v>
      </c>
      <c r="H58" s="594">
        <v>25929</v>
      </c>
      <c r="I58" s="594">
        <v>26630</v>
      </c>
      <c r="J58" s="594">
        <v>27700</v>
      </c>
      <c r="K58" s="594">
        <v>28604</v>
      </c>
      <c r="L58" s="594">
        <v>29583</v>
      </c>
      <c r="M58" s="594">
        <v>30837</v>
      </c>
      <c r="N58" s="594">
        <v>33501</v>
      </c>
      <c r="O58" s="478">
        <v>35272</v>
      </c>
      <c r="P58" s="478">
        <v>36182</v>
      </c>
      <c r="Q58" s="478">
        <v>36283</v>
      </c>
      <c r="R58" s="478">
        <v>36575</v>
      </c>
      <c r="S58" s="478">
        <v>38291</v>
      </c>
      <c r="T58" s="478">
        <v>38256.813484594917</v>
      </c>
      <c r="U58" s="478">
        <v>39213.366550251587</v>
      </c>
      <c r="V58" s="478">
        <v>39120</v>
      </c>
      <c r="W58" s="478">
        <v>41524.455584843323</v>
      </c>
      <c r="X58" s="595">
        <v>42760.26</v>
      </c>
      <c r="Y58" s="596">
        <v>44321.66564311125</v>
      </c>
      <c r="Z58" s="596">
        <v>45632.16827347302</v>
      </c>
      <c r="AA58" s="596">
        <v>45961.722492467408</v>
      </c>
      <c r="AB58" s="596">
        <v>46195.909677888856</v>
      </c>
      <c r="AC58" s="596">
        <v>46766.463670313038</v>
      </c>
      <c r="AD58" s="597">
        <v>48269.181740590982</v>
      </c>
      <c r="AE58" s="597">
        <v>50299.788111603244</v>
      </c>
      <c r="AF58" s="597">
        <v>52983.706160296897</v>
      </c>
      <c r="AG58" s="597">
        <v>53392.304795043885</v>
      </c>
      <c r="AH58" s="596">
        <v>53298.090803196152</v>
      </c>
      <c r="AI58" s="596">
        <v>52642.638444785662</v>
      </c>
      <c r="AJ58" s="596">
        <v>52645.5250551387</v>
      </c>
      <c r="AK58" s="596">
        <v>53380</v>
      </c>
      <c r="AL58" s="596">
        <v>52890.878722884474</v>
      </c>
      <c r="AM58" s="596">
        <v>54072.562489421223</v>
      </c>
      <c r="AN58" s="596">
        <v>54804.179738310217</v>
      </c>
      <c r="AO58" s="596">
        <v>56036.838805393541</v>
      </c>
      <c r="AP58" s="596">
        <v>73628</v>
      </c>
      <c r="AQ58" s="598">
        <f>+Table3WS2!S63</f>
        <v>77266</v>
      </c>
    </row>
    <row r="59" spans="1:43" s="605" customFormat="1" ht="15.75" hidden="1" customHeight="1" x14ac:dyDescent="0.3">
      <c r="A59" s="599" t="s">
        <v>23</v>
      </c>
      <c r="B59" s="600">
        <v>1.5580000000000001</v>
      </c>
      <c r="C59" s="600">
        <v>1.57</v>
      </c>
      <c r="D59" s="600">
        <v>1.5920000000000001</v>
      </c>
      <c r="E59" s="600">
        <v>1.619</v>
      </c>
      <c r="F59" s="600">
        <v>1.6319999999999999</v>
      </c>
      <c r="G59" s="600">
        <v>1.6359999999999999</v>
      </c>
      <c r="H59" s="600">
        <v>1.641</v>
      </c>
      <c r="I59" s="600">
        <v>1.651</v>
      </c>
      <c r="J59" s="600">
        <v>1.657</v>
      </c>
      <c r="K59" s="600">
        <v>1.663</v>
      </c>
      <c r="L59" s="600">
        <v>1.675</v>
      </c>
      <c r="M59" s="600">
        <v>1.6759999999999999</v>
      </c>
      <c r="N59" s="600">
        <v>1.6870000000000001</v>
      </c>
      <c r="O59" s="601" t="s">
        <v>450</v>
      </c>
      <c r="P59" s="601" t="s">
        <v>450</v>
      </c>
      <c r="Q59" s="601" t="s">
        <v>450</v>
      </c>
      <c r="R59" s="601" t="s">
        <v>450</v>
      </c>
      <c r="S59" s="601" t="s">
        <v>450</v>
      </c>
      <c r="T59" s="601" t="s">
        <v>450</v>
      </c>
      <c r="U59" s="601" t="s">
        <v>450</v>
      </c>
      <c r="V59" s="601" t="s">
        <v>450</v>
      </c>
      <c r="W59" s="601" t="s">
        <v>450</v>
      </c>
      <c r="X59" s="601" t="s">
        <v>450</v>
      </c>
      <c r="Y59" s="601" t="s">
        <v>450</v>
      </c>
      <c r="Z59" s="601" t="s">
        <v>450</v>
      </c>
      <c r="AA59" s="601" t="s">
        <v>450</v>
      </c>
      <c r="AB59" s="601" t="s">
        <v>450</v>
      </c>
      <c r="AC59" s="601" t="s">
        <v>450</v>
      </c>
      <c r="AD59" s="602" t="s">
        <v>450</v>
      </c>
      <c r="AE59" s="602" t="s">
        <v>450</v>
      </c>
      <c r="AF59" s="602" t="s">
        <v>450</v>
      </c>
      <c r="AG59" s="602" t="s">
        <v>450</v>
      </c>
      <c r="AH59" s="603" t="s">
        <v>450</v>
      </c>
      <c r="AI59" s="603" t="s">
        <v>450</v>
      </c>
      <c r="AJ59" s="603" t="s">
        <v>450</v>
      </c>
      <c r="AK59" s="603" t="s">
        <v>450</v>
      </c>
      <c r="AL59" s="603" t="s">
        <v>450</v>
      </c>
      <c r="AM59" s="603" t="s">
        <v>450</v>
      </c>
      <c r="AN59" s="603" t="s">
        <v>450</v>
      </c>
      <c r="AO59" s="603" t="s">
        <v>450</v>
      </c>
      <c r="AP59" s="603" t="s">
        <v>450</v>
      </c>
      <c r="AQ59" s="604" t="s">
        <v>450</v>
      </c>
    </row>
    <row r="60" spans="1:43" s="605" customFormat="1" ht="15.75" hidden="1" customHeight="1" x14ac:dyDescent="0.3">
      <c r="A60" s="599" t="s">
        <v>25</v>
      </c>
      <c r="B60" s="600" t="s">
        <v>450</v>
      </c>
      <c r="C60" s="600" t="s">
        <v>450</v>
      </c>
      <c r="D60" s="600" t="s">
        <v>450</v>
      </c>
      <c r="E60" s="600" t="s">
        <v>450</v>
      </c>
      <c r="F60" s="600" t="s">
        <v>450</v>
      </c>
      <c r="G60" s="600" t="s">
        <v>450</v>
      </c>
      <c r="H60" s="600" t="s">
        <v>450</v>
      </c>
      <c r="I60" s="600" t="s">
        <v>450</v>
      </c>
      <c r="J60" s="600" t="s">
        <v>450</v>
      </c>
      <c r="K60" s="600" t="s">
        <v>450</v>
      </c>
      <c r="L60" s="600" t="s">
        <v>450</v>
      </c>
      <c r="M60" s="600" t="s">
        <v>450</v>
      </c>
      <c r="N60" s="600">
        <v>1.6679999999999999</v>
      </c>
      <c r="O60" s="607">
        <v>1.6859999999999999</v>
      </c>
      <c r="P60" s="607">
        <v>1.6759999999999999</v>
      </c>
      <c r="Q60" s="607">
        <v>1.6830000000000001</v>
      </c>
      <c r="R60" s="607">
        <v>1.69</v>
      </c>
      <c r="S60" s="607">
        <v>1.7020599999999999</v>
      </c>
      <c r="T60" s="607">
        <v>1.7013972964340882</v>
      </c>
      <c r="U60" s="607">
        <v>1.7006280939314442</v>
      </c>
      <c r="V60" s="607">
        <v>1.696</v>
      </c>
      <c r="W60" s="617" t="s">
        <v>450</v>
      </c>
      <c r="X60" s="617" t="s">
        <v>450</v>
      </c>
      <c r="Y60" s="613" t="s">
        <v>450</v>
      </c>
      <c r="Z60" s="613" t="s">
        <v>450</v>
      </c>
      <c r="AA60" s="613" t="s">
        <v>450</v>
      </c>
      <c r="AB60" s="613" t="s">
        <v>450</v>
      </c>
      <c r="AC60" s="613" t="s">
        <v>450</v>
      </c>
      <c r="AD60" s="614" t="s">
        <v>450</v>
      </c>
      <c r="AE60" s="614" t="s">
        <v>450</v>
      </c>
      <c r="AF60" s="614" t="s">
        <v>450</v>
      </c>
      <c r="AG60" s="614" t="s">
        <v>450</v>
      </c>
      <c r="AH60" s="615" t="s">
        <v>450</v>
      </c>
      <c r="AI60" s="615" t="s">
        <v>450</v>
      </c>
      <c r="AJ60" s="615" t="s">
        <v>450</v>
      </c>
      <c r="AK60" s="615" t="s">
        <v>450</v>
      </c>
      <c r="AL60" s="615" t="s">
        <v>450</v>
      </c>
      <c r="AM60" s="615" t="s">
        <v>450</v>
      </c>
      <c r="AN60" s="615" t="s">
        <v>450</v>
      </c>
      <c r="AO60" s="615" t="s">
        <v>450</v>
      </c>
      <c r="AP60" s="615" t="s">
        <v>450</v>
      </c>
      <c r="AQ60" s="616" t="s">
        <v>450</v>
      </c>
    </row>
    <row r="61" spans="1:43" s="605" customFormat="1" ht="15.75" hidden="1" customHeight="1" x14ac:dyDescent="0.3">
      <c r="A61" s="599" t="s">
        <v>208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07" t="s">
        <v>450</v>
      </c>
      <c r="P61" s="607" t="s">
        <v>450</v>
      </c>
      <c r="Q61" s="607" t="s">
        <v>450</v>
      </c>
      <c r="R61" s="607" t="s">
        <v>450</v>
      </c>
      <c r="S61" s="607" t="s">
        <v>450</v>
      </c>
      <c r="T61" s="617" t="s">
        <v>450</v>
      </c>
      <c r="U61" s="617" t="s">
        <v>450</v>
      </c>
      <c r="V61" s="617" t="s">
        <v>450</v>
      </c>
      <c r="W61" s="607">
        <v>1.6064652367072789</v>
      </c>
      <c r="X61" s="612">
        <v>1.6067100000000001</v>
      </c>
      <c r="Y61" s="612">
        <v>1.6064051676514375</v>
      </c>
      <c r="Z61" s="612">
        <v>1.605744468145011</v>
      </c>
      <c r="AA61" s="613" t="s">
        <v>450</v>
      </c>
      <c r="AB61" s="613" t="s">
        <v>450</v>
      </c>
      <c r="AC61" s="613" t="s">
        <v>450</v>
      </c>
      <c r="AD61" s="614" t="s">
        <v>450</v>
      </c>
      <c r="AE61" s="614" t="s">
        <v>450</v>
      </c>
      <c r="AF61" s="614" t="s">
        <v>450</v>
      </c>
      <c r="AG61" s="614" t="s">
        <v>450</v>
      </c>
      <c r="AH61" s="615" t="s">
        <v>450</v>
      </c>
      <c r="AI61" s="615" t="s">
        <v>450</v>
      </c>
      <c r="AJ61" s="615" t="s">
        <v>450</v>
      </c>
      <c r="AK61" s="615" t="s">
        <v>450</v>
      </c>
      <c r="AL61" s="615" t="s">
        <v>450</v>
      </c>
      <c r="AM61" s="615" t="s">
        <v>450</v>
      </c>
      <c r="AN61" s="615" t="s">
        <v>450</v>
      </c>
      <c r="AO61" s="615" t="s">
        <v>450</v>
      </c>
      <c r="AP61" s="615" t="s">
        <v>450</v>
      </c>
      <c r="AQ61" s="616" t="s">
        <v>450</v>
      </c>
    </row>
    <row r="62" spans="1:43" s="605" customFormat="1" ht="15.75" hidden="1" customHeight="1" x14ac:dyDescent="0.3">
      <c r="A62" s="599" t="s">
        <v>333</v>
      </c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07" t="s">
        <v>450</v>
      </c>
      <c r="P62" s="607" t="s">
        <v>450</v>
      </c>
      <c r="Q62" s="607" t="s">
        <v>450</v>
      </c>
      <c r="R62" s="607" t="s">
        <v>450</v>
      </c>
      <c r="S62" s="607" t="s">
        <v>450</v>
      </c>
      <c r="T62" s="617" t="s">
        <v>450</v>
      </c>
      <c r="U62" s="617" t="s">
        <v>450</v>
      </c>
      <c r="V62" s="617" t="s">
        <v>450</v>
      </c>
      <c r="W62" s="617" t="s">
        <v>450</v>
      </c>
      <c r="X62" s="613" t="s">
        <v>450</v>
      </c>
      <c r="Y62" s="613" t="s">
        <v>450</v>
      </c>
      <c r="Z62" s="613" t="s">
        <v>450</v>
      </c>
      <c r="AA62" s="612">
        <v>1.5696024713360928</v>
      </c>
      <c r="AB62" s="613" t="s">
        <v>450</v>
      </c>
      <c r="AC62" s="613" t="s">
        <v>450</v>
      </c>
      <c r="AD62" s="614" t="s">
        <v>450</v>
      </c>
      <c r="AE62" s="614" t="s">
        <v>450</v>
      </c>
      <c r="AF62" s="614" t="s">
        <v>450</v>
      </c>
      <c r="AG62" s="614" t="s">
        <v>450</v>
      </c>
      <c r="AH62" s="615" t="s">
        <v>450</v>
      </c>
      <c r="AI62" s="615" t="s">
        <v>450</v>
      </c>
      <c r="AJ62" s="615" t="s">
        <v>450</v>
      </c>
      <c r="AK62" s="615" t="s">
        <v>450</v>
      </c>
      <c r="AL62" s="615" t="s">
        <v>450</v>
      </c>
      <c r="AM62" s="615" t="s">
        <v>450</v>
      </c>
      <c r="AN62" s="615" t="s">
        <v>450</v>
      </c>
      <c r="AO62" s="615" t="s">
        <v>450</v>
      </c>
      <c r="AP62" s="615" t="s">
        <v>450</v>
      </c>
      <c r="AQ62" s="616" t="s">
        <v>450</v>
      </c>
    </row>
    <row r="63" spans="1:43" s="605" customFormat="1" ht="15.75" customHeight="1" x14ac:dyDescent="0.3">
      <c r="A63" s="599" t="s">
        <v>551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07" t="s">
        <v>450</v>
      </c>
      <c r="P63" s="607" t="s">
        <v>450</v>
      </c>
      <c r="Q63" s="607" t="s">
        <v>450</v>
      </c>
      <c r="R63" s="607" t="s">
        <v>450</v>
      </c>
      <c r="S63" s="607" t="s">
        <v>450</v>
      </c>
      <c r="T63" s="617" t="s">
        <v>450</v>
      </c>
      <c r="U63" s="617" t="s">
        <v>450</v>
      </c>
      <c r="V63" s="617" t="s">
        <v>450</v>
      </c>
      <c r="W63" s="617" t="s">
        <v>450</v>
      </c>
      <c r="X63" s="613" t="s">
        <v>450</v>
      </c>
      <c r="Y63" s="613" t="s">
        <v>450</v>
      </c>
      <c r="Z63" s="613" t="s">
        <v>450</v>
      </c>
      <c r="AA63" s="613" t="s">
        <v>450</v>
      </c>
      <c r="AB63" s="612">
        <v>1.5314514997831621</v>
      </c>
      <c r="AC63" s="612">
        <v>1.531819126645739</v>
      </c>
      <c r="AD63" s="618">
        <v>1.5306898582796136</v>
      </c>
      <c r="AE63" s="618">
        <v>1.5304899999999999</v>
      </c>
      <c r="AF63" s="618">
        <v>1.5360693003995363</v>
      </c>
      <c r="AG63" s="618">
        <v>1.5563387204054131</v>
      </c>
      <c r="AH63" s="619">
        <v>1.5615990462606149</v>
      </c>
      <c r="AI63" s="619">
        <v>1.5718439332561926</v>
      </c>
      <c r="AJ63" s="619">
        <v>1.5721104451990979</v>
      </c>
      <c r="AK63" s="619">
        <v>1.5640000000000001</v>
      </c>
      <c r="AL63" s="619">
        <v>1.5508677126032577</v>
      </c>
      <c r="AM63" s="619">
        <v>1.539607453691056</v>
      </c>
      <c r="AN63" s="619">
        <v>1.5325956650900705</v>
      </c>
      <c r="AO63" s="619">
        <v>1.5305330093496787</v>
      </c>
      <c r="AP63" s="619">
        <v>1.5270999999999999</v>
      </c>
      <c r="AQ63" s="802">
        <f>+Table3WS2!S106</f>
        <v>1.5375000000000001</v>
      </c>
    </row>
    <row r="64" spans="1:43" s="578" customFormat="1" ht="15.75" customHeight="1" thickBot="1" x14ac:dyDescent="0.35">
      <c r="A64" s="620" t="s">
        <v>552</v>
      </c>
      <c r="B64" s="621">
        <v>11315</v>
      </c>
      <c r="C64" s="621">
        <v>12285</v>
      </c>
      <c r="D64" s="622">
        <v>13608</v>
      </c>
      <c r="E64" s="622">
        <v>14412</v>
      </c>
      <c r="F64" s="622">
        <v>14629</v>
      </c>
      <c r="G64" s="622">
        <v>15165</v>
      </c>
      <c r="H64" s="622">
        <v>15801</v>
      </c>
      <c r="I64" s="622">
        <v>16130</v>
      </c>
      <c r="J64" s="622">
        <v>16717</v>
      </c>
      <c r="K64" s="622">
        <v>17200</v>
      </c>
      <c r="L64" s="622">
        <v>17666</v>
      </c>
      <c r="M64" s="622">
        <v>18399</v>
      </c>
      <c r="N64" s="622">
        <v>18932</v>
      </c>
      <c r="O64" s="623">
        <v>20919</v>
      </c>
      <c r="P64" s="623">
        <v>21589</v>
      </c>
      <c r="Q64" s="623">
        <v>21560</v>
      </c>
      <c r="R64" s="623">
        <v>21647</v>
      </c>
      <c r="S64" s="623">
        <v>22497</v>
      </c>
      <c r="T64" s="623">
        <v>22485.526199422275</v>
      </c>
      <c r="U64" s="623">
        <v>23058.16697382653</v>
      </c>
      <c r="V64" s="623">
        <v>23063</v>
      </c>
      <c r="W64" s="635">
        <f>+W58/W61</f>
        <v>25848.337477849622</v>
      </c>
      <c r="X64" s="635">
        <f>+X58/X61</f>
        <v>26613.551916649551</v>
      </c>
      <c r="Y64" s="596">
        <f>+Y58/Y61</f>
        <v>27590.589557122425</v>
      </c>
      <c r="Z64" s="596">
        <f>+Z58/Z61</f>
        <v>28418.075963349409</v>
      </c>
      <c r="AA64" s="596">
        <f>+AA58/AA62</f>
        <v>29282.396869153377</v>
      </c>
      <c r="AB64" s="596">
        <f t="shared" ref="AB64:AH64" si="10">+AB58/AB63</f>
        <v>30164.787905088557</v>
      </c>
      <c r="AC64" s="596">
        <f t="shared" si="10"/>
        <v>30530.01679951515</v>
      </c>
      <c r="AD64" s="596">
        <f t="shared" si="10"/>
        <v>31534.266382898822</v>
      </c>
      <c r="AE64" s="596">
        <f t="shared" si="10"/>
        <v>32865.153063138765</v>
      </c>
      <c r="AF64" s="596">
        <f t="shared" si="10"/>
        <v>34493.044126665169</v>
      </c>
      <c r="AG64" s="596">
        <f t="shared" si="10"/>
        <v>34306.352527896779</v>
      </c>
      <c r="AH64" s="596">
        <f t="shared" si="10"/>
        <v>34130.458090905653</v>
      </c>
      <c r="AI64" s="596">
        <f>+AI58/AI63</f>
        <v>33491.008446196363</v>
      </c>
      <c r="AJ64" s="596">
        <f>+AJ58/AJ63</f>
        <v>33487.167021825539</v>
      </c>
      <c r="AK64" s="596">
        <v>34134</v>
      </c>
      <c r="AL64" s="596">
        <v>34104.055615486912</v>
      </c>
      <c r="AM64" s="596">
        <v>35121.00591601296</v>
      </c>
      <c r="AN64" s="596">
        <v>35759.059604993323</v>
      </c>
      <c r="AO64" s="596">
        <v>36612.63002044204</v>
      </c>
      <c r="AP64" s="596">
        <v>48214.262327287019</v>
      </c>
      <c r="AQ64" s="598">
        <f t="shared" ref="AQ64" si="11">+AQ58/AQ63</f>
        <v>50254.308943089425</v>
      </c>
    </row>
    <row r="65" spans="1:43" s="584" customFormat="1" ht="15.75" customHeight="1" x14ac:dyDescent="0.3">
      <c r="A65" s="579" t="s">
        <v>543</v>
      </c>
      <c r="B65" s="580"/>
      <c r="C65" s="580"/>
      <c r="D65" s="580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2"/>
      <c r="Y65" s="582"/>
      <c r="Z65" s="582"/>
      <c r="AA65" s="582"/>
      <c r="AB65" s="582"/>
      <c r="AC65" s="583"/>
      <c r="AD65" s="797"/>
      <c r="AE65" s="797"/>
      <c r="AF65" s="797"/>
      <c r="AG65" s="797"/>
      <c r="AH65" s="797"/>
      <c r="AI65" s="797"/>
      <c r="AJ65" s="797"/>
      <c r="AK65" s="797"/>
      <c r="AL65" s="797"/>
      <c r="AM65" s="797"/>
      <c r="AN65" s="797"/>
      <c r="AO65" s="797"/>
      <c r="AP65" s="797"/>
      <c r="AQ65" s="798"/>
    </row>
    <row r="66" spans="1:43" s="591" customFormat="1" ht="15.75" customHeight="1" x14ac:dyDescent="0.3">
      <c r="A66" s="585" t="s">
        <v>22</v>
      </c>
      <c r="B66" s="586">
        <v>11727</v>
      </c>
      <c r="C66" s="586">
        <v>12444</v>
      </c>
      <c r="D66" s="586">
        <v>12612</v>
      </c>
      <c r="E66" s="586">
        <v>12107</v>
      </c>
      <c r="F66" s="586">
        <v>11838</v>
      </c>
      <c r="G66" s="586">
        <v>12259</v>
      </c>
      <c r="H66" s="586">
        <v>12582</v>
      </c>
      <c r="I66" s="586">
        <v>12753</v>
      </c>
      <c r="J66" s="586">
        <v>13108</v>
      </c>
      <c r="K66" s="586">
        <v>13446</v>
      </c>
      <c r="L66" s="586">
        <v>13843</v>
      </c>
      <c r="M66" s="586">
        <v>14201</v>
      </c>
      <c r="N66" s="586">
        <v>14844</v>
      </c>
      <c r="O66" s="587">
        <v>15448</v>
      </c>
      <c r="P66" s="587">
        <v>16012</v>
      </c>
      <c r="Q66" s="587">
        <v>16387</v>
      </c>
      <c r="R66" s="587">
        <v>16752</v>
      </c>
      <c r="S66" s="587">
        <v>17053</v>
      </c>
      <c r="T66" s="587">
        <v>17558.04</v>
      </c>
      <c r="U66" s="587">
        <v>18126.633999999998</v>
      </c>
      <c r="V66" s="587">
        <v>18339.419999999998</v>
      </c>
      <c r="W66" s="587">
        <v>18872.826000000001</v>
      </c>
      <c r="X66" s="588">
        <v>18843.22</v>
      </c>
      <c r="Y66" s="588">
        <v>19226.84</v>
      </c>
      <c r="Z66" s="588">
        <v>19410.830000000002</v>
      </c>
      <c r="AA66" s="588">
        <v>19374.32</v>
      </c>
      <c r="AB66" s="588">
        <v>19481.580000000002</v>
      </c>
      <c r="AC66" s="588">
        <v>19575.810000000001</v>
      </c>
      <c r="AD66" s="589">
        <v>19607.25</v>
      </c>
      <c r="AE66" s="589">
        <v>19745.21</v>
      </c>
      <c r="AF66" s="589">
        <v>19861.550000000003</v>
      </c>
      <c r="AG66" s="589">
        <v>19308.080000000002</v>
      </c>
      <c r="AH66" s="627">
        <v>19246.650000000001</v>
      </c>
      <c r="AI66" s="627">
        <v>19209.03</v>
      </c>
      <c r="AJ66" s="627">
        <v>19355.879999999997</v>
      </c>
      <c r="AK66" s="627">
        <v>19823.599999999999</v>
      </c>
      <c r="AL66" s="627">
        <v>20568.379999999997</v>
      </c>
      <c r="AM66" s="627">
        <v>21188.250000000004</v>
      </c>
      <c r="AN66" s="627">
        <v>22010.9</v>
      </c>
      <c r="AO66" s="627">
        <v>22330.5</v>
      </c>
      <c r="AP66" s="627">
        <v>22973.05</v>
      </c>
      <c r="AQ66" s="628">
        <f>+Table3WS2!S34</f>
        <v>22767.72</v>
      </c>
    </row>
    <row r="67" spans="1:43" s="578" customFormat="1" ht="15.75" customHeight="1" thickBot="1" x14ac:dyDescent="0.35">
      <c r="A67" s="592" t="s">
        <v>448</v>
      </c>
      <c r="B67" s="593">
        <v>12444</v>
      </c>
      <c r="C67" s="593">
        <v>13442</v>
      </c>
      <c r="D67" s="594">
        <v>14775</v>
      </c>
      <c r="E67" s="594">
        <v>15875</v>
      </c>
      <c r="F67" s="594">
        <v>16035</v>
      </c>
      <c r="G67" s="594">
        <v>16880</v>
      </c>
      <c r="H67" s="594">
        <v>17777</v>
      </c>
      <c r="I67" s="594">
        <v>18217</v>
      </c>
      <c r="J67" s="594">
        <v>18778</v>
      </c>
      <c r="K67" s="594">
        <v>19539</v>
      </c>
      <c r="L67" s="594">
        <v>20458</v>
      </c>
      <c r="M67" s="594">
        <v>21453</v>
      </c>
      <c r="N67" s="594">
        <v>22562</v>
      </c>
      <c r="O67" s="478">
        <v>23826</v>
      </c>
      <c r="P67" s="478">
        <v>24769</v>
      </c>
      <c r="Q67" s="478">
        <v>25117</v>
      </c>
      <c r="R67" s="478">
        <v>25469</v>
      </c>
      <c r="S67" s="478">
        <v>26541</v>
      </c>
      <c r="T67" s="478">
        <v>26772.761163546729</v>
      </c>
      <c r="U67" s="478">
        <v>27867.965079433794</v>
      </c>
      <c r="V67" s="478">
        <v>28207</v>
      </c>
      <c r="W67" s="478">
        <v>29442.864147637389</v>
      </c>
      <c r="X67" s="595">
        <v>30766</v>
      </c>
      <c r="Y67" s="596">
        <v>32208.438903636801</v>
      </c>
      <c r="Z67" s="596">
        <v>33753.052144086578</v>
      </c>
      <c r="AA67" s="596">
        <v>34051.545928321611</v>
      </c>
      <c r="AB67" s="596">
        <v>34813.604527456191</v>
      </c>
      <c r="AC67" s="596">
        <v>35720.370517490723</v>
      </c>
      <c r="AD67" s="597">
        <v>37209.707490851601</v>
      </c>
      <c r="AE67" s="597">
        <v>38934</v>
      </c>
      <c r="AF67" s="597">
        <v>41144.804902940596</v>
      </c>
      <c r="AG67" s="597">
        <v>41656.081658559524</v>
      </c>
      <c r="AH67" s="596">
        <v>41849.153491127021</v>
      </c>
      <c r="AI67" s="596">
        <v>41899.51490575006</v>
      </c>
      <c r="AJ67" s="596">
        <v>42247.171894018771</v>
      </c>
      <c r="AK67" s="596">
        <v>43200</v>
      </c>
      <c r="AL67" s="596">
        <v>44249.260320939233</v>
      </c>
      <c r="AM67" s="596">
        <v>46326</v>
      </c>
      <c r="AN67" s="596">
        <v>48153.677290342508</v>
      </c>
      <c r="AO67" s="596">
        <v>50915.085662210884</v>
      </c>
      <c r="AP67" s="596">
        <v>54172</v>
      </c>
      <c r="AQ67" s="598">
        <f>+Table3WS2!S84</f>
        <v>57668</v>
      </c>
    </row>
    <row r="68" spans="1:43" s="464" customFormat="1" ht="17.25" hidden="1" thickBot="1" x14ac:dyDescent="0.35">
      <c r="A68" s="648" t="s">
        <v>27</v>
      </c>
      <c r="B68" s="600" t="s">
        <v>24</v>
      </c>
      <c r="C68" s="600" t="s">
        <v>24</v>
      </c>
      <c r="D68" s="600" t="s">
        <v>24</v>
      </c>
      <c r="E68" s="600" t="s">
        <v>24</v>
      </c>
      <c r="F68" s="600" t="s">
        <v>24</v>
      </c>
      <c r="G68" s="600" t="s">
        <v>24</v>
      </c>
      <c r="H68" s="600" t="s">
        <v>24</v>
      </c>
      <c r="I68" s="600">
        <v>1.1970000000000001</v>
      </c>
      <c r="J68" s="600">
        <v>1.1970000000000001</v>
      </c>
      <c r="K68" s="600" t="s">
        <v>24</v>
      </c>
      <c r="L68" s="600" t="s">
        <v>24</v>
      </c>
      <c r="M68" s="600" t="s">
        <v>24</v>
      </c>
      <c r="N68" s="600" t="s">
        <v>24</v>
      </c>
      <c r="O68" s="601" t="s">
        <v>24</v>
      </c>
      <c r="P68" s="601" t="s">
        <v>24</v>
      </c>
      <c r="Q68" s="601" t="s">
        <v>24</v>
      </c>
      <c r="R68" s="601" t="s">
        <v>24</v>
      </c>
      <c r="S68" s="601" t="s">
        <v>24</v>
      </c>
      <c r="T68" s="601" t="s">
        <v>24</v>
      </c>
      <c r="U68" s="601" t="s">
        <v>24</v>
      </c>
      <c r="V68" s="601" t="s">
        <v>24</v>
      </c>
      <c r="W68" s="601" t="s">
        <v>24</v>
      </c>
      <c r="X68" s="601" t="s">
        <v>24</v>
      </c>
      <c r="Y68" s="601" t="s">
        <v>24</v>
      </c>
      <c r="Z68" s="601" t="s">
        <v>24</v>
      </c>
      <c r="AA68" s="601" t="s">
        <v>24</v>
      </c>
      <c r="AB68" s="649" t="s">
        <v>24</v>
      </c>
      <c r="AC68" s="649" t="s">
        <v>24</v>
      </c>
      <c r="AD68" s="649" t="s">
        <v>24</v>
      </c>
      <c r="AE68" s="649" t="s">
        <v>24</v>
      </c>
      <c r="AF68" s="649" t="s">
        <v>24</v>
      </c>
      <c r="AG68" s="649" t="s">
        <v>24</v>
      </c>
      <c r="AH68" s="649" t="s">
        <v>24</v>
      </c>
      <c r="AI68" s="649" t="s">
        <v>24</v>
      </c>
      <c r="AJ68" s="649" t="s">
        <v>24</v>
      </c>
      <c r="AK68" s="649" t="s">
        <v>24</v>
      </c>
      <c r="AL68" s="649" t="s">
        <v>24</v>
      </c>
      <c r="AM68" s="649" t="s">
        <v>24</v>
      </c>
      <c r="AN68" s="649" t="s">
        <v>24</v>
      </c>
      <c r="AO68" s="649" t="s">
        <v>24</v>
      </c>
      <c r="AP68" s="649" t="s">
        <v>24</v>
      </c>
      <c r="AQ68" s="650" t="s">
        <v>24</v>
      </c>
    </row>
    <row r="69" spans="1:43" ht="17.25" hidden="1" thickBot="1" x14ac:dyDescent="0.35">
      <c r="A69" s="651" t="s">
        <v>26</v>
      </c>
      <c r="B69" s="652" t="s">
        <v>24</v>
      </c>
      <c r="C69" s="652" t="s">
        <v>24</v>
      </c>
      <c r="D69" s="653" t="s">
        <v>24</v>
      </c>
      <c r="E69" s="653" t="s">
        <v>24</v>
      </c>
      <c r="F69" s="653" t="s">
        <v>24</v>
      </c>
      <c r="G69" s="653" t="s">
        <v>24</v>
      </c>
      <c r="H69" s="653" t="s">
        <v>24</v>
      </c>
      <c r="I69" s="653">
        <v>15219</v>
      </c>
      <c r="J69" s="653">
        <v>15688</v>
      </c>
      <c r="K69" s="653" t="s">
        <v>24</v>
      </c>
      <c r="L69" s="653" t="s">
        <v>24</v>
      </c>
      <c r="M69" s="653" t="s">
        <v>24</v>
      </c>
      <c r="N69" s="653" t="s">
        <v>24</v>
      </c>
      <c r="O69" s="601" t="s">
        <v>24</v>
      </c>
      <c r="P69" s="601" t="s">
        <v>24</v>
      </c>
      <c r="Q69" s="601" t="s">
        <v>24</v>
      </c>
      <c r="R69" s="601" t="s">
        <v>24</v>
      </c>
      <c r="S69" s="601" t="s">
        <v>24</v>
      </c>
      <c r="T69" s="601" t="s">
        <v>24</v>
      </c>
      <c r="U69" s="601" t="s">
        <v>24</v>
      </c>
      <c r="V69" s="601" t="s">
        <v>24</v>
      </c>
      <c r="W69" s="601" t="s">
        <v>24</v>
      </c>
      <c r="X69" s="601" t="s">
        <v>24</v>
      </c>
      <c r="Y69" s="601" t="s">
        <v>24</v>
      </c>
      <c r="Z69" s="601" t="s">
        <v>24</v>
      </c>
      <c r="AA69" s="601" t="s">
        <v>24</v>
      </c>
      <c r="AB69" s="649" t="s">
        <v>24</v>
      </c>
      <c r="AC69" s="649" t="s">
        <v>24</v>
      </c>
      <c r="AD69" s="649" t="s">
        <v>24</v>
      </c>
      <c r="AE69" s="649" t="s">
        <v>24</v>
      </c>
      <c r="AF69" s="649" t="s">
        <v>24</v>
      </c>
      <c r="AG69" s="649" t="s">
        <v>24</v>
      </c>
      <c r="AH69" s="649" t="s">
        <v>24</v>
      </c>
      <c r="AI69" s="649" t="s">
        <v>24</v>
      </c>
      <c r="AJ69" s="649" t="s">
        <v>24</v>
      </c>
      <c r="AK69" s="649" t="s">
        <v>24</v>
      </c>
      <c r="AL69" s="649" t="s">
        <v>24</v>
      </c>
      <c r="AM69" s="649" t="s">
        <v>24</v>
      </c>
      <c r="AN69" s="649" t="s">
        <v>24</v>
      </c>
      <c r="AO69" s="649" t="s">
        <v>24</v>
      </c>
      <c r="AP69" s="649" t="s">
        <v>24</v>
      </c>
      <c r="AQ69" s="650" t="s">
        <v>24</v>
      </c>
    </row>
    <row r="70" spans="1:43" ht="17.25" thickTop="1" x14ac:dyDescent="0.3">
      <c r="A70" s="654"/>
      <c r="B70" s="654"/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5"/>
      <c r="Z70" s="655"/>
      <c r="AA70" s="655"/>
      <c r="AB70" s="655"/>
      <c r="AC70" s="655"/>
      <c r="AD70" s="655"/>
      <c r="AE70" s="655"/>
      <c r="AF70" s="655"/>
      <c r="AG70" s="655"/>
      <c r="AH70" s="655"/>
      <c r="AI70" s="655"/>
      <c r="AJ70" s="655"/>
      <c r="AK70" s="655"/>
      <c r="AL70" s="655"/>
      <c r="AM70" s="655"/>
      <c r="AN70" s="655"/>
      <c r="AO70" s="655"/>
      <c r="AP70" s="655"/>
      <c r="AQ70" s="655"/>
    </row>
    <row r="71" spans="1:43" x14ac:dyDescent="0.3">
      <c r="A71" s="463" t="s">
        <v>362</v>
      </c>
      <c r="Y71" s="463"/>
      <c r="AB71" s="546"/>
      <c r="AQ71" s="656"/>
    </row>
    <row r="72" spans="1:43" x14ac:dyDescent="0.3">
      <c r="AQ72" s="463"/>
    </row>
    <row r="73" spans="1:43" x14ac:dyDescent="0.3">
      <c r="AQ73" s="463"/>
    </row>
    <row r="74" spans="1:43" x14ac:dyDescent="0.3">
      <c r="AQ74" s="463"/>
    </row>
    <row r="75" spans="1:43" x14ac:dyDescent="0.3">
      <c r="AQ75" s="463"/>
    </row>
    <row r="76" spans="1:43" x14ac:dyDescent="0.3">
      <c r="AQ76" s="463"/>
    </row>
    <row r="77" spans="1:43" x14ac:dyDescent="0.3">
      <c r="AQ77" s="463"/>
    </row>
    <row r="78" spans="1:43" x14ac:dyDescent="0.3">
      <c r="AQ78" s="463"/>
    </row>
    <row r="79" spans="1:43" x14ac:dyDescent="0.3">
      <c r="AQ79" s="463"/>
    </row>
    <row r="80" spans="1:43" x14ac:dyDescent="0.3">
      <c r="AQ80" s="463"/>
    </row>
    <row r="81" spans="43:43" x14ac:dyDescent="0.3">
      <c r="AQ81" s="463"/>
    </row>
    <row r="82" spans="43:43" x14ac:dyDescent="0.3">
      <c r="AQ82" s="463"/>
    </row>
    <row r="83" spans="43:43" x14ac:dyDescent="0.3">
      <c r="AQ83" s="463"/>
    </row>
    <row r="84" spans="43:43" x14ac:dyDescent="0.3">
      <c r="AQ84" s="463"/>
    </row>
    <row r="85" spans="43:43" x14ac:dyDescent="0.3">
      <c r="AQ85" s="463"/>
    </row>
    <row r="86" spans="43:43" x14ac:dyDescent="0.3">
      <c r="AQ86" s="463"/>
    </row>
    <row r="87" spans="43:43" x14ac:dyDescent="0.3">
      <c r="AQ87" s="463"/>
    </row>
    <row r="88" spans="43:43" x14ac:dyDescent="0.3">
      <c r="AQ88" s="463"/>
    </row>
    <row r="89" spans="43:43" x14ac:dyDescent="0.3">
      <c r="AQ89" s="463"/>
    </row>
    <row r="90" spans="43:43" x14ac:dyDescent="0.3">
      <c r="AQ90" s="463"/>
    </row>
    <row r="91" spans="43:43" x14ac:dyDescent="0.3">
      <c r="AQ91" s="463"/>
    </row>
    <row r="92" spans="43:43" x14ac:dyDescent="0.3">
      <c r="AQ92" s="463"/>
    </row>
    <row r="93" spans="43:43" x14ac:dyDescent="0.3">
      <c r="AQ93" s="463"/>
    </row>
    <row r="94" spans="43:43" x14ac:dyDescent="0.3">
      <c r="AQ94" s="463"/>
    </row>
    <row r="95" spans="43:43" x14ac:dyDescent="0.3">
      <c r="AQ95" s="463"/>
    </row>
    <row r="96" spans="43:43" x14ac:dyDescent="0.3">
      <c r="AQ96" s="463"/>
    </row>
    <row r="97" spans="43:43" x14ac:dyDescent="0.3">
      <c r="AQ97" s="463"/>
    </row>
    <row r="98" spans="43:43" x14ac:dyDescent="0.3">
      <c r="AQ98" s="463"/>
    </row>
    <row r="99" spans="43:43" x14ac:dyDescent="0.3">
      <c r="AQ99" s="463"/>
    </row>
    <row r="100" spans="43:43" x14ac:dyDescent="0.3">
      <c r="AQ100" s="463"/>
    </row>
    <row r="101" spans="43:43" x14ac:dyDescent="0.3">
      <c r="AQ101" s="463"/>
    </row>
    <row r="102" spans="43:43" x14ac:dyDescent="0.3">
      <c r="AQ102" s="463"/>
    </row>
    <row r="103" spans="43:43" x14ac:dyDescent="0.3">
      <c r="AQ103" s="463"/>
    </row>
    <row r="104" spans="43:43" x14ac:dyDescent="0.3">
      <c r="AQ104" s="463"/>
    </row>
    <row r="105" spans="43:43" x14ac:dyDescent="0.3">
      <c r="AQ105" s="463"/>
    </row>
    <row r="106" spans="43:43" x14ac:dyDescent="0.3">
      <c r="AQ106" s="463"/>
    </row>
    <row r="107" spans="43:43" x14ac:dyDescent="0.3">
      <c r="AQ107" s="463"/>
    </row>
  </sheetData>
  <mergeCells count="2">
    <mergeCell ref="A1:AQ1"/>
    <mergeCell ref="A2:AQ2"/>
  </mergeCells>
  <phoneticPr fontId="0" type="noConversion"/>
  <printOptions horizontalCentered="1" verticalCentered="1"/>
  <pageMargins left="0.75" right="0.75" top="0.5" bottom="0.5" header="0.5" footer="0.5"/>
  <pageSetup scale="68" orientation="landscape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14" zoomScaleNormal="100" workbookViewId="0"/>
  </sheetViews>
  <sheetFormatPr defaultRowHeight="10.5" x14ac:dyDescent="0.15"/>
  <cols>
    <col min="1" max="1" width="9.28515625" style="11" bestFit="1" customWidth="1"/>
    <col min="2" max="2" width="8.140625" style="11" bestFit="1" customWidth="1"/>
    <col min="3" max="3" width="9.28515625" style="102" bestFit="1" customWidth="1"/>
    <col min="4" max="4" width="9.85546875" style="11" bestFit="1" customWidth="1"/>
    <col min="5" max="6" width="11.7109375" style="11" bestFit="1" customWidth="1"/>
    <col min="7" max="7" width="10" style="11" bestFit="1" customWidth="1"/>
    <col min="8" max="8" width="11.7109375" style="11" bestFit="1" customWidth="1"/>
    <col min="9" max="9" width="12.85546875" style="11" bestFit="1" customWidth="1"/>
    <col min="10" max="10" width="23.140625" style="11" customWidth="1"/>
    <col min="11" max="11" width="9" style="11" bestFit="1" customWidth="1"/>
    <col min="12" max="13" width="12.28515625" style="11" bestFit="1" customWidth="1"/>
    <col min="14" max="14" width="11.28515625" style="11" customWidth="1"/>
    <col min="15" max="16384" width="9.140625" style="11"/>
  </cols>
  <sheetData>
    <row r="1" spans="1:14" x14ac:dyDescent="0.15">
      <c r="B1" s="122" t="s">
        <v>224</v>
      </c>
      <c r="C1" s="123"/>
      <c r="D1" s="123"/>
      <c r="E1" s="123"/>
      <c r="F1" s="123"/>
      <c r="G1" s="124"/>
      <c r="H1" s="125" t="s">
        <v>12</v>
      </c>
    </row>
    <row r="2" spans="1:14" x14ac:dyDescent="0.15">
      <c r="A2" s="11" t="s">
        <v>28</v>
      </c>
      <c r="B2" s="11" t="s">
        <v>202</v>
      </c>
      <c r="C2" s="126" t="s">
        <v>29</v>
      </c>
      <c r="D2" s="38" t="s">
        <v>8</v>
      </c>
      <c r="E2" s="38" t="s">
        <v>223</v>
      </c>
      <c r="F2" s="38" t="s">
        <v>12</v>
      </c>
      <c r="G2" s="125" t="s">
        <v>13</v>
      </c>
      <c r="H2" s="125" t="s">
        <v>14</v>
      </c>
    </row>
    <row r="3" spans="1:14" ht="11.25" thickBot="1" x14ac:dyDescent="0.2">
      <c r="D3" s="127"/>
      <c r="E3" s="127"/>
      <c r="F3" s="127"/>
      <c r="G3" s="128"/>
      <c r="H3" s="128"/>
      <c r="I3" s="128"/>
      <c r="J3" s="128"/>
      <c r="K3" s="128"/>
      <c r="L3" s="128"/>
      <c r="M3" s="128"/>
      <c r="N3" s="128"/>
    </row>
    <row r="4" spans="1:14" x14ac:dyDescent="0.15">
      <c r="A4" s="129">
        <v>11</v>
      </c>
      <c r="B4" s="130"/>
      <c r="C4" s="131"/>
      <c r="D4" s="132">
        <f>table7!E7</f>
        <v>251.9</v>
      </c>
      <c r="E4" s="116">
        <f>table7!F7</f>
        <v>1.63626</v>
      </c>
      <c r="F4" s="133">
        <f>table7!G7</f>
        <v>163987</v>
      </c>
      <c r="G4" s="134"/>
      <c r="H4" s="135"/>
      <c r="I4" s="136"/>
      <c r="N4" s="137"/>
    </row>
    <row r="5" spans="1:14" x14ac:dyDescent="0.15">
      <c r="A5" s="138">
        <v>12</v>
      </c>
      <c r="B5" s="139"/>
      <c r="C5" s="140"/>
      <c r="D5" s="132">
        <f>table7!E8</f>
        <v>136.81</v>
      </c>
      <c r="E5" s="116">
        <f>table7!F8</f>
        <v>1.6443399999999999</v>
      </c>
      <c r="F5" s="141">
        <f>table7!G8</f>
        <v>169983</v>
      </c>
      <c r="G5" s="47"/>
      <c r="H5" s="47"/>
      <c r="I5" s="142"/>
    </row>
    <row r="6" spans="1:14" ht="11.25" thickBot="1" x14ac:dyDescent="0.2">
      <c r="A6" s="143">
        <v>13</v>
      </c>
      <c r="B6" s="144"/>
      <c r="C6" s="145"/>
      <c r="D6" s="146">
        <f>table7!E9</f>
        <v>993.82</v>
      </c>
      <c r="E6" s="147">
        <f>table7!F9</f>
        <v>1.71109</v>
      </c>
      <c r="F6" s="148">
        <f>table7!G9</f>
        <v>139080</v>
      </c>
      <c r="G6" s="149">
        <f>SUM(D4:D6)</f>
        <v>1382.5300000000002</v>
      </c>
      <c r="H6" s="150">
        <f>SUMPRODUCT(D4:D6*F4:F6)/G6</f>
        <v>146676.15540349935</v>
      </c>
      <c r="I6" s="151"/>
    </row>
    <row r="7" spans="1:14" x14ac:dyDescent="0.15">
      <c r="A7" s="129">
        <v>21</v>
      </c>
      <c r="B7" s="139"/>
      <c r="C7" s="140"/>
      <c r="D7" s="132">
        <f>table7!E10</f>
        <v>1194.0899999999999</v>
      </c>
      <c r="E7" s="116">
        <f>table7!F10</f>
        <v>1.6886300000000001</v>
      </c>
      <c r="F7" s="152">
        <f>table7!G10</f>
        <v>134261</v>
      </c>
      <c r="G7" s="153"/>
      <c r="H7" s="154"/>
      <c r="I7" s="155"/>
    </row>
    <row r="8" spans="1:14" x14ac:dyDescent="0.15">
      <c r="A8" s="138">
        <v>22</v>
      </c>
      <c r="B8" s="139"/>
      <c r="C8" s="140"/>
      <c r="D8" s="132">
        <f>table7!E11</f>
        <v>521.88</v>
      </c>
      <c r="E8" s="116">
        <f>table7!F11</f>
        <v>1.6153900000000001</v>
      </c>
      <c r="F8" s="152">
        <f>table7!G11</f>
        <v>120598</v>
      </c>
      <c r="G8" s="41"/>
      <c r="H8" s="154"/>
      <c r="I8" s="156"/>
      <c r="J8" s="157" t="s">
        <v>30</v>
      </c>
      <c r="K8" s="157"/>
      <c r="M8" s="98"/>
    </row>
    <row r="9" spans="1:14" x14ac:dyDescent="0.15">
      <c r="A9" s="138">
        <v>23</v>
      </c>
      <c r="B9" s="139"/>
      <c r="C9" s="140"/>
      <c r="D9" s="132">
        <f>table7!E12</f>
        <v>744.44</v>
      </c>
      <c r="E9" s="116">
        <f>table7!F12</f>
        <v>1.6970700000000001</v>
      </c>
      <c r="F9" s="152">
        <f>table7!G12</f>
        <v>139595</v>
      </c>
      <c r="G9" s="41"/>
      <c r="H9" s="47"/>
      <c r="I9" s="158"/>
      <c r="J9" s="157" t="s">
        <v>31</v>
      </c>
      <c r="K9" s="137">
        <f>+G6+G11</f>
        <v>4972.07</v>
      </c>
      <c r="M9" s="98"/>
    </row>
    <row r="10" spans="1:14" x14ac:dyDescent="0.15">
      <c r="A10" s="138">
        <v>24</v>
      </c>
      <c r="B10" s="139"/>
      <c r="C10" s="140"/>
      <c r="D10" s="132">
        <f>table7!E13</f>
        <v>897.91</v>
      </c>
      <c r="E10" s="116">
        <f>table7!F13</f>
        <v>1.6378900000000001</v>
      </c>
      <c r="F10" s="152">
        <f>table7!G13</f>
        <v>129989</v>
      </c>
      <c r="G10" s="159"/>
      <c r="H10" s="47"/>
      <c r="I10" s="158"/>
      <c r="J10" s="160" t="s">
        <v>32</v>
      </c>
      <c r="K10" s="161">
        <f>SUMPRODUCT(D4:D11*F4:F11)/K9</f>
        <v>135384.02465572691</v>
      </c>
      <c r="M10" s="98"/>
    </row>
    <row r="11" spans="1:14" ht="11.25" thickBot="1" x14ac:dyDescent="0.2">
      <c r="A11" s="143">
        <v>25</v>
      </c>
      <c r="B11" s="144"/>
      <c r="C11" s="145"/>
      <c r="D11" s="146">
        <f>table7!E14</f>
        <v>231.22</v>
      </c>
      <c r="E11" s="147">
        <f>table7!F14</f>
        <v>1.6657999999999999</v>
      </c>
      <c r="F11" s="144">
        <f>table7!G14</f>
        <v>114431</v>
      </c>
      <c r="G11" s="162">
        <f>SUM(D7:D11)</f>
        <v>3589.5399999999995</v>
      </c>
      <c r="H11" s="150">
        <f>SUMPRODUCT(D7:D11*F7:F11)/G11</f>
        <v>131034.80176847173</v>
      </c>
      <c r="I11" s="163"/>
      <c r="J11" s="157" t="s">
        <v>33</v>
      </c>
      <c r="K11" s="164">
        <f>SUMPRODUCT(D4:D11,E4:E11)/K9</f>
        <v>1.6725988008616133</v>
      </c>
      <c r="M11" s="98"/>
    </row>
    <row r="12" spans="1:14" x14ac:dyDescent="0.15">
      <c r="A12" s="129">
        <v>31</v>
      </c>
      <c r="B12" s="139">
        <f>table7!C15</f>
        <v>34915</v>
      </c>
      <c r="C12" s="140">
        <f>table7!D15</f>
        <v>5021</v>
      </c>
      <c r="D12" s="132">
        <f>table7!E15</f>
        <v>27940.44</v>
      </c>
      <c r="E12" s="116">
        <f>table7!F15</f>
        <v>1.4957100000000001</v>
      </c>
      <c r="F12" s="152">
        <f>table7!G15</f>
        <v>74975</v>
      </c>
      <c r="G12" s="153"/>
      <c r="H12" s="154"/>
      <c r="I12" s="165"/>
      <c r="J12" s="129"/>
      <c r="K12" s="155"/>
    </row>
    <row r="13" spans="1:14" x14ac:dyDescent="0.15">
      <c r="A13" s="138">
        <v>32</v>
      </c>
      <c r="B13" s="139">
        <f>table7!C16</f>
        <v>30319</v>
      </c>
      <c r="C13" s="140">
        <f>table7!D16</f>
        <v>6988</v>
      </c>
      <c r="D13" s="132">
        <f>table7!E16</f>
        <v>23241.63</v>
      </c>
      <c r="E13" s="116">
        <f>table7!F16</f>
        <v>1.5652999999999999</v>
      </c>
      <c r="F13" s="152">
        <f>table7!G16</f>
        <v>78491</v>
      </c>
      <c r="G13" s="41"/>
      <c r="H13" s="47"/>
      <c r="I13" s="125"/>
      <c r="J13" s="166"/>
      <c r="K13" s="167"/>
    </row>
    <row r="14" spans="1:14" x14ac:dyDescent="0.15">
      <c r="A14" s="138">
        <v>33</v>
      </c>
      <c r="B14" s="139">
        <f>table7!C17</f>
        <v>14274</v>
      </c>
      <c r="C14" s="140">
        <f>table7!D17</f>
        <v>6478</v>
      </c>
      <c r="D14" s="132">
        <f>table7!E17</f>
        <v>7735.05</v>
      </c>
      <c r="E14" s="116">
        <f>table7!F17</f>
        <v>1.5182899999999999</v>
      </c>
      <c r="F14" s="152">
        <f>table7!G17</f>
        <v>77095</v>
      </c>
      <c r="G14" s="168"/>
      <c r="H14" s="169"/>
      <c r="I14" s="170"/>
      <c r="J14" s="166">
        <f>+Table2!F67</f>
        <v>63034.26</v>
      </c>
      <c r="K14" s="167" t="s">
        <v>15</v>
      </c>
    </row>
    <row r="15" spans="1:14" x14ac:dyDescent="0.15">
      <c r="A15" s="138">
        <v>34</v>
      </c>
      <c r="B15" s="139">
        <f>table7!C18</f>
        <v>4988</v>
      </c>
      <c r="C15" s="140">
        <f>table7!D18</f>
        <v>5671</v>
      </c>
      <c r="D15" s="132">
        <f>table7!E18</f>
        <v>3937.8</v>
      </c>
      <c r="E15" s="116">
        <f>table7!F18</f>
        <v>1.5770200000000001</v>
      </c>
      <c r="F15" s="152">
        <f>table7!G18</f>
        <v>79506</v>
      </c>
      <c r="G15" s="168">
        <f>SUM(D12:D15)</f>
        <v>62854.920000000006</v>
      </c>
      <c r="H15" s="169">
        <f>SUMPRODUCT(D12:D15*F12:F15)/G15</f>
        <v>76819.852381961507</v>
      </c>
      <c r="I15" s="170" t="s">
        <v>218</v>
      </c>
      <c r="J15" s="166">
        <v>62854.92</v>
      </c>
      <c r="K15" s="167" t="s">
        <v>190</v>
      </c>
    </row>
    <row r="16" spans="1:14" ht="11.25" thickBot="1" x14ac:dyDescent="0.2">
      <c r="A16" s="143">
        <v>63</v>
      </c>
      <c r="B16" s="144">
        <f>table7!C32</f>
        <v>179</v>
      </c>
      <c r="C16" s="145">
        <f>table7!D32</f>
        <v>0</v>
      </c>
      <c r="D16" s="146">
        <f>table7!E32</f>
        <v>179.34</v>
      </c>
      <c r="E16" s="147">
        <f>table7!F32</f>
        <v>1.30271</v>
      </c>
      <c r="F16" s="144">
        <f>table7!G32</f>
        <v>53424</v>
      </c>
      <c r="G16" s="162">
        <f>SUM(D12:D16)</f>
        <v>63034.26</v>
      </c>
      <c r="H16" s="171">
        <f>SUMPRODUCT(D12:D16*F12:F16)/G16</f>
        <v>76753.288386981934</v>
      </c>
      <c r="I16" s="172"/>
      <c r="J16" s="173">
        <f>+J14-J15</f>
        <v>179.34000000000378</v>
      </c>
      <c r="K16" s="174" t="s">
        <v>16</v>
      </c>
    </row>
    <row r="17" spans="1:13" x14ac:dyDescent="0.15">
      <c r="A17" s="129">
        <v>40</v>
      </c>
      <c r="B17" s="139">
        <f>table7!C19</f>
        <v>4919</v>
      </c>
      <c r="C17" s="140">
        <f>table7!D19</f>
        <v>5931</v>
      </c>
      <c r="D17" s="132">
        <f>table7!E19</f>
        <v>2019.85</v>
      </c>
      <c r="E17" s="116">
        <f>table7!F19</f>
        <v>1.68675</v>
      </c>
      <c r="F17" s="152">
        <f>table7!G19</f>
        <v>87164</v>
      </c>
      <c r="G17" s="153"/>
      <c r="H17" s="154"/>
      <c r="I17" s="155"/>
      <c r="J17" s="138"/>
      <c r="K17" s="124"/>
    </row>
    <row r="18" spans="1:13" x14ac:dyDescent="0.15">
      <c r="A18" s="138">
        <v>41</v>
      </c>
      <c r="B18" s="139">
        <f>table7!C20</f>
        <v>1181</v>
      </c>
      <c r="C18" s="140">
        <f>table7!D20</f>
        <v>7397</v>
      </c>
      <c r="D18" s="132">
        <f>table7!E20</f>
        <v>832.53</v>
      </c>
      <c r="E18" s="116">
        <f>table7!F20</f>
        <v>1.71644</v>
      </c>
      <c r="F18" s="152">
        <f>table7!G20</f>
        <v>87787</v>
      </c>
      <c r="G18" s="41"/>
      <c r="H18" s="154"/>
      <c r="I18" s="156"/>
      <c r="J18" s="138"/>
      <c r="K18" s="124"/>
    </row>
    <row r="19" spans="1:13" x14ac:dyDescent="0.15">
      <c r="A19" s="138">
        <v>42</v>
      </c>
      <c r="B19" s="139">
        <f>table7!C21</f>
        <v>2966</v>
      </c>
      <c r="C19" s="140">
        <f>table7!D21</f>
        <v>8174</v>
      </c>
      <c r="D19" s="132">
        <f>table7!E21</f>
        <v>2710.45</v>
      </c>
      <c r="E19" s="116">
        <f>table7!F21</f>
        <v>1.5816300000000001</v>
      </c>
      <c r="F19" s="152">
        <f>table7!G21</f>
        <v>79072</v>
      </c>
      <c r="G19" s="41"/>
      <c r="H19" s="154"/>
      <c r="I19" s="156"/>
      <c r="J19" s="138"/>
      <c r="K19" s="124"/>
    </row>
    <row r="20" spans="1:13" x14ac:dyDescent="0.15">
      <c r="A20" s="138">
        <v>43</v>
      </c>
      <c r="B20" s="139">
        <f>table7!C22</f>
        <v>575</v>
      </c>
      <c r="C20" s="140">
        <f>table7!D22</f>
        <v>8450</v>
      </c>
      <c r="D20" s="132">
        <f>table7!E22</f>
        <v>477.75</v>
      </c>
      <c r="E20" s="116">
        <f>table7!F22</f>
        <v>1.52867</v>
      </c>
      <c r="F20" s="152">
        <f>table7!G22</f>
        <v>79115</v>
      </c>
      <c r="G20" s="168">
        <f>D16+D27</f>
        <v>327.21000000000004</v>
      </c>
      <c r="H20" s="169">
        <f>+((D16*F16)+(D27*F27))/G20</f>
        <v>60190.47263225451</v>
      </c>
      <c r="I20" s="167" t="s">
        <v>220</v>
      </c>
      <c r="J20" s="138"/>
      <c r="K20" s="124"/>
    </row>
    <row r="21" spans="1:13" x14ac:dyDescent="0.15">
      <c r="A21" s="138">
        <v>44</v>
      </c>
      <c r="B21" s="139">
        <f>table7!C23</f>
        <v>182</v>
      </c>
      <c r="C21" s="140">
        <f>table7!D23</f>
        <v>7854</v>
      </c>
      <c r="D21" s="132">
        <f>table7!E23</f>
        <v>163.85</v>
      </c>
      <c r="E21" s="116">
        <f>table7!F23</f>
        <v>1.51136</v>
      </c>
      <c r="F21" s="152">
        <f>table7!G23</f>
        <v>75390</v>
      </c>
      <c r="G21" s="41"/>
      <c r="H21" s="154"/>
      <c r="I21" s="156"/>
      <c r="J21" s="138"/>
      <c r="K21" s="124"/>
    </row>
    <row r="22" spans="1:13" x14ac:dyDescent="0.15">
      <c r="A22" s="138">
        <v>45</v>
      </c>
      <c r="B22" s="139">
        <f>table7!C24</f>
        <v>1566</v>
      </c>
      <c r="C22" s="140">
        <f>table7!D24</f>
        <v>7864</v>
      </c>
      <c r="D22" s="132">
        <f>table7!E24</f>
        <v>1392.64</v>
      </c>
      <c r="E22" s="116">
        <f>table7!F24</f>
        <v>1.5708</v>
      </c>
      <c r="F22" s="152">
        <f>table7!G24</f>
        <v>79934</v>
      </c>
      <c r="G22" s="41"/>
      <c r="H22" s="154"/>
      <c r="I22" s="156"/>
      <c r="J22" s="138"/>
      <c r="K22" s="124"/>
    </row>
    <row r="23" spans="1:13" x14ac:dyDescent="0.15">
      <c r="A23" s="138">
        <v>46</v>
      </c>
      <c r="B23" s="139">
        <f>table7!C25</f>
        <v>1222</v>
      </c>
      <c r="C23" s="140">
        <f>table7!D25</f>
        <v>9958</v>
      </c>
      <c r="D23" s="132">
        <f>table7!E25</f>
        <v>1078.8699999999999</v>
      </c>
      <c r="E23" s="116">
        <f>table7!F25</f>
        <v>1.61683</v>
      </c>
      <c r="F23" s="152">
        <f>table7!G25</f>
        <v>81733</v>
      </c>
      <c r="G23" s="41"/>
      <c r="H23" s="154"/>
      <c r="I23" s="156"/>
      <c r="J23" s="157" t="s">
        <v>34</v>
      </c>
      <c r="K23" s="175"/>
    </row>
    <row r="24" spans="1:13" x14ac:dyDescent="0.15">
      <c r="A24" s="138">
        <v>47</v>
      </c>
      <c r="B24" s="139">
        <f>table7!C26</f>
        <v>654</v>
      </c>
      <c r="C24" s="140">
        <f>table7!D26</f>
        <v>6327</v>
      </c>
      <c r="D24" s="132">
        <f>table7!E26</f>
        <v>550.23</v>
      </c>
      <c r="E24" s="116">
        <f>table7!F26</f>
        <v>1.33491</v>
      </c>
      <c r="F24" s="152">
        <f>table7!G26</f>
        <v>69389</v>
      </c>
      <c r="G24" s="41"/>
      <c r="H24" s="154"/>
      <c r="I24" s="156"/>
      <c r="J24" s="157" t="s">
        <v>31</v>
      </c>
      <c r="K24" s="137">
        <f>+G16+G27</f>
        <v>72586.59</v>
      </c>
    </row>
    <row r="25" spans="1:13" x14ac:dyDescent="0.15">
      <c r="A25" s="138">
        <v>48</v>
      </c>
      <c r="B25" s="139">
        <f>table7!C27</f>
        <v>215</v>
      </c>
      <c r="C25" s="140">
        <f>table7!D27</f>
        <v>9312</v>
      </c>
      <c r="D25" s="132">
        <f>table7!E27</f>
        <v>175.29</v>
      </c>
      <c r="E25" s="116">
        <f>table7!F27</f>
        <v>1.57674</v>
      </c>
      <c r="F25" s="152">
        <f>table7!G27</f>
        <v>84442</v>
      </c>
      <c r="G25" s="41"/>
      <c r="H25" s="47"/>
      <c r="I25" s="158"/>
      <c r="J25" s="176" t="s">
        <v>32</v>
      </c>
      <c r="K25" s="161">
        <f>SUMPRODUCT(D12:D27,F12:F27)/K24</f>
        <v>77348.981818955814</v>
      </c>
    </row>
    <row r="26" spans="1:13" x14ac:dyDescent="0.15">
      <c r="A26" s="138">
        <v>49</v>
      </c>
      <c r="B26" s="139">
        <f>table7!C28</f>
        <v>6</v>
      </c>
      <c r="C26" s="140">
        <f>table7!D28</f>
        <v>6583</v>
      </c>
      <c r="D26" s="132">
        <f>table7!E28</f>
        <v>3</v>
      </c>
      <c r="E26" s="116">
        <f>table7!F28</f>
        <v>1.41107</v>
      </c>
      <c r="F26" s="152">
        <f>table7!G28</f>
        <v>67951</v>
      </c>
      <c r="G26" s="168">
        <f>SUM(D17:D26)</f>
        <v>9404.4600000000009</v>
      </c>
      <c r="H26" s="169">
        <f>SUMPRODUCT(D17:D26*F17:F26)/G26</f>
        <v>81482.427463139815</v>
      </c>
      <c r="I26" s="167" t="s">
        <v>219</v>
      </c>
      <c r="J26" s="157" t="s">
        <v>33</v>
      </c>
      <c r="K26" s="177">
        <f>SUMPRODUCT(D12:D27,E12:E27)/K24</f>
        <v>1.537162798019579</v>
      </c>
    </row>
    <row r="27" spans="1:13" ht="11.25" thickBot="1" x14ac:dyDescent="0.2">
      <c r="A27" s="143">
        <v>64</v>
      </c>
      <c r="B27" s="144">
        <f>table7!C33</f>
        <v>154</v>
      </c>
      <c r="C27" s="145">
        <f>table7!D33</f>
        <v>0</v>
      </c>
      <c r="D27" s="146">
        <f>table7!E33</f>
        <v>147.87</v>
      </c>
      <c r="E27" s="147">
        <f>table7!F33</f>
        <v>1.1559299999999999</v>
      </c>
      <c r="F27" s="144">
        <f>table7!G33</f>
        <v>68397</v>
      </c>
      <c r="G27" s="162">
        <f>SUM(D17:D27)</f>
        <v>9552.3300000000017</v>
      </c>
      <c r="H27" s="178">
        <f>SUMPRODUCT(D17:D27*F17:F27)/G27</f>
        <v>81279.865139709349</v>
      </c>
      <c r="I27" s="163"/>
      <c r="J27" s="157" t="s">
        <v>35</v>
      </c>
      <c r="K27" s="161">
        <f>SUMPRODUCT(B12:B27,C12:C27)/K24</f>
        <v>8362.9379889591182</v>
      </c>
    </row>
    <row r="28" spans="1:13" x14ac:dyDescent="0.15">
      <c r="A28" s="129">
        <v>51</v>
      </c>
      <c r="B28" s="139"/>
      <c r="C28" s="179"/>
      <c r="D28" s="132">
        <f>table7!E29</f>
        <v>109.07</v>
      </c>
      <c r="E28" s="116">
        <f>table7!F29</f>
        <v>1.6737899999999999</v>
      </c>
      <c r="F28" s="133">
        <f>table7!G29</f>
        <v>91849</v>
      </c>
      <c r="G28" s="134"/>
      <c r="H28" s="180"/>
      <c r="I28" s="181"/>
      <c r="J28" s="165"/>
      <c r="K28" s="155"/>
    </row>
    <row r="29" spans="1:13" x14ac:dyDescent="0.15">
      <c r="A29" s="138">
        <v>52</v>
      </c>
      <c r="B29" s="139"/>
      <c r="C29" s="179"/>
      <c r="D29" s="132">
        <f>table7!E30</f>
        <v>49.64</v>
      </c>
      <c r="E29" s="116">
        <f>table7!F30</f>
        <v>1.36263</v>
      </c>
      <c r="F29" s="141">
        <f>table7!G30</f>
        <v>60128</v>
      </c>
      <c r="G29" s="182">
        <f>SUM(D28:D29)</f>
        <v>158.70999999999998</v>
      </c>
      <c r="H29" s="183">
        <f>SUMPRODUCT(D28:D29*F28:F29)/G29</f>
        <v>81927.568206162192</v>
      </c>
      <c r="I29" s="184" t="s">
        <v>221</v>
      </c>
      <c r="J29" s="185"/>
      <c r="K29" s="156"/>
    </row>
    <row r="30" spans="1:13" ht="11.25" thickBot="1" x14ac:dyDescent="0.2">
      <c r="A30" s="143">
        <v>61</v>
      </c>
      <c r="B30" s="144"/>
      <c r="C30" s="186"/>
      <c r="D30" s="146">
        <f>table7!E31</f>
        <v>59.98</v>
      </c>
      <c r="E30" s="147">
        <f>table7!F31</f>
        <v>1.7664</v>
      </c>
      <c r="F30" s="148">
        <f>table7!G31</f>
        <v>94862</v>
      </c>
      <c r="G30" s="187">
        <f>SUM(D28:D30)</f>
        <v>218.68999999999997</v>
      </c>
      <c r="H30" s="188">
        <f>SUMPRODUCT(D28:D30*F28:F30)/G30</f>
        <v>85475.088527138883</v>
      </c>
      <c r="I30" s="189"/>
      <c r="J30" s="190" t="s">
        <v>222</v>
      </c>
      <c r="K30" s="191"/>
      <c r="L30" s="170"/>
      <c r="M30" s="192"/>
    </row>
    <row r="31" spans="1:13" x14ac:dyDescent="0.15">
      <c r="A31" s="21"/>
      <c r="B31" s="193"/>
      <c r="C31" s="11"/>
      <c r="D31" s="51" t="s">
        <v>13</v>
      </c>
      <c r="E31" s="52" t="s">
        <v>14</v>
      </c>
      <c r="F31" s="52" t="s">
        <v>14</v>
      </c>
      <c r="G31" s="194" t="s">
        <v>17</v>
      </c>
      <c r="H31" s="195">
        <f>SUM(D4:D11)</f>
        <v>4972.0700000000006</v>
      </c>
      <c r="L31" s="196"/>
      <c r="M31" s="197"/>
    </row>
    <row r="32" spans="1:13" x14ac:dyDescent="0.15">
      <c r="A32" s="104" t="s">
        <v>18</v>
      </c>
      <c r="B32" s="198"/>
      <c r="C32" s="11"/>
      <c r="D32" s="199">
        <f>+H31+H32</f>
        <v>77777.349999999991</v>
      </c>
      <c r="E32" s="200">
        <f>SUMPRODUCT(D4:D30*E4:E30)/D32</f>
        <v>1.5460777977573161</v>
      </c>
      <c r="F32" s="201">
        <f>SUMPRODUCT(D4:D30*F4:F30)/D32</f>
        <v>81081.834554532921</v>
      </c>
      <c r="G32" s="194" t="s">
        <v>334</v>
      </c>
      <c r="H32" s="195">
        <f>SUM(D12:D30)</f>
        <v>72805.279999999984</v>
      </c>
    </row>
    <row r="33" spans="1:8" x14ac:dyDescent="0.15">
      <c r="A33" s="11" t="s">
        <v>204</v>
      </c>
      <c r="B33" s="152"/>
      <c r="D33" s="105">
        <v>77777.350000000006</v>
      </c>
      <c r="E33" s="202">
        <v>1.5460799999999999</v>
      </c>
      <c r="F33" s="203">
        <v>81082</v>
      </c>
      <c r="G33" s="194" t="s">
        <v>19</v>
      </c>
      <c r="H33" s="195">
        <f>+H31+H32</f>
        <v>77777.349999999991</v>
      </c>
    </row>
    <row r="34" spans="1:8" x14ac:dyDescent="0.15">
      <c r="A34" s="11" t="s">
        <v>21</v>
      </c>
      <c r="B34" s="152"/>
      <c r="D34" s="105">
        <f>+D32-D33</f>
        <v>0</v>
      </c>
      <c r="E34" s="202">
        <f>+E32-E33</f>
        <v>-2.2022426837686737E-6</v>
      </c>
      <c r="F34" s="152">
        <f>+F32-F33</f>
        <v>-0.16544546707882546</v>
      </c>
    </row>
    <row r="35" spans="1:8" x14ac:dyDescent="0.15">
      <c r="B35" s="152"/>
      <c r="F35" s="204"/>
    </row>
    <row r="36" spans="1:8" x14ac:dyDescent="0.15">
      <c r="A36" s="11">
        <v>90</v>
      </c>
      <c r="B36" s="152"/>
      <c r="D36" s="132">
        <f>table7!E34</f>
        <v>2.1800000000000002</v>
      </c>
      <c r="F36" s="102">
        <f>table7!G34</f>
        <v>72438</v>
      </c>
    </row>
    <row r="37" spans="1:8" x14ac:dyDescent="0.15">
      <c r="A37" s="11">
        <v>91</v>
      </c>
      <c r="B37" s="152"/>
      <c r="D37" s="132">
        <f>table7!E35</f>
        <v>16242.87</v>
      </c>
      <c r="F37" s="102">
        <f>table7!G35</f>
        <v>44629</v>
      </c>
    </row>
    <row r="38" spans="1:8" x14ac:dyDescent="0.15">
      <c r="A38" s="11">
        <v>92</v>
      </c>
      <c r="B38" s="152"/>
      <c r="D38" s="132">
        <f>table7!E36</f>
        <v>1683.69</v>
      </c>
      <c r="F38" s="102">
        <f>table7!G36</f>
        <v>66096</v>
      </c>
    </row>
    <row r="39" spans="1:8" x14ac:dyDescent="0.15">
      <c r="A39" s="11">
        <v>93</v>
      </c>
      <c r="B39" s="152"/>
      <c r="D39" s="132">
        <f>table7!E37</f>
        <v>236.74</v>
      </c>
      <c r="F39" s="102">
        <f>table7!G37</f>
        <v>56418</v>
      </c>
    </row>
    <row r="40" spans="1:8" x14ac:dyDescent="0.15">
      <c r="A40" s="11">
        <v>94</v>
      </c>
      <c r="B40" s="152"/>
      <c r="D40" s="132">
        <f>table7!E38</f>
        <v>8216.4599999999991</v>
      </c>
      <c r="F40" s="102">
        <f>table7!G38</f>
        <v>54757</v>
      </c>
    </row>
    <row r="41" spans="1:8" x14ac:dyDescent="0.15">
      <c r="A41" s="11">
        <v>95</v>
      </c>
      <c r="B41" s="152"/>
      <c r="D41" s="132">
        <f>table7!E39</f>
        <v>3538.43</v>
      </c>
      <c r="F41" s="102">
        <f>table7!G39</f>
        <v>52065</v>
      </c>
    </row>
    <row r="42" spans="1:8" x14ac:dyDescent="0.15">
      <c r="A42" s="11">
        <v>96</v>
      </c>
      <c r="B42" s="152"/>
      <c r="D42" s="132">
        <f>table7!E40</f>
        <v>2377.2800000000002</v>
      </c>
      <c r="F42" s="102">
        <f>table7!G40</f>
        <v>73662</v>
      </c>
    </row>
    <row r="43" spans="1:8" x14ac:dyDescent="0.15">
      <c r="A43" s="11">
        <v>97</v>
      </c>
      <c r="B43" s="152"/>
      <c r="D43" s="132">
        <f>table7!E41</f>
        <v>8878.86</v>
      </c>
      <c r="F43" s="102">
        <f>table7!G41</f>
        <v>46644</v>
      </c>
    </row>
    <row r="44" spans="1:8" x14ac:dyDescent="0.15">
      <c r="A44" s="11">
        <v>98</v>
      </c>
      <c r="B44" s="152"/>
      <c r="D44" s="132">
        <f>table7!E42</f>
        <v>1766.8</v>
      </c>
      <c r="F44" s="102">
        <f>table7!G42</f>
        <v>72197</v>
      </c>
    </row>
    <row r="45" spans="1:8" x14ac:dyDescent="0.15">
      <c r="A45" s="11">
        <v>99</v>
      </c>
      <c r="B45" s="152"/>
      <c r="D45" s="132">
        <f>table7!E43</f>
        <v>1799.78</v>
      </c>
      <c r="F45" s="102">
        <f>table7!G43</f>
        <v>106388</v>
      </c>
    </row>
    <row r="46" spans="1:8" x14ac:dyDescent="0.15">
      <c r="B46" s="152"/>
      <c r="D46" s="205" t="s">
        <v>13</v>
      </c>
      <c r="F46" s="205" t="s">
        <v>14</v>
      </c>
    </row>
    <row r="47" spans="1:8" x14ac:dyDescent="0.15">
      <c r="A47" s="192" t="s">
        <v>20</v>
      </c>
      <c r="B47" s="206"/>
      <c r="D47" s="207">
        <f>SUM(D36:D45)</f>
        <v>44743.090000000004</v>
      </c>
      <c r="F47" s="208">
        <f>SUMPRODUCT(D36:D45*F36:F45)/D47</f>
        <v>53463.741311563419</v>
      </c>
    </row>
    <row r="48" spans="1:8" x14ac:dyDescent="0.15">
      <c r="A48" s="11" t="s">
        <v>203</v>
      </c>
      <c r="B48" s="152"/>
      <c r="D48" s="105">
        <v>44743.09</v>
      </c>
      <c r="F48" s="98">
        <v>53464</v>
      </c>
    </row>
    <row r="49" spans="1:6" x14ac:dyDescent="0.15">
      <c r="A49" s="11" t="s">
        <v>21</v>
      </c>
      <c r="B49" s="152"/>
      <c r="D49" s="105">
        <f>+D47-D48</f>
        <v>0</v>
      </c>
      <c r="F49" s="152">
        <f>+F47-F48</f>
        <v>-0.25868843658099649</v>
      </c>
    </row>
    <row r="50" spans="1:6" x14ac:dyDescent="0.15">
      <c r="B50" s="152"/>
    </row>
    <row r="51" spans="1:6" x14ac:dyDescent="0.15">
      <c r="A51" s="11" t="s">
        <v>179</v>
      </c>
      <c r="B51" s="152"/>
      <c r="D51" s="105">
        <f>SUM(D4:D30)+SUM(D36:D45)</f>
        <v>122520.44</v>
      </c>
    </row>
    <row r="52" spans="1:6" x14ac:dyDescent="0.15">
      <c r="A52" s="11" t="s">
        <v>11</v>
      </c>
      <c r="B52" s="152"/>
      <c r="D52" s="105">
        <v>122520.43</v>
      </c>
    </row>
    <row r="53" spans="1:6" x14ac:dyDescent="0.15">
      <c r="A53" s="11" t="s">
        <v>21</v>
      </c>
      <c r="B53" s="152"/>
      <c r="D53" s="105">
        <f>+D51-D52</f>
        <v>1.0000000009313226E-2</v>
      </c>
    </row>
  </sheetData>
  <phoneticPr fontId="0" type="noConversion"/>
  <pageMargins left="1" right="1" top="1" bottom="0.99" header="0.5" footer="0.5"/>
  <pageSetup scale="86" orientation="landscape" r:id="rId1"/>
  <headerFooter alignWithMargins="0">
    <oddHeader>&amp;A</oddHeader>
    <oddFooter>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showZeros="0" topLeftCell="C1" zoomScaleNormal="100" workbookViewId="0">
      <pane ySplit="1" topLeftCell="A67" activePane="bottomLeft" state="frozen"/>
      <selection pane="bottomLeft" activeCell="I47" sqref="I47"/>
    </sheetView>
  </sheetViews>
  <sheetFormatPr defaultRowHeight="10.5" x14ac:dyDescent="0.15"/>
  <cols>
    <col min="1" max="1" width="14.28515625" style="11" customWidth="1"/>
    <col min="2" max="9" width="9" style="11" customWidth="1"/>
    <col min="10" max="10" width="15.7109375" style="11" customWidth="1"/>
    <col min="11" max="11" width="12" style="11" customWidth="1"/>
    <col min="12" max="12" width="10.7109375" style="11" customWidth="1"/>
    <col min="13" max="13" width="9" style="11" customWidth="1"/>
    <col min="14" max="14" width="10.7109375" style="11" customWidth="1"/>
    <col min="15" max="16" width="9.85546875" style="11" customWidth="1"/>
    <col min="17" max="17" width="10.7109375" style="11" customWidth="1"/>
    <col min="18" max="18" width="12" style="11" customWidth="1"/>
    <col min="19" max="19" width="9" style="11" customWidth="1"/>
    <col min="20" max="20" width="15.7109375" style="11" customWidth="1"/>
    <col min="21" max="21" width="12.28515625" style="11" bestFit="1" customWidth="1"/>
    <col min="22" max="16384" width="9.140625" style="11"/>
  </cols>
  <sheetData>
    <row r="1" spans="1:20" ht="11.25" thickBot="1" x14ac:dyDescent="0.2">
      <c r="A1" s="18" t="s">
        <v>504</v>
      </c>
      <c r="B1" s="19"/>
      <c r="C1" s="20"/>
    </row>
    <row r="2" spans="1:20" ht="11.25" thickBot="1" x14ac:dyDescent="0.2">
      <c r="A2" s="21" t="s">
        <v>36</v>
      </c>
      <c r="B2" s="22" t="s">
        <v>37</v>
      </c>
      <c r="C2" s="23"/>
      <c r="D2" s="23"/>
      <c r="E2" s="23"/>
      <c r="F2" s="23"/>
      <c r="G2" s="23"/>
      <c r="H2" s="23"/>
      <c r="I2" s="23"/>
      <c r="K2" s="22" t="s">
        <v>38</v>
      </c>
      <c r="L2" s="24"/>
      <c r="M2" s="24"/>
      <c r="N2" s="24"/>
      <c r="O2" s="24"/>
      <c r="P2" s="24"/>
      <c r="Q2" s="24"/>
      <c r="R2" s="24"/>
    </row>
    <row r="3" spans="1:20" ht="11.25" thickBot="1" x14ac:dyDescent="0.2">
      <c r="A3" s="25" t="s">
        <v>39</v>
      </c>
      <c r="B3" s="26" t="s">
        <v>40</v>
      </c>
      <c r="C3" s="26" t="s">
        <v>380</v>
      </c>
      <c r="D3" s="26" t="s">
        <v>503</v>
      </c>
      <c r="E3" s="27">
        <v>31</v>
      </c>
      <c r="F3" s="27">
        <v>34</v>
      </c>
      <c r="G3" s="27">
        <v>45</v>
      </c>
      <c r="H3" s="27">
        <v>97</v>
      </c>
      <c r="I3" s="27" t="s">
        <v>41</v>
      </c>
      <c r="K3" s="26" t="s">
        <v>40</v>
      </c>
      <c r="L3" s="26" t="s">
        <v>380</v>
      </c>
      <c r="M3" s="26" t="s">
        <v>503</v>
      </c>
      <c r="N3" s="27">
        <v>31</v>
      </c>
      <c r="O3" s="27">
        <v>34</v>
      </c>
      <c r="P3" s="27">
        <v>45</v>
      </c>
      <c r="Q3" s="27">
        <v>97</v>
      </c>
      <c r="R3" s="28" t="s">
        <v>42</v>
      </c>
      <c r="S3" s="11" t="s">
        <v>43</v>
      </c>
    </row>
    <row r="4" spans="1:20" x14ac:dyDescent="0.15">
      <c r="A4" s="11">
        <v>11</v>
      </c>
      <c r="B4" s="16">
        <v>2.0299999999999998</v>
      </c>
      <c r="C4" s="16"/>
      <c r="D4" s="16"/>
      <c r="E4" s="16"/>
      <c r="F4" s="16"/>
      <c r="G4" s="16"/>
      <c r="H4" s="16">
        <v>249.88</v>
      </c>
      <c r="I4" s="29">
        <f t="shared" ref="I4:I40" si="0">SUM(B4:H4)</f>
        <v>251.91</v>
      </c>
      <c r="J4" s="30" t="s">
        <v>44</v>
      </c>
      <c r="K4" s="31"/>
      <c r="L4" s="31"/>
      <c r="M4" s="31"/>
      <c r="N4" s="31"/>
      <c r="O4" s="31"/>
      <c r="P4" s="31"/>
      <c r="Q4" s="31"/>
      <c r="R4" s="32"/>
      <c r="S4" s="33" t="s">
        <v>60</v>
      </c>
      <c r="T4" s="30" t="s">
        <v>44</v>
      </c>
    </row>
    <row r="5" spans="1:20" x14ac:dyDescent="0.15">
      <c r="A5" s="11">
        <v>12</v>
      </c>
      <c r="B5" s="16">
        <v>74.98</v>
      </c>
      <c r="C5" s="16"/>
      <c r="D5" s="16"/>
      <c r="E5" s="16">
        <v>0.9</v>
      </c>
      <c r="F5" s="16"/>
      <c r="G5" s="16"/>
      <c r="H5" s="16">
        <v>52.93</v>
      </c>
      <c r="I5" s="29">
        <f t="shared" si="0"/>
        <v>128.81</v>
      </c>
      <c r="J5" s="34" t="s">
        <v>31</v>
      </c>
      <c r="K5" s="35">
        <f t="shared" ref="K5:Q5" si="1">SUM(B4:B11)</f>
        <v>3836.4999999999995</v>
      </c>
      <c r="L5" s="35">
        <f t="shared" si="1"/>
        <v>69.52000000000001</v>
      </c>
      <c r="M5" s="35">
        <f t="shared" si="1"/>
        <v>6.46</v>
      </c>
      <c r="N5" s="35">
        <f t="shared" si="1"/>
        <v>99.09</v>
      </c>
      <c r="O5" s="35">
        <f t="shared" si="1"/>
        <v>21.99</v>
      </c>
      <c r="P5" s="35">
        <f t="shared" si="1"/>
        <v>26.04</v>
      </c>
      <c r="Q5" s="35">
        <f t="shared" si="1"/>
        <v>416.71</v>
      </c>
      <c r="R5" s="36">
        <f>SUM(K5:Q5)</f>
        <v>4476.3099999999995</v>
      </c>
      <c r="S5" s="37">
        <v>4476.29</v>
      </c>
      <c r="T5" s="34" t="s">
        <v>31</v>
      </c>
    </row>
    <row r="6" spans="1:20" x14ac:dyDescent="0.15">
      <c r="A6" s="11">
        <v>13</v>
      </c>
      <c r="B6" s="16">
        <v>385.75</v>
      </c>
      <c r="C6" s="16">
        <v>8.91</v>
      </c>
      <c r="D6" s="16">
        <v>0.39</v>
      </c>
      <c r="E6" s="16">
        <v>63.43</v>
      </c>
      <c r="F6" s="16">
        <v>14.62</v>
      </c>
      <c r="G6" s="16">
        <v>1</v>
      </c>
      <c r="H6" s="16">
        <v>113.5</v>
      </c>
      <c r="I6" s="29">
        <f t="shared" si="0"/>
        <v>587.6</v>
      </c>
      <c r="J6" s="38"/>
      <c r="K6" s="39"/>
      <c r="L6" s="39"/>
      <c r="M6" s="39"/>
      <c r="N6" s="39"/>
      <c r="R6" s="40"/>
    </row>
    <row r="7" spans="1:20" x14ac:dyDescent="0.15">
      <c r="A7" s="11">
        <v>21</v>
      </c>
      <c r="B7" s="16">
        <v>1177.82</v>
      </c>
      <c r="C7" s="16">
        <v>11.76</v>
      </c>
      <c r="D7" s="16"/>
      <c r="E7" s="16"/>
      <c r="F7" s="16"/>
      <c r="G7" s="16"/>
      <c r="H7" s="16">
        <v>0.4</v>
      </c>
      <c r="I7" s="29">
        <f t="shared" si="0"/>
        <v>1189.98</v>
      </c>
      <c r="J7" s="38"/>
      <c r="R7" s="41"/>
    </row>
    <row r="8" spans="1:20" x14ac:dyDescent="0.15">
      <c r="A8" s="11">
        <v>22</v>
      </c>
      <c r="B8" s="16">
        <v>513.55999999999995</v>
      </c>
      <c r="C8" s="16">
        <v>1</v>
      </c>
      <c r="D8" s="16"/>
      <c r="E8" s="16"/>
      <c r="F8" s="16"/>
      <c r="G8" s="16"/>
      <c r="H8" s="16">
        <v>0</v>
      </c>
      <c r="I8" s="29">
        <f t="shared" si="0"/>
        <v>514.55999999999995</v>
      </c>
      <c r="R8" s="41"/>
    </row>
    <row r="9" spans="1:20" x14ac:dyDescent="0.15">
      <c r="A9" s="11">
        <v>23</v>
      </c>
      <c r="B9" s="16">
        <v>698.88</v>
      </c>
      <c r="C9" s="16">
        <v>28.53</v>
      </c>
      <c r="D9" s="16">
        <v>4.4800000000000004</v>
      </c>
      <c r="E9" s="16">
        <v>0.4</v>
      </c>
      <c r="F9" s="16">
        <v>0.1</v>
      </c>
      <c r="G9" s="16">
        <v>6.17</v>
      </c>
      <c r="H9" s="16">
        <v>0</v>
      </c>
      <c r="I9" s="29">
        <f t="shared" si="0"/>
        <v>738.56</v>
      </c>
      <c r="R9" s="41"/>
    </row>
    <row r="10" spans="1:20" x14ac:dyDescent="0.15">
      <c r="A10" s="11">
        <v>24</v>
      </c>
      <c r="B10" s="16">
        <v>869.8</v>
      </c>
      <c r="C10" s="16">
        <v>12.06</v>
      </c>
      <c r="D10" s="16">
        <v>1.34</v>
      </c>
      <c r="E10" s="16"/>
      <c r="F10" s="16"/>
      <c r="G10" s="16">
        <v>5.67</v>
      </c>
      <c r="H10" s="16">
        <v>0</v>
      </c>
      <c r="I10" s="29">
        <f t="shared" si="0"/>
        <v>888.86999999999989</v>
      </c>
      <c r="R10" s="41"/>
    </row>
    <row r="11" spans="1:20" x14ac:dyDescent="0.15">
      <c r="A11" s="11">
        <v>25</v>
      </c>
      <c r="B11" s="16">
        <v>113.68</v>
      </c>
      <c r="C11" s="16">
        <v>7.26</v>
      </c>
      <c r="D11" s="16">
        <v>0.25</v>
      </c>
      <c r="E11" s="16">
        <v>34.36</v>
      </c>
      <c r="F11" s="16">
        <v>7.27</v>
      </c>
      <c r="G11" s="16">
        <v>13.2</v>
      </c>
      <c r="H11" s="16">
        <v>0</v>
      </c>
      <c r="I11" s="29">
        <f t="shared" si="0"/>
        <v>176.02</v>
      </c>
      <c r="J11" s="30" t="s">
        <v>45</v>
      </c>
      <c r="K11" s="31"/>
      <c r="L11" s="31"/>
      <c r="M11" s="31"/>
      <c r="N11" s="31"/>
      <c r="O11" s="31"/>
      <c r="P11" s="31"/>
      <c r="Q11" s="31"/>
      <c r="R11" s="32"/>
      <c r="S11" s="33" t="s">
        <v>62</v>
      </c>
      <c r="T11" s="30" t="s">
        <v>45</v>
      </c>
    </row>
    <row r="12" spans="1:20" x14ac:dyDescent="0.15">
      <c r="A12" s="11">
        <v>31</v>
      </c>
      <c r="B12" s="16">
        <v>26257.34</v>
      </c>
      <c r="C12" s="16">
        <v>183.9</v>
      </c>
      <c r="D12" s="16">
        <v>0</v>
      </c>
      <c r="E12" s="16">
        <v>0.2</v>
      </c>
      <c r="F12" s="16">
        <v>12.29</v>
      </c>
      <c r="G12" s="16">
        <v>0</v>
      </c>
      <c r="H12" s="16">
        <v>0</v>
      </c>
      <c r="I12" s="29">
        <f t="shared" si="0"/>
        <v>26453.730000000003</v>
      </c>
      <c r="J12" s="34" t="s">
        <v>31</v>
      </c>
      <c r="K12" s="35">
        <f t="shared" ref="K12:Q12" si="2">SUM(B12:B27)</f>
        <v>52639.180000000008</v>
      </c>
      <c r="L12" s="35">
        <f t="shared" si="2"/>
        <v>996.44999999999993</v>
      </c>
      <c r="M12" s="35">
        <f t="shared" si="2"/>
        <v>53.910000000000004</v>
      </c>
      <c r="N12" s="35">
        <f t="shared" si="2"/>
        <v>2799.8799999999997</v>
      </c>
      <c r="O12" s="35">
        <f t="shared" si="2"/>
        <v>507.22</v>
      </c>
      <c r="P12" s="35">
        <f t="shared" si="2"/>
        <v>199.47</v>
      </c>
      <c r="Q12" s="35">
        <f t="shared" si="2"/>
        <v>2.5</v>
      </c>
      <c r="R12" s="36">
        <f>SUM(K12:Q12)</f>
        <v>57198.610000000008</v>
      </c>
      <c r="S12" s="37">
        <v>57198.57</v>
      </c>
      <c r="T12" s="34" t="s">
        <v>31</v>
      </c>
    </row>
    <row r="13" spans="1:20" x14ac:dyDescent="0.15">
      <c r="A13" s="11">
        <v>32</v>
      </c>
      <c r="B13" s="16">
        <v>17722.650000000001</v>
      </c>
      <c r="C13" s="16">
        <v>495.2</v>
      </c>
      <c r="D13" s="16">
        <v>33.51</v>
      </c>
      <c r="E13" s="16">
        <v>2639.39</v>
      </c>
      <c r="F13" s="16">
        <v>466.3</v>
      </c>
      <c r="G13" s="16">
        <v>190.58</v>
      </c>
      <c r="H13" s="16">
        <v>1.2</v>
      </c>
      <c r="I13" s="29">
        <f t="shared" si="0"/>
        <v>21548.83</v>
      </c>
      <c r="J13" s="38"/>
      <c r="R13" s="41"/>
    </row>
    <row r="14" spans="1:20" x14ac:dyDescent="0.15">
      <c r="A14" s="11">
        <v>33</v>
      </c>
      <c r="B14" s="16">
        <v>639.03</v>
      </c>
      <c r="C14" s="16">
        <v>95.5</v>
      </c>
      <c r="D14" s="16">
        <v>7.45</v>
      </c>
      <c r="E14" s="16">
        <v>16.89</v>
      </c>
      <c r="F14" s="16">
        <v>3.47</v>
      </c>
      <c r="G14" s="16">
        <v>1</v>
      </c>
      <c r="H14" s="16">
        <v>0</v>
      </c>
      <c r="I14" s="29">
        <f>SUM(B14:H14)</f>
        <v>763.34</v>
      </c>
      <c r="J14" s="38"/>
      <c r="R14" s="41"/>
    </row>
    <row r="15" spans="1:20" x14ac:dyDescent="0.15">
      <c r="A15" s="11">
        <v>34</v>
      </c>
      <c r="B15" s="16">
        <v>3300.3</v>
      </c>
      <c r="C15" s="16">
        <v>7.09</v>
      </c>
      <c r="D15" s="16"/>
      <c r="E15" s="16">
        <v>0</v>
      </c>
      <c r="F15" s="16">
        <v>0.38</v>
      </c>
      <c r="G15" s="16"/>
      <c r="H15" s="16">
        <v>0.8</v>
      </c>
      <c r="I15" s="29">
        <f t="shared" si="0"/>
        <v>3308.5700000000006</v>
      </c>
      <c r="J15" s="38"/>
      <c r="R15" s="41"/>
    </row>
    <row r="16" spans="1:20" x14ac:dyDescent="0.15">
      <c r="A16" s="11">
        <v>63</v>
      </c>
      <c r="B16" s="16">
        <v>4</v>
      </c>
      <c r="C16" s="16">
        <v>139.57</v>
      </c>
      <c r="D16" s="16">
        <v>2</v>
      </c>
      <c r="E16" s="16"/>
      <c r="F16" s="16"/>
      <c r="G16" s="16">
        <v>3.5</v>
      </c>
      <c r="H16" s="16"/>
      <c r="I16" s="29">
        <f t="shared" si="0"/>
        <v>149.07</v>
      </c>
      <c r="R16" s="41"/>
    </row>
    <row r="17" spans="1:20" x14ac:dyDescent="0.15">
      <c r="A17" s="11">
        <v>40</v>
      </c>
      <c r="B17" s="16">
        <v>837.88</v>
      </c>
      <c r="C17" s="16">
        <v>15.91</v>
      </c>
      <c r="D17" s="16">
        <v>1</v>
      </c>
      <c r="E17" s="16">
        <v>33.049999999999997</v>
      </c>
      <c r="F17" s="16">
        <v>7.44</v>
      </c>
      <c r="G17" s="16">
        <v>2.5</v>
      </c>
      <c r="H17" s="16">
        <v>0.5</v>
      </c>
      <c r="I17" s="29">
        <f t="shared" si="0"/>
        <v>898.28</v>
      </c>
      <c r="K17" s="39"/>
      <c r="L17" s="39"/>
      <c r="M17" s="39"/>
      <c r="N17" s="39"/>
      <c r="R17" s="40"/>
    </row>
    <row r="18" spans="1:20" x14ac:dyDescent="0.15">
      <c r="A18" s="11">
        <v>41</v>
      </c>
      <c r="B18" s="16">
        <v>821.7</v>
      </c>
      <c r="C18" s="16">
        <v>1</v>
      </c>
      <c r="D18" s="16"/>
      <c r="E18" s="16">
        <v>3.48</v>
      </c>
      <c r="F18" s="16">
        <v>1.4</v>
      </c>
      <c r="G18" s="16"/>
      <c r="H18" s="16">
        <v>0</v>
      </c>
      <c r="I18" s="29">
        <f t="shared" si="0"/>
        <v>827.58</v>
      </c>
      <c r="R18" s="41"/>
    </row>
    <row r="19" spans="1:20" x14ac:dyDescent="0.15">
      <c r="A19" s="11">
        <v>42</v>
      </c>
      <c r="B19" s="16">
        <v>2397.58</v>
      </c>
      <c r="C19" s="16">
        <v>44.79</v>
      </c>
      <c r="D19" s="16">
        <v>6.95</v>
      </c>
      <c r="E19" s="16">
        <v>105.87</v>
      </c>
      <c r="F19" s="16">
        <v>15.84</v>
      </c>
      <c r="G19" s="16">
        <v>1.5</v>
      </c>
      <c r="H19" s="16"/>
      <c r="I19" s="29">
        <f t="shared" si="0"/>
        <v>2572.5299999999997</v>
      </c>
      <c r="J19" s="30" t="s">
        <v>46</v>
      </c>
      <c r="K19" s="31"/>
      <c r="L19" s="31"/>
      <c r="M19" s="31"/>
      <c r="N19" s="31"/>
      <c r="O19" s="31"/>
      <c r="P19" s="31"/>
      <c r="Q19" s="31"/>
      <c r="R19" s="32"/>
      <c r="S19" s="33"/>
      <c r="T19" s="30" t="s">
        <v>46</v>
      </c>
    </row>
    <row r="20" spans="1:20" x14ac:dyDescent="0.15">
      <c r="A20" s="11">
        <v>43</v>
      </c>
      <c r="B20" s="16">
        <v>0.93</v>
      </c>
      <c r="C20" s="16">
        <v>0</v>
      </c>
      <c r="D20" s="16"/>
      <c r="E20" s="16"/>
      <c r="F20" s="16"/>
      <c r="G20" s="16"/>
      <c r="H20" s="16"/>
      <c r="I20" s="29">
        <f t="shared" si="0"/>
        <v>0.93</v>
      </c>
      <c r="J20" s="34" t="s">
        <v>31</v>
      </c>
      <c r="K20" s="35">
        <f t="shared" ref="K20:Q20" si="3">SUM(B28:B30)</f>
        <v>180.2</v>
      </c>
      <c r="L20" s="35">
        <f t="shared" si="3"/>
        <v>0</v>
      </c>
      <c r="M20" s="35">
        <f t="shared" si="3"/>
        <v>0</v>
      </c>
      <c r="N20" s="35">
        <f t="shared" si="3"/>
        <v>0.6</v>
      </c>
      <c r="O20" s="35">
        <f t="shared" si="3"/>
        <v>0</v>
      </c>
      <c r="P20" s="35">
        <f t="shared" si="3"/>
        <v>0</v>
      </c>
      <c r="Q20" s="35">
        <f t="shared" si="3"/>
        <v>7.6</v>
      </c>
      <c r="R20" s="36">
        <f>SUM(K20:Q20)</f>
        <v>188.39999999999998</v>
      </c>
      <c r="S20" s="37"/>
      <c r="T20" s="34" t="s">
        <v>31</v>
      </c>
    </row>
    <row r="21" spans="1:20" x14ac:dyDescent="0.15">
      <c r="A21" s="11">
        <v>44</v>
      </c>
      <c r="B21" s="16">
        <v>101.15</v>
      </c>
      <c r="C21" s="16">
        <v>1.5</v>
      </c>
      <c r="D21" s="16">
        <v>2</v>
      </c>
      <c r="E21" s="16"/>
      <c r="F21" s="16">
        <v>0.1</v>
      </c>
      <c r="G21" s="16"/>
      <c r="H21" s="16"/>
      <c r="I21" s="29">
        <f t="shared" si="0"/>
        <v>104.75</v>
      </c>
      <c r="J21" s="38"/>
      <c r="R21" s="41"/>
    </row>
    <row r="22" spans="1:20" x14ac:dyDescent="0.15">
      <c r="A22" s="11">
        <v>45</v>
      </c>
      <c r="B22" s="16">
        <v>5.9</v>
      </c>
      <c r="C22" s="16">
        <v>0.09</v>
      </c>
      <c r="D22" s="16"/>
      <c r="E22" s="16">
        <v>1</v>
      </c>
      <c r="F22" s="16"/>
      <c r="G22" s="16"/>
      <c r="H22" s="16"/>
      <c r="I22" s="29">
        <f t="shared" si="0"/>
        <v>6.99</v>
      </c>
      <c r="J22" s="38"/>
      <c r="R22" s="41"/>
    </row>
    <row r="23" spans="1:20" x14ac:dyDescent="0.15">
      <c r="A23" s="11">
        <v>46</v>
      </c>
      <c r="B23" s="16">
        <v>28.71</v>
      </c>
      <c r="C23" s="16">
        <v>0.05</v>
      </c>
      <c r="D23" s="16"/>
      <c r="E23" s="16"/>
      <c r="F23" s="16"/>
      <c r="G23" s="16">
        <v>0.19</v>
      </c>
      <c r="H23" s="16"/>
      <c r="I23" s="29">
        <f t="shared" si="0"/>
        <v>28.950000000000003</v>
      </c>
      <c r="Q23" s="11" t="s">
        <v>49</v>
      </c>
      <c r="R23" s="42">
        <f>SUM(I4:I30)</f>
        <v>61863.32</v>
      </c>
      <c r="S23" s="43">
        <f>+S12+S5</f>
        <v>61674.86</v>
      </c>
      <c r="T23" s="44" t="s">
        <v>50</v>
      </c>
    </row>
    <row r="24" spans="1:20" ht="11.25" thickBot="1" x14ac:dyDescent="0.2">
      <c r="A24" s="11">
        <v>47</v>
      </c>
      <c r="B24" s="16">
        <v>518.75</v>
      </c>
      <c r="C24" s="16">
        <v>1.35</v>
      </c>
      <c r="D24" s="16"/>
      <c r="E24" s="16"/>
      <c r="F24" s="16"/>
      <c r="G24" s="16">
        <v>0.2</v>
      </c>
      <c r="H24" s="16"/>
      <c r="I24" s="29">
        <f t="shared" si="0"/>
        <v>520.30000000000007</v>
      </c>
      <c r="J24" s="30" t="s">
        <v>51</v>
      </c>
      <c r="K24" s="31"/>
      <c r="L24" s="31"/>
      <c r="M24" s="31"/>
      <c r="N24" s="31"/>
      <c r="O24" s="31"/>
      <c r="P24" s="31"/>
      <c r="Q24" s="31"/>
      <c r="R24" s="45"/>
      <c r="S24" s="46">
        <f>+R20</f>
        <v>188.39999999999998</v>
      </c>
      <c r="T24" s="47" t="s">
        <v>52</v>
      </c>
    </row>
    <row r="25" spans="1:20" ht="11.25" thickBot="1" x14ac:dyDescent="0.2">
      <c r="A25" s="11">
        <v>48</v>
      </c>
      <c r="B25" s="16">
        <v>2.2599999999999998</v>
      </c>
      <c r="C25" s="16"/>
      <c r="D25" s="16"/>
      <c r="E25" s="16"/>
      <c r="F25" s="16"/>
      <c r="G25" s="16"/>
      <c r="H25" s="16">
        <v>0</v>
      </c>
      <c r="I25" s="29">
        <f t="shared" si="0"/>
        <v>2.2599999999999998</v>
      </c>
      <c r="J25" s="34" t="s">
        <v>31</v>
      </c>
      <c r="K25" s="35">
        <f t="shared" ref="K25:Q25" si="4">SUM(B4:B30)</f>
        <v>56655.880000000005</v>
      </c>
      <c r="L25" s="35">
        <f t="shared" si="4"/>
        <v>1065.9699999999998</v>
      </c>
      <c r="M25" s="35">
        <f t="shared" si="4"/>
        <v>60.370000000000005</v>
      </c>
      <c r="N25" s="35">
        <f t="shared" si="4"/>
        <v>2899.5699999999997</v>
      </c>
      <c r="O25" s="35">
        <f t="shared" si="4"/>
        <v>529.21000000000015</v>
      </c>
      <c r="P25" s="35">
        <f t="shared" si="4"/>
        <v>225.51</v>
      </c>
      <c r="Q25" s="35">
        <f t="shared" si="4"/>
        <v>426.81</v>
      </c>
      <c r="R25" s="48">
        <f>SUM(K25:Q25)</f>
        <v>61863.320000000007</v>
      </c>
      <c r="S25" s="49">
        <f>+S23+S24</f>
        <v>61863.26</v>
      </c>
      <c r="T25" s="50" t="s">
        <v>41</v>
      </c>
    </row>
    <row r="26" spans="1:20" x14ac:dyDescent="0.15">
      <c r="A26" s="11">
        <v>49</v>
      </c>
      <c r="B26" s="16">
        <v>0</v>
      </c>
      <c r="C26" s="16"/>
      <c r="D26" s="16"/>
      <c r="E26" s="16"/>
      <c r="F26" s="16"/>
      <c r="G26" s="16"/>
      <c r="H26" s="16"/>
      <c r="I26" s="29">
        <f t="shared" si="0"/>
        <v>0</v>
      </c>
      <c r="R26" s="41"/>
    </row>
    <row r="27" spans="1:20" x14ac:dyDescent="0.15">
      <c r="A27" s="11">
        <v>64</v>
      </c>
      <c r="B27" s="16">
        <v>1</v>
      </c>
      <c r="C27" s="16">
        <v>10.5</v>
      </c>
      <c r="D27" s="16">
        <v>1</v>
      </c>
      <c r="E27" s="16"/>
      <c r="F27" s="16"/>
      <c r="G27" s="16"/>
      <c r="H27" s="16"/>
      <c r="I27" s="29">
        <f t="shared" si="0"/>
        <v>12.5</v>
      </c>
      <c r="R27" s="41"/>
      <c r="T27" s="51" t="s">
        <v>51</v>
      </c>
    </row>
    <row r="28" spans="1:20" x14ac:dyDescent="0.15">
      <c r="A28" s="11">
        <v>51</v>
      </c>
      <c r="B28" s="16">
        <v>106.32</v>
      </c>
      <c r="C28" s="16"/>
      <c r="D28" s="16"/>
      <c r="E28" s="16">
        <v>0</v>
      </c>
      <c r="F28" s="16">
        <v>0</v>
      </c>
      <c r="G28" s="16"/>
      <c r="H28" s="16"/>
      <c r="I28" s="29">
        <f t="shared" si="0"/>
        <v>106.32</v>
      </c>
      <c r="R28" s="41"/>
      <c r="T28" s="52" t="s">
        <v>31</v>
      </c>
    </row>
    <row r="29" spans="1:20" x14ac:dyDescent="0.15">
      <c r="A29" s="11">
        <v>52</v>
      </c>
      <c r="B29" s="16">
        <v>40.74</v>
      </c>
      <c r="C29" s="16"/>
      <c r="D29" s="16"/>
      <c r="E29" s="16">
        <v>0.6</v>
      </c>
      <c r="F29" s="16"/>
      <c r="G29" s="16"/>
      <c r="H29" s="16"/>
      <c r="I29" s="29">
        <f t="shared" si="0"/>
        <v>41.34</v>
      </c>
      <c r="R29" s="41"/>
    </row>
    <row r="30" spans="1:20" x14ac:dyDescent="0.15">
      <c r="A30" s="11">
        <v>61</v>
      </c>
      <c r="B30" s="16">
        <v>33.14</v>
      </c>
      <c r="C30" s="16">
        <v>0</v>
      </c>
      <c r="D30" s="16"/>
      <c r="E30" s="16"/>
      <c r="F30" s="16"/>
      <c r="G30" s="16">
        <v>0</v>
      </c>
      <c r="H30" s="16">
        <v>7.6</v>
      </c>
      <c r="I30" s="29">
        <f t="shared" si="0"/>
        <v>40.74</v>
      </c>
      <c r="R30" s="41"/>
    </row>
    <row r="31" spans="1:20" x14ac:dyDescent="0.15">
      <c r="A31" s="11">
        <v>90</v>
      </c>
      <c r="B31" s="16">
        <v>0</v>
      </c>
      <c r="C31" s="16">
        <v>0</v>
      </c>
      <c r="D31" s="16"/>
      <c r="E31" s="16">
        <v>0</v>
      </c>
      <c r="F31" s="16"/>
      <c r="G31" s="16"/>
      <c r="H31" s="16">
        <v>0.79</v>
      </c>
      <c r="I31" s="29">
        <f t="shared" si="0"/>
        <v>0.79</v>
      </c>
      <c r="R31" s="41"/>
    </row>
    <row r="32" spans="1:20" x14ac:dyDescent="0.15">
      <c r="A32" s="11">
        <v>91</v>
      </c>
      <c r="B32" s="16">
        <v>3471.79</v>
      </c>
      <c r="C32" s="16">
        <v>69.34</v>
      </c>
      <c r="D32" s="16">
        <v>5.83</v>
      </c>
      <c r="E32" s="16">
        <v>132.25</v>
      </c>
      <c r="F32" s="16">
        <v>4.26</v>
      </c>
      <c r="G32" s="16">
        <v>12.27</v>
      </c>
      <c r="H32" s="16">
        <v>4.5199999999999996</v>
      </c>
      <c r="I32" s="29">
        <f t="shared" si="0"/>
        <v>3700.26</v>
      </c>
      <c r="R32" s="41"/>
    </row>
    <row r="33" spans="1:20" x14ac:dyDescent="0.15">
      <c r="A33" s="11">
        <v>92</v>
      </c>
      <c r="B33" s="16">
        <v>0</v>
      </c>
      <c r="C33" s="16"/>
      <c r="D33" s="16"/>
      <c r="E33" s="16"/>
      <c r="F33" s="16"/>
      <c r="G33" s="16">
        <v>0.22</v>
      </c>
      <c r="H33" s="16">
        <v>1298.76</v>
      </c>
      <c r="I33" s="29">
        <f t="shared" si="0"/>
        <v>1298.98</v>
      </c>
      <c r="J33" s="30" t="s">
        <v>507</v>
      </c>
      <c r="K33" s="31"/>
      <c r="L33" s="31"/>
      <c r="M33" s="31"/>
      <c r="N33" s="31"/>
      <c r="O33" s="31"/>
      <c r="P33" s="31"/>
      <c r="Q33" s="31"/>
      <c r="R33" s="32"/>
      <c r="S33" s="33" t="s">
        <v>280</v>
      </c>
      <c r="T33" s="51" t="s">
        <v>507</v>
      </c>
    </row>
    <row r="34" spans="1:20" x14ac:dyDescent="0.15">
      <c r="A34" s="11">
        <v>93</v>
      </c>
      <c r="B34" s="16"/>
      <c r="C34" s="16"/>
      <c r="D34" s="16"/>
      <c r="E34" s="16"/>
      <c r="F34" s="16"/>
      <c r="G34" s="16"/>
      <c r="H34" s="16">
        <v>227.39</v>
      </c>
      <c r="I34" s="29">
        <f t="shared" si="0"/>
        <v>227.39</v>
      </c>
      <c r="J34" s="34" t="s">
        <v>31</v>
      </c>
      <c r="K34" s="35">
        <f t="shared" ref="K34:Q34" si="5">SUM(B31:B40)</f>
        <v>9938.1700000000019</v>
      </c>
      <c r="L34" s="35">
        <f t="shared" si="5"/>
        <v>246.92</v>
      </c>
      <c r="M34" s="35">
        <f t="shared" si="5"/>
        <v>28.63</v>
      </c>
      <c r="N34" s="35">
        <f t="shared" si="5"/>
        <v>328.14</v>
      </c>
      <c r="O34" s="35">
        <f t="shared" si="5"/>
        <v>34.219999999999992</v>
      </c>
      <c r="P34" s="35">
        <f t="shared" si="5"/>
        <v>69.740000000000009</v>
      </c>
      <c r="Q34" s="35">
        <f t="shared" si="5"/>
        <v>12121.87</v>
      </c>
      <c r="R34" s="36">
        <f>SUM(K34:Q34)</f>
        <v>22767.690000000002</v>
      </c>
      <c r="S34" s="37">
        <v>22767.72</v>
      </c>
      <c r="T34" s="52" t="s">
        <v>31</v>
      </c>
    </row>
    <row r="35" spans="1:20" x14ac:dyDescent="0.15">
      <c r="A35" s="11">
        <v>94</v>
      </c>
      <c r="B35" s="16">
        <v>5015.25</v>
      </c>
      <c r="C35" s="16">
        <v>136.85</v>
      </c>
      <c r="D35" s="16">
        <v>10.84</v>
      </c>
      <c r="E35" s="16">
        <v>124.44</v>
      </c>
      <c r="F35" s="16">
        <v>17.75</v>
      </c>
      <c r="G35" s="16">
        <v>36.340000000000003</v>
      </c>
      <c r="H35" s="16">
        <v>1775.59</v>
      </c>
      <c r="I35" s="29">
        <f t="shared" si="0"/>
        <v>7117.06</v>
      </c>
      <c r="R35" s="42"/>
      <c r="S35" s="53">
        <v>56655.87</v>
      </c>
      <c r="T35" s="54" t="s">
        <v>47</v>
      </c>
    </row>
    <row r="36" spans="1:20" x14ac:dyDescent="0.15">
      <c r="A36" s="11">
        <v>95</v>
      </c>
      <c r="B36" s="16">
        <v>0.73</v>
      </c>
      <c r="C36" s="16"/>
      <c r="D36" s="16"/>
      <c r="E36" s="16"/>
      <c r="F36" s="16"/>
      <c r="G36" s="16"/>
      <c r="H36" s="16">
        <v>50</v>
      </c>
      <c r="I36" s="29">
        <f t="shared" si="0"/>
        <v>50.73</v>
      </c>
      <c r="R36" s="41"/>
      <c r="S36" s="55">
        <v>1065.94</v>
      </c>
      <c r="T36" s="56" t="s">
        <v>381</v>
      </c>
    </row>
    <row r="37" spans="1:20" x14ac:dyDescent="0.15">
      <c r="A37" s="11">
        <v>96</v>
      </c>
      <c r="B37" s="16">
        <v>693.03</v>
      </c>
      <c r="C37" s="16">
        <v>22.47</v>
      </c>
      <c r="D37" s="16">
        <v>1.74</v>
      </c>
      <c r="E37" s="16">
        <v>25.7</v>
      </c>
      <c r="F37" s="16">
        <v>1.74</v>
      </c>
      <c r="G37" s="16">
        <v>2.86</v>
      </c>
      <c r="H37" s="16">
        <v>763.63</v>
      </c>
      <c r="I37" s="29">
        <f t="shared" si="0"/>
        <v>1511.17</v>
      </c>
      <c r="R37" s="41"/>
      <c r="S37" s="55">
        <v>60.37</v>
      </c>
      <c r="T37" s="56" t="s">
        <v>506</v>
      </c>
    </row>
    <row r="38" spans="1:20" x14ac:dyDescent="0.15">
      <c r="A38" s="11">
        <v>97</v>
      </c>
      <c r="B38" s="16">
        <v>282.02</v>
      </c>
      <c r="C38" s="16">
        <v>3.99</v>
      </c>
      <c r="D38" s="16">
        <v>0.77</v>
      </c>
      <c r="E38" s="16">
        <v>5.15</v>
      </c>
      <c r="F38" s="16"/>
      <c r="G38" s="16">
        <v>15.66</v>
      </c>
      <c r="H38" s="16">
        <v>5942.34</v>
      </c>
      <c r="I38" s="29">
        <f t="shared" si="0"/>
        <v>6249.93</v>
      </c>
      <c r="R38" s="41"/>
      <c r="S38" s="55">
        <v>2899.56</v>
      </c>
      <c r="T38" s="56" t="s">
        <v>48</v>
      </c>
    </row>
    <row r="39" spans="1:20" x14ac:dyDescent="0.15">
      <c r="A39" s="11">
        <v>98</v>
      </c>
      <c r="B39" s="16">
        <v>335.61</v>
      </c>
      <c r="C39" s="16">
        <v>11.57</v>
      </c>
      <c r="D39" s="16">
        <v>9.16</v>
      </c>
      <c r="E39" s="16">
        <v>35.340000000000003</v>
      </c>
      <c r="F39" s="16">
        <v>9.6</v>
      </c>
      <c r="G39" s="16">
        <v>1.39</v>
      </c>
      <c r="H39" s="16">
        <v>1066.68</v>
      </c>
      <c r="I39" s="29">
        <f t="shared" si="0"/>
        <v>1469.3500000000001</v>
      </c>
      <c r="R39" s="41"/>
      <c r="S39" s="55">
        <v>529.19000000000005</v>
      </c>
      <c r="T39" s="56" t="s">
        <v>382</v>
      </c>
    </row>
    <row r="40" spans="1:20" x14ac:dyDescent="0.15">
      <c r="A40" s="11">
        <v>99</v>
      </c>
      <c r="B40" s="16">
        <v>139.74</v>
      </c>
      <c r="C40" s="16">
        <v>2.7</v>
      </c>
      <c r="D40" s="16">
        <v>0.28999999999999998</v>
      </c>
      <c r="E40" s="16">
        <v>5.26</v>
      </c>
      <c r="F40" s="16">
        <v>0.87</v>
      </c>
      <c r="G40" s="16">
        <v>1</v>
      </c>
      <c r="H40" s="16">
        <v>992.17</v>
      </c>
      <c r="I40" s="29">
        <f t="shared" si="0"/>
        <v>1142.03</v>
      </c>
      <c r="R40" s="41"/>
      <c r="S40" s="55">
        <v>225.52</v>
      </c>
      <c r="T40" s="56" t="s">
        <v>383</v>
      </c>
    </row>
    <row r="41" spans="1:20" ht="11.25" thickBot="1" x14ac:dyDescent="0.2">
      <c r="B41" s="57" t="s">
        <v>55</v>
      </c>
      <c r="C41" s="58" t="s">
        <v>55</v>
      </c>
      <c r="D41" s="58" t="s">
        <v>55</v>
      </c>
      <c r="E41" s="58" t="s">
        <v>55</v>
      </c>
      <c r="F41" s="58" t="s">
        <v>55</v>
      </c>
      <c r="G41" s="58" t="s">
        <v>55</v>
      </c>
      <c r="H41" s="58" t="s">
        <v>55</v>
      </c>
      <c r="I41" s="58" t="s">
        <v>55</v>
      </c>
      <c r="R41" s="59"/>
      <c r="S41" s="60">
        <v>426.8</v>
      </c>
      <c r="T41" s="61" t="s">
        <v>53</v>
      </c>
    </row>
    <row r="42" spans="1:20" ht="11.25" thickBot="1" x14ac:dyDescent="0.2">
      <c r="A42" s="21" t="s">
        <v>56</v>
      </c>
      <c r="B42" s="62">
        <f t="shared" ref="B42:I42" si="6">SUM(B4:B40)</f>
        <v>66594.050000000017</v>
      </c>
      <c r="C42" s="62">
        <f>SUM(C4:C40)</f>
        <v>1312.8899999999996</v>
      </c>
      <c r="D42" s="62">
        <f t="shared" si="6"/>
        <v>89</v>
      </c>
      <c r="E42" s="62">
        <f t="shared" si="6"/>
        <v>3227.71</v>
      </c>
      <c r="F42" s="62">
        <f t="shared" si="6"/>
        <v>563.43000000000018</v>
      </c>
      <c r="G42" s="62">
        <f t="shared" si="6"/>
        <v>295.25000000000006</v>
      </c>
      <c r="H42" s="62">
        <f t="shared" si="6"/>
        <v>12548.68</v>
      </c>
      <c r="I42" s="63">
        <f t="shared" si="6"/>
        <v>84631.00999999998</v>
      </c>
      <c r="J42" s="64" t="s">
        <v>57</v>
      </c>
      <c r="K42" s="63">
        <f t="shared" ref="K42:R42" si="7">+K5+K12+K20+K34</f>
        <v>66594.05</v>
      </c>
      <c r="L42" s="63">
        <f>+L5+L12+L20+L34</f>
        <v>1312.89</v>
      </c>
      <c r="M42" s="63">
        <f t="shared" si="7"/>
        <v>89</v>
      </c>
      <c r="N42" s="63">
        <f t="shared" si="7"/>
        <v>3227.7099999999996</v>
      </c>
      <c r="O42" s="63">
        <f t="shared" si="7"/>
        <v>563.43000000000006</v>
      </c>
      <c r="P42" s="63">
        <f t="shared" si="7"/>
        <v>295.25</v>
      </c>
      <c r="Q42" s="63">
        <f t="shared" si="7"/>
        <v>12548.68</v>
      </c>
      <c r="R42" s="63">
        <f t="shared" si="7"/>
        <v>84631.010000000009</v>
      </c>
      <c r="S42" s="65">
        <f>SUM(S35:S41)</f>
        <v>61863.250000000007</v>
      </c>
      <c r="T42" s="61" t="s">
        <v>54</v>
      </c>
    </row>
    <row r="43" spans="1:20" ht="11.25" thickBot="1" x14ac:dyDescent="0.2">
      <c r="A43" s="25" t="s">
        <v>39</v>
      </c>
      <c r="B43" s="66" t="s">
        <v>40</v>
      </c>
      <c r="C43" s="67" t="s">
        <v>380</v>
      </c>
      <c r="D43" s="67" t="s">
        <v>503</v>
      </c>
      <c r="E43" s="67">
        <v>31</v>
      </c>
      <c r="F43" s="67">
        <v>34</v>
      </c>
      <c r="G43" s="67">
        <v>45</v>
      </c>
      <c r="H43" s="67">
        <v>97</v>
      </c>
      <c r="I43" s="67" t="s">
        <v>41</v>
      </c>
      <c r="J43" s="25" t="s">
        <v>39</v>
      </c>
      <c r="K43" s="26" t="s">
        <v>40</v>
      </c>
      <c r="L43" s="27" t="s">
        <v>380</v>
      </c>
      <c r="M43" s="26" t="s">
        <v>503</v>
      </c>
      <c r="N43" s="27">
        <v>31</v>
      </c>
      <c r="O43" s="27">
        <v>34</v>
      </c>
      <c r="P43" s="27">
        <v>45</v>
      </c>
      <c r="Q43" s="27">
        <v>97</v>
      </c>
      <c r="R43" s="28" t="s">
        <v>42</v>
      </c>
    </row>
    <row r="44" spans="1:20" ht="11.25" thickTop="1" x14ac:dyDescent="0.15">
      <c r="A44" s="68" t="s">
        <v>43</v>
      </c>
      <c r="B44" s="69"/>
      <c r="C44" s="70"/>
      <c r="D44" s="70"/>
      <c r="E44" s="70"/>
      <c r="F44" s="70"/>
      <c r="G44" s="70"/>
      <c r="H44" s="70"/>
      <c r="I44" s="71"/>
      <c r="J44" s="25"/>
      <c r="K44" s="72"/>
      <c r="L44" s="73"/>
      <c r="M44" s="73"/>
      <c r="N44" s="73"/>
      <c r="O44" s="73"/>
      <c r="P44" s="73"/>
      <c r="Q44" s="73"/>
      <c r="R44" s="73"/>
    </row>
    <row r="45" spans="1:20" x14ac:dyDescent="0.15">
      <c r="A45" s="74" t="s">
        <v>187</v>
      </c>
      <c r="B45" s="75">
        <v>56655.87</v>
      </c>
      <c r="C45" s="76">
        <v>1065.94</v>
      </c>
      <c r="D45" s="76">
        <v>60.37</v>
      </c>
      <c r="E45" s="76">
        <v>2899.56</v>
      </c>
      <c r="F45" s="76">
        <v>529.19000000000005</v>
      </c>
      <c r="G45" s="76">
        <v>225.52</v>
      </c>
      <c r="H45" s="76">
        <v>426.8</v>
      </c>
      <c r="I45" s="77">
        <f>SUM(B45:H45)</f>
        <v>61863.250000000007</v>
      </c>
      <c r="J45" s="78"/>
      <c r="K45" s="79"/>
      <c r="L45" s="80"/>
      <c r="M45" s="80"/>
      <c r="N45" s="80"/>
      <c r="O45" s="73"/>
      <c r="P45" s="73"/>
      <c r="Q45" s="73"/>
      <c r="R45" s="73"/>
    </row>
    <row r="46" spans="1:20" x14ac:dyDescent="0.15">
      <c r="A46" s="74" t="s">
        <v>188</v>
      </c>
      <c r="B46" s="75">
        <v>9938.17</v>
      </c>
      <c r="C46" s="76">
        <v>246.92</v>
      </c>
      <c r="D46" s="76">
        <v>28.63</v>
      </c>
      <c r="E46" s="76">
        <v>328.15</v>
      </c>
      <c r="F46" s="76">
        <v>34.22</v>
      </c>
      <c r="G46" s="76">
        <v>69.760000000000005</v>
      </c>
      <c r="H46" s="76">
        <v>12121.87</v>
      </c>
      <c r="I46" s="77">
        <f>SUM(B46:H46)</f>
        <v>22767.72</v>
      </c>
      <c r="J46" s="78"/>
      <c r="K46" s="79"/>
      <c r="L46" s="80"/>
      <c r="M46" s="80"/>
      <c r="N46" s="80"/>
      <c r="O46" s="73"/>
      <c r="P46" s="73"/>
      <c r="Q46" s="73"/>
      <c r="R46" s="73"/>
    </row>
    <row r="47" spans="1:20" ht="11.25" thickBot="1" x14ac:dyDescent="0.2">
      <c r="A47" s="81" t="s">
        <v>189</v>
      </c>
      <c r="B47" s="82">
        <f t="shared" ref="B47:I47" si="8">SUM(B45:B46)</f>
        <v>66594.040000000008</v>
      </c>
      <c r="C47" s="82">
        <f>SUM(C45:C46)</f>
        <v>1312.8600000000001</v>
      </c>
      <c r="D47" s="82">
        <f t="shared" si="8"/>
        <v>89</v>
      </c>
      <c r="E47" s="82">
        <f t="shared" si="8"/>
        <v>3227.71</v>
      </c>
      <c r="F47" s="82">
        <f t="shared" si="8"/>
        <v>563.41000000000008</v>
      </c>
      <c r="G47" s="82">
        <f t="shared" si="8"/>
        <v>295.28000000000003</v>
      </c>
      <c r="H47" s="82">
        <f t="shared" si="8"/>
        <v>12548.67</v>
      </c>
      <c r="I47" s="83">
        <f t="shared" si="8"/>
        <v>84630.97</v>
      </c>
      <c r="J47" s="78"/>
      <c r="K47" s="79"/>
      <c r="L47" s="80"/>
      <c r="M47" s="80"/>
      <c r="N47" s="80"/>
      <c r="O47" s="73"/>
      <c r="P47" s="73"/>
      <c r="Q47" s="73"/>
      <c r="R47" s="73"/>
    </row>
    <row r="48" spans="1:20" ht="11.25" thickTop="1" x14ac:dyDescent="0.15">
      <c r="A48" s="78"/>
      <c r="B48" s="84"/>
      <c r="C48" s="80"/>
      <c r="D48" s="80"/>
      <c r="E48" s="80"/>
      <c r="F48" s="80"/>
      <c r="G48" s="80"/>
      <c r="H48" s="80"/>
      <c r="I48" s="80"/>
      <c r="J48" s="78"/>
      <c r="K48" s="79"/>
      <c r="L48" s="80"/>
      <c r="M48" s="80"/>
      <c r="N48" s="80"/>
      <c r="O48" s="73"/>
      <c r="P48" s="73"/>
      <c r="Q48" s="73"/>
      <c r="R48" s="73"/>
    </row>
    <row r="49" spans="1:20" x14ac:dyDescent="0.15">
      <c r="A49" s="78"/>
      <c r="B49" s="85"/>
      <c r="C49" s="80"/>
      <c r="D49" s="80"/>
      <c r="E49" s="80"/>
      <c r="F49" s="80"/>
      <c r="G49" s="80"/>
      <c r="H49" s="80"/>
      <c r="I49" s="80"/>
      <c r="J49" s="78"/>
      <c r="K49" s="79"/>
      <c r="L49" s="80"/>
      <c r="M49" s="80"/>
      <c r="N49" s="80"/>
      <c r="O49" s="73"/>
      <c r="P49" s="73"/>
      <c r="Q49" s="73"/>
      <c r="R49" s="73"/>
    </row>
    <row r="50" spans="1:20" ht="11.25" thickBot="1" x14ac:dyDescent="0.2">
      <c r="B50" s="22" t="s">
        <v>58</v>
      </c>
      <c r="C50" s="24"/>
      <c r="D50" s="24"/>
      <c r="E50" s="24"/>
      <c r="F50" s="24"/>
      <c r="G50" s="24"/>
      <c r="H50" s="24"/>
      <c r="I50" s="24"/>
    </row>
    <row r="51" spans="1:20" ht="11.25" thickBot="1" x14ac:dyDescent="0.2">
      <c r="A51" s="25" t="s">
        <v>39</v>
      </c>
      <c r="B51" s="26" t="s">
        <v>40</v>
      </c>
      <c r="C51" s="27" t="s">
        <v>380</v>
      </c>
      <c r="D51" s="26" t="s">
        <v>503</v>
      </c>
      <c r="E51" s="27">
        <v>31</v>
      </c>
      <c r="F51" s="27">
        <v>34</v>
      </c>
      <c r="G51" s="27">
        <v>45</v>
      </c>
      <c r="H51" s="27">
        <v>97</v>
      </c>
      <c r="I51" s="27" t="s">
        <v>41</v>
      </c>
      <c r="K51" s="26" t="s">
        <v>40</v>
      </c>
      <c r="L51" s="27" t="s">
        <v>380</v>
      </c>
      <c r="M51" s="26" t="s">
        <v>503</v>
      </c>
      <c r="N51" s="27">
        <v>31</v>
      </c>
      <c r="O51" s="27">
        <v>34</v>
      </c>
      <c r="P51" s="27">
        <v>45</v>
      </c>
      <c r="Q51" s="27">
        <v>97</v>
      </c>
      <c r="R51" s="28" t="s">
        <v>42</v>
      </c>
    </row>
    <row r="52" spans="1:20" x14ac:dyDescent="0.15">
      <c r="A52" s="11">
        <v>11</v>
      </c>
      <c r="B52" s="13">
        <v>130406</v>
      </c>
      <c r="C52" s="86"/>
      <c r="D52" s="86"/>
      <c r="E52" s="86"/>
      <c r="F52" s="86"/>
      <c r="G52" s="86"/>
      <c r="H52" s="13">
        <v>164259</v>
      </c>
      <c r="I52" s="87">
        <f>SUM(B52:H52)</f>
        <v>294665</v>
      </c>
      <c r="J52" s="30" t="s">
        <v>44</v>
      </c>
      <c r="K52" s="31"/>
      <c r="L52" s="31"/>
      <c r="M52" s="31"/>
      <c r="N52" s="31"/>
      <c r="O52" s="31"/>
      <c r="P52" s="31"/>
      <c r="Q52" s="31"/>
      <c r="R52" s="32"/>
    </row>
    <row r="53" spans="1:20" x14ac:dyDescent="0.15">
      <c r="A53" s="11">
        <v>12</v>
      </c>
      <c r="B53" s="13">
        <v>174023</v>
      </c>
      <c r="C53" s="13">
        <v>0</v>
      </c>
      <c r="D53" s="13"/>
      <c r="E53" s="13">
        <v>186299</v>
      </c>
      <c r="F53" s="86"/>
      <c r="G53" s="86"/>
      <c r="H53" s="13">
        <v>166829</v>
      </c>
      <c r="I53" s="87">
        <f t="shared" ref="I53:I69" si="9">SUM(B53:H53)</f>
        <v>527151</v>
      </c>
      <c r="J53" s="88" t="s">
        <v>31</v>
      </c>
      <c r="K53" s="89">
        <f t="shared" ref="K53:Q53" si="10">+K5</f>
        <v>3836.4999999999995</v>
      </c>
      <c r="L53" s="89">
        <f>+L5</f>
        <v>69.52000000000001</v>
      </c>
      <c r="M53" s="89">
        <f t="shared" si="10"/>
        <v>6.46</v>
      </c>
      <c r="N53" s="89">
        <f t="shared" si="10"/>
        <v>99.09</v>
      </c>
      <c r="O53" s="89">
        <f t="shared" si="10"/>
        <v>21.99</v>
      </c>
      <c r="P53" s="89">
        <f t="shared" si="10"/>
        <v>26.04</v>
      </c>
      <c r="Q53" s="89">
        <f t="shared" si="10"/>
        <v>416.71</v>
      </c>
      <c r="R53" s="40">
        <f>SUM(K53:Q53)</f>
        <v>4476.3099999999995</v>
      </c>
    </row>
    <row r="54" spans="1:20" x14ac:dyDescent="0.15">
      <c r="A54" s="11">
        <v>13</v>
      </c>
      <c r="B54" s="13">
        <v>145409</v>
      </c>
      <c r="C54" s="13">
        <v>116569</v>
      </c>
      <c r="D54" s="13">
        <v>133626</v>
      </c>
      <c r="E54" s="13">
        <v>133468</v>
      </c>
      <c r="F54" s="13">
        <v>133794</v>
      </c>
      <c r="G54" s="13">
        <v>94663</v>
      </c>
      <c r="H54" s="13">
        <v>145896</v>
      </c>
      <c r="I54" s="87">
        <f t="shared" si="9"/>
        <v>903425</v>
      </c>
      <c r="J54" s="90" t="s">
        <v>59</v>
      </c>
      <c r="K54" s="86">
        <f t="shared" ref="K54:Q54" si="11">SUMPRODUCT(B52:B59,B4:B11)</f>
        <v>512243719.94999993</v>
      </c>
      <c r="L54" s="86">
        <f t="shared" si="11"/>
        <v>8992787.7800000012</v>
      </c>
      <c r="M54" s="86">
        <f t="shared" si="11"/>
        <v>901003.3</v>
      </c>
      <c r="N54" s="86">
        <f t="shared" si="11"/>
        <v>13115723.42</v>
      </c>
      <c r="O54" s="86">
        <f t="shared" si="11"/>
        <v>2912372.67</v>
      </c>
      <c r="P54" s="86">
        <f t="shared" si="11"/>
        <v>3410543.16</v>
      </c>
      <c r="Q54" s="86">
        <f t="shared" si="11"/>
        <v>66491725.890000001</v>
      </c>
      <c r="R54" s="91">
        <f>SUM(K54:Q54)</f>
        <v>608067876.16999984</v>
      </c>
      <c r="S54" s="33" t="s">
        <v>60</v>
      </c>
      <c r="T54" s="92" t="s">
        <v>44</v>
      </c>
    </row>
    <row r="55" spans="1:20" x14ac:dyDescent="0.15">
      <c r="A55" s="11">
        <v>21</v>
      </c>
      <c r="B55" s="13">
        <v>134228</v>
      </c>
      <c r="C55" s="13">
        <v>131306</v>
      </c>
      <c r="D55" s="13"/>
      <c r="E55" s="86"/>
      <c r="F55" s="86"/>
      <c r="G55" s="13"/>
      <c r="H55" s="13">
        <v>143080</v>
      </c>
      <c r="I55" s="87">
        <f t="shared" si="9"/>
        <v>408614</v>
      </c>
      <c r="J55" s="93" t="s">
        <v>61</v>
      </c>
      <c r="K55" s="94">
        <f t="shared" ref="K55:Q55" si="12">+K54/K53</f>
        <v>133518.49861853253</v>
      </c>
      <c r="L55" s="94">
        <f t="shared" si="12"/>
        <v>129355.40535097814</v>
      </c>
      <c r="M55" s="94">
        <f t="shared" si="12"/>
        <v>139474.19504643965</v>
      </c>
      <c r="N55" s="94">
        <f t="shared" si="12"/>
        <v>132361.72590574226</v>
      </c>
      <c r="O55" s="94">
        <f t="shared" si="12"/>
        <v>132440.77626193725</v>
      </c>
      <c r="P55" s="94">
        <f t="shared" si="12"/>
        <v>130973.23963133642</v>
      </c>
      <c r="Q55" s="94">
        <f t="shared" si="12"/>
        <v>159563.54752705721</v>
      </c>
      <c r="R55" s="95">
        <f>+R54/R53</f>
        <v>135841.32380688557</v>
      </c>
      <c r="S55" s="96">
        <v>135841</v>
      </c>
      <c r="T55" s="97" t="s">
        <v>61</v>
      </c>
    </row>
    <row r="56" spans="1:20" x14ac:dyDescent="0.15">
      <c r="A56" s="11">
        <v>22</v>
      </c>
      <c r="B56" s="13">
        <v>120576</v>
      </c>
      <c r="C56" s="13">
        <v>88988</v>
      </c>
      <c r="D56" s="13"/>
      <c r="E56" s="86"/>
      <c r="F56" s="86"/>
      <c r="G56" s="86"/>
      <c r="H56" s="13">
        <v>0</v>
      </c>
      <c r="I56" s="87">
        <f t="shared" si="9"/>
        <v>209564</v>
      </c>
      <c r="K56" s="98"/>
      <c r="L56" s="98"/>
      <c r="M56" s="98"/>
      <c r="N56" s="98"/>
      <c r="O56" s="98"/>
      <c r="P56" s="98"/>
      <c r="Q56" s="98"/>
      <c r="R56" s="41"/>
    </row>
    <row r="57" spans="1:20" x14ac:dyDescent="0.15">
      <c r="A57" s="11">
        <v>23</v>
      </c>
      <c r="B57" s="13">
        <v>139646</v>
      </c>
      <c r="C57" s="13">
        <v>137629</v>
      </c>
      <c r="D57" s="13">
        <v>140534</v>
      </c>
      <c r="E57" s="13">
        <v>136975</v>
      </c>
      <c r="F57" s="13">
        <v>136980</v>
      </c>
      <c r="G57" s="13">
        <v>139294</v>
      </c>
      <c r="H57" s="13">
        <v>0</v>
      </c>
      <c r="I57" s="87">
        <f t="shared" si="9"/>
        <v>831058</v>
      </c>
      <c r="Q57" s="99"/>
      <c r="R57" s="41"/>
    </row>
    <row r="58" spans="1:20" x14ac:dyDescent="0.15">
      <c r="A58" s="11">
        <v>24</v>
      </c>
      <c r="B58" s="13">
        <v>130003</v>
      </c>
      <c r="C58" s="13">
        <v>129128</v>
      </c>
      <c r="D58" s="13">
        <v>143776</v>
      </c>
      <c r="E58" s="13"/>
      <c r="F58" s="13"/>
      <c r="G58" s="13">
        <v>125334</v>
      </c>
      <c r="H58" s="13">
        <v>0</v>
      </c>
      <c r="I58" s="87">
        <f t="shared" si="9"/>
        <v>528241</v>
      </c>
      <c r="R58" s="41"/>
    </row>
    <row r="59" spans="1:20" x14ac:dyDescent="0.15">
      <c r="A59" s="11">
        <v>25</v>
      </c>
      <c r="B59" s="13">
        <v>106856</v>
      </c>
      <c r="C59" s="13">
        <v>115313</v>
      </c>
      <c r="D59" s="13">
        <v>106548</v>
      </c>
      <c r="E59" s="13">
        <v>128853</v>
      </c>
      <c r="F59" s="13">
        <v>129657</v>
      </c>
      <c r="G59" s="13">
        <v>132257</v>
      </c>
      <c r="H59" s="13">
        <v>0</v>
      </c>
      <c r="I59" s="87">
        <f t="shared" si="9"/>
        <v>719484</v>
      </c>
      <c r="R59" s="41"/>
    </row>
    <row r="60" spans="1:20" x14ac:dyDescent="0.15">
      <c r="A60" s="11">
        <v>31</v>
      </c>
      <c r="B60" s="13">
        <v>75036</v>
      </c>
      <c r="C60" s="13">
        <v>77338</v>
      </c>
      <c r="D60" s="13">
        <v>0</v>
      </c>
      <c r="E60" s="13">
        <v>72990</v>
      </c>
      <c r="F60" s="13">
        <v>88359</v>
      </c>
      <c r="G60" s="13">
        <v>0</v>
      </c>
      <c r="H60" s="13">
        <v>0</v>
      </c>
      <c r="I60" s="87">
        <f t="shared" si="9"/>
        <v>313723</v>
      </c>
      <c r="J60" s="30" t="s">
        <v>45</v>
      </c>
      <c r="K60" s="31"/>
      <c r="L60" s="31"/>
      <c r="M60" s="31"/>
      <c r="N60" s="31"/>
      <c r="O60" s="31"/>
      <c r="P60" s="31"/>
      <c r="Q60" s="31"/>
      <c r="R60" s="32"/>
    </row>
    <row r="61" spans="1:20" x14ac:dyDescent="0.15">
      <c r="A61" s="11">
        <v>32</v>
      </c>
      <c r="B61" s="13">
        <v>79137</v>
      </c>
      <c r="C61" s="13">
        <v>79817</v>
      </c>
      <c r="D61" s="13">
        <v>75561</v>
      </c>
      <c r="E61" s="13">
        <v>77037</v>
      </c>
      <c r="F61" s="13">
        <v>79370</v>
      </c>
      <c r="G61" s="13">
        <v>71078</v>
      </c>
      <c r="H61" s="13">
        <v>80302</v>
      </c>
      <c r="I61" s="87">
        <f t="shared" si="9"/>
        <v>542302</v>
      </c>
      <c r="J61" s="88" t="s">
        <v>31</v>
      </c>
      <c r="K61" s="89">
        <f t="shared" ref="K61:Q61" si="13">+K12</f>
        <v>52639.180000000008</v>
      </c>
      <c r="L61" s="89">
        <f t="shared" si="13"/>
        <v>996.44999999999993</v>
      </c>
      <c r="M61" s="89">
        <f t="shared" si="13"/>
        <v>53.910000000000004</v>
      </c>
      <c r="N61" s="89">
        <f t="shared" si="13"/>
        <v>2799.8799999999997</v>
      </c>
      <c r="O61" s="89">
        <f t="shared" si="13"/>
        <v>507.22</v>
      </c>
      <c r="P61" s="89">
        <f t="shared" si="13"/>
        <v>199.47</v>
      </c>
      <c r="Q61" s="89">
        <f t="shared" si="13"/>
        <v>2.5</v>
      </c>
      <c r="R61" s="42">
        <f>SUM(K61:Q61)</f>
        <v>57198.610000000008</v>
      </c>
    </row>
    <row r="62" spans="1:20" x14ac:dyDescent="0.15">
      <c r="A62" s="11">
        <v>33</v>
      </c>
      <c r="B62" s="13">
        <v>81170</v>
      </c>
      <c r="C62" s="13">
        <v>78769</v>
      </c>
      <c r="D62" s="13">
        <v>71091</v>
      </c>
      <c r="E62" s="13">
        <v>77395</v>
      </c>
      <c r="F62" s="13">
        <v>81202</v>
      </c>
      <c r="G62" s="13">
        <v>83225</v>
      </c>
      <c r="H62" s="13">
        <v>0</v>
      </c>
      <c r="I62" s="87">
        <f>SUM(B62:H62)</f>
        <v>472852</v>
      </c>
      <c r="J62" s="90" t="s">
        <v>59</v>
      </c>
      <c r="K62" s="86">
        <f t="shared" ref="K62:P62" si="14">SUMPRODUCT(B12:B27,B60:B75)</f>
        <v>4069366088.3799996</v>
      </c>
      <c r="L62" s="86">
        <f t="shared" si="14"/>
        <v>74653402.090000004</v>
      </c>
      <c r="M62" s="86">
        <f t="shared" si="14"/>
        <v>3957767.8600000003</v>
      </c>
      <c r="N62" s="86">
        <f t="shared" si="14"/>
        <v>216599785.32999998</v>
      </c>
      <c r="O62" s="86">
        <f t="shared" si="14"/>
        <v>40498281.670000002</v>
      </c>
      <c r="P62" s="86">
        <f t="shared" si="14"/>
        <v>14216733.120000001</v>
      </c>
      <c r="Q62" s="86">
        <f>SUMPRODUCT(H60:H74,H12:H26)</f>
        <v>192045.6</v>
      </c>
      <c r="R62" s="100">
        <f>SUM(K62:Q62)</f>
        <v>4419484104.0500002</v>
      </c>
      <c r="S62" s="33" t="s">
        <v>62</v>
      </c>
      <c r="T62" s="92" t="s">
        <v>45</v>
      </c>
    </row>
    <row r="63" spans="1:20" x14ac:dyDescent="0.15">
      <c r="A63" s="11">
        <v>34</v>
      </c>
      <c r="B63" s="13">
        <v>79214</v>
      </c>
      <c r="C63" s="13">
        <v>75788</v>
      </c>
      <c r="D63" s="13"/>
      <c r="E63" s="13">
        <v>0</v>
      </c>
      <c r="F63" s="13">
        <v>70947</v>
      </c>
      <c r="G63" s="13"/>
      <c r="H63" s="13">
        <v>51979</v>
      </c>
      <c r="I63" s="87">
        <f t="shared" si="9"/>
        <v>277928</v>
      </c>
      <c r="J63" s="93" t="s">
        <v>61</v>
      </c>
      <c r="K63" s="94">
        <f t="shared" ref="K63:R63" si="15">+K62/K61</f>
        <v>77306.791032459078</v>
      </c>
      <c r="L63" s="94">
        <f>+L62/L61</f>
        <v>74919.365838727492</v>
      </c>
      <c r="M63" s="94">
        <f t="shared" si="15"/>
        <v>73414.35466518272</v>
      </c>
      <c r="N63" s="94">
        <f t="shared" si="15"/>
        <v>77360.381634212899</v>
      </c>
      <c r="O63" s="94">
        <f t="shared" si="15"/>
        <v>79843.621446315214</v>
      </c>
      <c r="P63" s="94">
        <f t="shared" si="15"/>
        <v>71272.537825236883</v>
      </c>
      <c r="Q63" s="94">
        <f t="shared" si="15"/>
        <v>76818.240000000005</v>
      </c>
      <c r="R63" s="95">
        <f t="shared" si="15"/>
        <v>77265.585720527117</v>
      </c>
      <c r="S63" s="96">
        <v>77266</v>
      </c>
      <c r="T63" s="97" t="s">
        <v>61</v>
      </c>
    </row>
    <row r="64" spans="1:20" x14ac:dyDescent="0.15">
      <c r="A64" s="11">
        <v>63</v>
      </c>
      <c r="B64" s="13">
        <v>75959</v>
      </c>
      <c r="C64" s="13">
        <v>50681</v>
      </c>
      <c r="D64" s="13">
        <v>45710</v>
      </c>
      <c r="E64" s="13"/>
      <c r="F64" s="13"/>
      <c r="G64" s="13">
        <v>59925</v>
      </c>
      <c r="H64" s="13"/>
      <c r="I64" s="87">
        <f t="shared" si="9"/>
        <v>232275</v>
      </c>
      <c r="K64" s="98"/>
      <c r="R64" s="41"/>
    </row>
    <row r="65" spans="1:20" x14ac:dyDescent="0.15">
      <c r="A65" s="11">
        <v>40</v>
      </c>
      <c r="B65" s="13">
        <v>88112</v>
      </c>
      <c r="C65" s="13">
        <v>82217</v>
      </c>
      <c r="D65" s="13">
        <v>90636</v>
      </c>
      <c r="E65" s="13">
        <v>88009</v>
      </c>
      <c r="F65" s="13">
        <v>93058</v>
      </c>
      <c r="G65" s="13">
        <v>81314</v>
      </c>
      <c r="H65" s="13">
        <v>108200</v>
      </c>
      <c r="I65" s="87">
        <f t="shared" si="9"/>
        <v>631546</v>
      </c>
      <c r="K65" s="39"/>
      <c r="L65" s="39"/>
      <c r="M65" s="39"/>
      <c r="N65" s="39"/>
      <c r="R65" s="40"/>
    </row>
    <row r="66" spans="1:20" x14ac:dyDescent="0.15">
      <c r="A66" s="11">
        <v>41</v>
      </c>
      <c r="B66" s="13">
        <v>87802</v>
      </c>
      <c r="C66" s="13">
        <v>112704</v>
      </c>
      <c r="D66" s="13"/>
      <c r="E66" s="13">
        <v>91913</v>
      </c>
      <c r="F66" s="13">
        <v>92378</v>
      </c>
      <c r="G66" s="86"/>
      <c r="H66" s="13"/>
      <c r="I66" s="87">
        <f t="shared" si="9"/>
        <v>384797</v>
      </c>
      <c r="R66" s="41"/>
    </row>
    <row r="67" spans="1:20" x14ac:dyDescent="0.15">
      <c r="A67" s="11">
        <v>42</v>
      </c>
      <c r="B67" s="13">
        <v>79308</v>
      </c>
      <c r="C67" s="13">
        <v>78984</v>
      </c>
      <c r="D67" s="13">
        <v>76724</v>
      </c>
      <c r="E67" s="13">
        <v>81918</v>
      </c>
      <c r="F67" s="13">
        <v>79956</v>
      </c>
      <c r="G67" s="13">
        <v>93280</v>
      </c>
      <c r="H67" s="13"/>
      <c r="I67" s="87">
        <f t="shared" si="9"/>
        <v>490170</v>
      </c>
      <c r="J67" s="30" t="s">
        <v>46</v>
      </c>
      <c r="K67" s="31"/>
      <c r="L67" s="31"/>
      <c r="M67" s="31"/>
      <c r="N67" s="31"/>
      <c r="O67" s="31"/>
      <c r="P67" s="31"/>
      <c r="Q67" s="31"/>
      <c r="R67" s="32"/>
    </row>
    <row r="68" spans="1:20" x14ac:dyDescent="0.15">
      <c r="A68" s="11">
        <v>43</v>
      </c>
      <c r="B68" s="13">
        <v>69014</v>
      </c>
      <c r="C68" s="13">
        <v>0</v>
      </c>
      <c r="D68" s="86"/>
      <c r="E68" s="86"/>
      <c r="F68" s="86"/>
      <c r="G68" s="86"/>
      <c r="H68" s="13"/>
      <c r="I68" s="87">
        <f t="shared" si="9"/>
        <v>69014</v>
      </c>
      <c r="J68" s="88" t="s">
        <v>31</v>
      </c>
      <c r="K68" s="89">
        <f t="shared" ref="K68:Q68" si="16">+K20</f>
        <v>180.2</v>
      </c>
      <c r="L68" s="89">
        <f t="shared" si="16"/>
        <v>0</v>
      </c>
      <c r="M68" s="89">
        <f t="shared" si="16"/>
        <v>0</v>
      </c>
      <c r="N68" s="89">
        <f t="shared" si="16"/>
        <v>0.6</v>
      </c>
      <c r="O68" s="89">
        <f t="shared" si="16"/>
        <v>0</v>
      </c>
      <c r="P68" s="89">
        <f t="shared" si="16"/>
        <v>0</v>
      </c>
      <c r="Q68" s="89">
        <f t="shared" si="16"/>
        <v>7.6</v>
      </c>
      <c r="R68" s="42">
        <f>SUM(K68:Q68)</f>
        <v>188.39999999999998</v>
      </c>
    </row>
    <row r="69" spans="1:20" ht="9.75" customHeight="1" x14ac:dyDescent="0.15">
      <c r="A69" s="11">
        <v>44</v>
      </c>
      <c r="B69" s="13">
        <v>76373</v>
      </c>
      <c r="C69" s="13">
        <v>74505</v>
      </c>
      <c r="D69" s="13">
        <v>65479</v>
      </c>
      <c r="E69" s="13"/>
      <c r="F69" s="13">
        <v>52040</v>
      </c>
      <c r="G69" s="86"/>
      <c r="H69" s="13"/>
      <c r="I69" s="87">
        <f t="shared" si="9"/>
        <v>268397</v>
      </c>
      <c r="J69" s="90" t="s">
        <v>59</v>
      </c>
      <c r="K69" s="86">
        <f t="shared" ref="K69:Q69" si="17">SUMPRODUCT(B76:B78,B28:B30)</f>
        <v>15344316.98</v>
      </c>
      <c r="L69" s="86">
        <f t="shared" si="17"/>
        <v>0</v>
      </c>
      <c r="M69" s="86">
        <f t="shared" si="17"/>
        <v>0</v>
      </c>
      <c r="N69" s="86">
        <f t="shared" si="17"/>
        <v>27156</v>
      </c>
      <c r="O69" s="86">
        <f t="shared" si="17"/>
        <v>0</v>
      </c>
      <c r="P69" s="86">
        <f t="shared" si="17"/>
        <v>0</v>
      </c>
      <c r="Q69" s="86">
        <f t="shared" si="17"/>
        <v>663791.6</v>
      </c>
      <c r="R69" s="101">
        <f>SUM(K69:Q69)</f>
        <v>16035264.58</v>
      </c>
      <c r="T69" s="30" t="s">
        <v>46</v>
      </c>
    </row>
    <row r="70" spans="1:20" x14ac:dyDescent="0.15">
      <c r="A70" s="11">
        <v>45</v>
      </c>
      <c r="B70" s="13">
        <v>93500</v>
      </c>
      <c r="C70" s="13">
        <v>93708</v>
      </c>
      <c r="D70" s="86"/>
      <c r="E70" s="13">
        <v>46085</v>
      </c>
      <c r="F70" s="86"/>
      <c r="G70" s="86"/>
      <c r="H70" s="13"/>
      <c r="I70" s="87">
        <f t="shared" ref="I70:I85" si="18">SUM(B70:H70)</f>
        <v>233293</v>
      </c>
      <c r="J70" s="93" t="s">
        <v>61</v>
      </c>
      <c r="K70" s="94">
        <f>+K69/K68</f>
        <v>85151.592563817991</v>
      </c>
      <c r="L70" s="94"/>
      <c r="M70" s="94"/>
      <c r="N70" s="94"/>
      <c r="O70" s="94"/>
      <c r="P70" s="94"/>
      <c r="Q70" s="94">
        <f>+Q69/Q68</f>
        <v>87341</v>
      </c>
      <c r="R70" s="95">
        <f>+R69/R68</f>
        <v>85112.869320594487</v>
      </c>
      <c r="T70" s="93" t="s">
        <v>61</v>
      </c>
    </row>
    <row r="71" spans="1:20" x14ac:dyDescent="0.15">
      <c r="A71" s="11">
        <v>46</v>
      </c>
      <c r="B71" s="13">
        <v>81316</v>
      </c>
      <c r="C71" s="13">
        <v>61333</v>
      </c>
      <c r="D71" s="13"/>
      <c r="E71" s="86"/>
      <c r="F71" s="86"/>
      <c r="G71" s="86">
        <v>105902</v>
      </c>
      <c r="H71" s="13"/>
      <c r="I71" s="87">
        <f t="shared" si="18"/>
        <v>248551</v>
      </c>
      <c r="J71" s="39"/>
      <c r="K71" s="39"/>
      <c r="L71" s="39"/>
      <c r="M71" s="39"/>
      <c r="N71" s="39"/>
      <c r="O71" s="39"/>
      <c r="P71" s="39"/>
      <c r="R71" s="41"/>
    </row>
    <row r="72" spans="1:20" x14ac:dyDescent="0.15">
      <c r="A72" s="11">
        <v>47</v>
      </c>
      <c r="B72" s="13">
        <v>69302</v>
      </c>
      <c r="C72" s="13">
        <v>69932</v>
      </c>
      <c r="D72" s="13"/>
      <c r="E72" s="86"/>
      <c r="F72" s="13"/>
      <c r="G72" s="13">
        <v>71995</v>
      </c>
      <c r="H72" s="13"/>
      <c r="I72" s="87">
        <f t="shared" si="18"/>
        <v>211229</v>
      </c>
      <c r="J72" s="102"/>
      <c r="R72" s="41"/>
    </row>
    <row r="73" spans="1:20" x14ac:dyDescent="0.15">
      <c r="A73" s="11">
        <v>48</v>
      </c>
      <c r="B73" s="13">
        <v>87736</v>
      </c>
      <c r="C73" s="86"/>
      <c r="D73" s="86"/>
      <c r="E73" s="86"/>
      <c r="F73" s="86"/>
      <c r="G73" s="86"/>
      <c r="H73" s="13"/>
      <c r="I73" s="87">
        <f t="shared" si="18"/>
        <v>87736</v>
      </c>
      <c r="R73" s="41"/>
    </row>
    <row r="74" spans="1:20" x14ac:dyDescent="0.15">
      <c r="A74" s="11">
        <v>49</v>
      </c>
      <c r="B74" s="13">
        <v>0</v>
      </c>
      <c r="C74" s="13"/>
      <c r="D74" s="13"/>
      <c r="E74" s="13"/>
      <c r="F74" s="86"/>
      <c r="G74" s="86"/>
      <c r="H74" s="13"/>
      <c r="I74" s="87">
        <f t="shared" si="18"/>
        <v>0</v>
      </c>
      <c r="J74" s="30" t="s">
        <v>51</v>
      </c>
      <c r="K74" s="31"/>
      <c r="L74" s="31"/>
      <c r="M74" s="31"/>
      <c r="N74" s="31"/>
      <c r="O74" s="31"/>
      <c r="P74" s="31"/>
      <c r="Q74" s="31"/>
      <c r="R74" s="103"/>
    </row>
    <row r="75" spans="1:20" x14ac:dyDescent="0.15">
      <c r="A75" s="11">
        <v>64</v>
      </c>
      <c r="B75" s="13">
        <v>53405</v>
      </c>
      <c r="C75" s="13">
        <v>56772</v>
      </c>
      <c r="D75" s="13">
        <v>49845</v>
      </c>
      <c r="E75" s="13"/>
      <c r="F75" s="86"/>
      <c r="G75" s="13"/>
      <c r="H75" s="13"/>
      <c r="I75" s="87">
        <f t="shared" si="18"/>
        <v>160022</v>
      </c>
      <c r="J75" s="88" t="s">
        <v>31</v>
      </c>
      <c r="K75" s="89">
        <f t="shared" ref="K75:Q75" si="19">+K25</f>
        <v>56655.880000000005</v>
      </c>
      <c r="L75" s="89">
        <f t="shared" si="19"/>
        <v>1065.9699999999998</v>
      </c>
      <c r="M75" s="89">
        <f t="shared" si="19"/>
        <v>60.370000000000005</v>
      </c>
      <c r="N75" s="89">
        <f t="shared" si="19"/>
        <v>2899.5699999999997</v>
      </c>
      <c r="O75" s="89">
        <f t="shared" si="19"/>
        <v>529.21000000000015</v>
      </c>
      <c r="P75" s="89">
        <f t="shared" si="19"/>
        <v>225.51</v>
      </c>
      <c r="Q75" s="89">
        <f t="shared" si="19"/>
        <v>426.81</v>
      </c>
      <c r="R75" s="42">
        <f>SUM(K75:Q75)</f>
        <v>61863.320000000007</v>
      </c>
    </row>
    <row r="76" spans="1:20" x14ac:dyDescent="0.15">
      <c r="A76" s="11">
        <v>51</v>
      </c>
      <c r="B76" s="13">
        <v>92512</v>
      </c>
      <c r="C76" s="13"/>
      <c r="D76" s="13"/>
      <c r="E76" s="13">
        <v>0</v>
      </c>
      <c r="F76" s="86"/>
      <c r="G76" s="86"/>
      <c r="H76" s="13"/>
      <c r="I76" s="87">
        <f t="shared" si="18"/>
        <v>92512</v>
      </c>
      <c r="J76" s="90" t="s">
        <v>59</v>
      </c>
      <c r="K76" s="86">
        <f t="shared" ref="K76:Q76" si="20">SUMPRODUCT(B4:B30,B52:B78)</f>
        <v>4596954125.3100004</v>
      </c>
      <c r="L76" s="86">
        <f t="shared" si="20"/>
        <v>83646189.870000005</v>
      </c>
      <c r="M76" s="86">
        <f t="shared" si="20"/>
        <v>4858771.16</v>
      </c>
      <c r="N76" s="86">
        <f t="shared" si="20"/>
        <v>229742664.74999997</v>
      </c>
      <c r="O76" s="86">
        <f t="shared" si="20"/>
        <v>43410654.340000004</v>
      </c>
      <c r="P76" s="86">
        <f t="shared" si="20"/>
        <v>17627276.279999997</v>
      </c>
      <c r="Q76" s="86">
        <f t="shared" si="20"/>
        <v>67347563.090000004</v>
      </c>
      <c r="R76" s="101">
        <f>SUM(K76:Q76)</f>
        <v>5043587244.8000002</v>
      </c>
      <c r="T76" s="30" t="s">
        <v>51</v>
      </c>
    </row>
    <row r="77" spans="1:20" x14ac:dyDescent="0.15">
      <c r="A77" s="11">
        <v>52</v>
      </c>
      <c r="B77" s="13">
        <v>60944</v>
      </c>
      <c r="C77" s="13"/>
      <c r="D77" s="13"/>
      <c r="E77" s="13">
        <v>45260</v>
      </c>
      <c r="F77" s="13"/>
      <c r="G77" s="13"/>
      <c r="H77" s="13"/>
      <c r="I77" s="87">
        <f t="shared" si="18"/>
        <v>106204</v>
      </c>
      <c r="J77" s="93" t="s">
        <v>61</v>
      </c>
      <c r="K77" s="94">
        <f t="shared" ref="K77:R77" si="21">+K76/K75</f>
        <v>81138.164746712966</v>
      </c>
      <c r="L77" s="94">
        <f>+L76/L75</f>
        <v>78469.553430209126</v>
      </c>
      <c r="M77" s="94">
        <f t="shared" si="21"/>
        <v>80483.206228259063</v>
      </c>
      <c r="N77" s="94">
        <f t="shared" si="21"/>
        <v>79233.356928785986</v>
      </c>
      <c r="O77" s="94">
        <f t="shared" si="21"/>
        <v>82029.164868388718</v>
      </c>
      <c r="P77" s="94">
        <f t="shared" si="21"/>
        <v>78166.273247306104</v>
      </c>
      <c r="Q77" s="94">
        <f t="shared" si="21"/>
        <v>157792.84245917387</v>
      </c>
      <c r="R77" s="95">
        <f t="shared" si="21"/>
        <v>81527.910962424896</v>
      </c>
      <c r="T77" s="93" t="s">
        <v>61</v>
      </c>
    </row>
    <row r="78" spans="1:20" x14ac:dyDescent="0.15">
      <c r="A78" s="11">
        <v>61</v>
      </c>
      <c r="B78" s="13">
        <v>91297</v>
      </c>
      <c r="C78" s="13">
        <v>0</v>
      </c>
      <c r="D78" s="13"/>
      <c r="E78" s="13"/>
      <c r="F78" s="13"/>
      <c r="G78" s="13">
        <v>0</v>
      </c>
      <c r="H78" s="13">
        <v>87341</v>
      </c>
      <c r="I78" s="87">
        <f t="shared" si="18"/>
        <v>178638</v>
      </c>
      <c r="R78" s="41"/>
    </row>
    <row r="79" spans="1:20" x14ac:dyDescent="0.15">
      <c r="A79" s="11">
        <v>90</v>
      </c>
      <c r="B79" s="13">
        <v>0</v>
      </c>
      <c r="C79" s="13">
        <v>0</v>
      </c>
      <c r="D79" s="13"/>
      <c r="E79" s="13">
        <v>0</v>
      </c>
      <c r="F79" s="13"/>
      <c r="G79" s="13"/>
      <c r="H79" s="13">
        <v>91870</v>
      </c>
      <c r="I79" s="87">
        <f t="shared" si="18"/>
        <v>91870</v>
      </c>
      <c r="R79" s="41"/>
    </row>
    <row r="80" spans="1:20" x14ac:dyDescent="0.15">
      <c r="A80" s="11">
        <v>91</v>
      </c>
      <c r="B80" s="13">
        <v>43199</v>
      </c>
      <c r="C80" s="13">
        <v>49058</v>
      </c>
      <c r="D80" s="13">
        <v>49741</v>
      </c>
      <c r="E80" s="13">
        <v>45783</v>
      </c>
      <c r="F80" s="13">
        <v>50308</v>
      </c>
      <c r="G80" s="13">
        <v>49642</v>
      </c>
      <c r="H80" s="13">
        <v>58122</v>
      </c>
      <c r="I80" s="87">
        <f t="shared" si="18"/>
        <v>345853</v>
      </c>
      <c r="R80" s="41"/>
    </row>
    <row r="81" spans="1:20" x14ac:dyDescent="0.15">
      <c r="A81" s="11">
        <v>92</v>
      </c>
      <c r="B81" s="86"/>
      <c r="C81" s="86"/>
      <c r="D81" s="86"/>
      <c r="E81" s="86"/>
      <c r="F81" s="13"/>
      <c r="G81" s="13">
        <v>69473</v>
      </c>
      <c r="H81" s="13">
        <v>66517</v>
      </c>
      <c r="I81" s="87">
        <f t="shared" si="18"/>
        <v>135990</v>
      </c>
      <c r="J81" s="104" t="s">
        <v>507</v>
      </c>
      <c r="R81" s="41"/>
    </row>
    <row r="82" spans="1:20" x14ac:dyDescent="0.15">
      <c r="A82" s="11">
        <v>93</v>
      </c>
      <c r="B82" s="86"/>
      <c r="C82" s="86"/>
      <c r="D82" s="86"/>
      <c r="E82" s="86"/>
      <c r="F82" s="86"/>
      <c r="G82" s="86"/>
      <c r="H82" s="13">
        <v>56792</v>
      </c>
      <c r="I82" s="87">
        <f t="shared" si="18"/>
        <v>56792</v>
      </c>
      <c r="J82" s="38" t="s">
        <v>31</v>
      </c>
      <c r="K82" s="105">
        <f t="shared" ref="K82:Q82" si="22">+K34</f>
        <v>9938.1700000000019</v>
      </c>
      <c r="L82" s="105">
        <f t="shared" si="22"/>
        <v>246.92</v>
      </c>
      <c r="M82" s="105">
        <f t="shared" si="22"/>
        <v>28.63</v>
      </c>
      <c r="N82" s="105">
        <f t="shared" si="22"/>
        <v>328.14</v>
      </c>
      <c r="O82" s="105">
        <f t="shared" si="22"/>
        <v>34.219999999999992</v>
      </c>
      <c r="P82" s="105">
        <f t="shared" si="22"/>
        <v>69.740000000000009</v>
      </c>
      <c r="Q82" s="105">
        <f t="shared" si="22"/>
        <v>12121.87</v>
      </c>
      <c r="R82" s="42">
        <f>SUM(K82:Q82)</f>
        <v>22767.690000000002</v>
      </c>
    </row>
    <row r="83" spans="1:20" x14ac:dyDescent="0.15">
      <c r="A83" s="11">
        <v>94</v>
      </c>
      <c r="B83" s="13">
        <v>52373</v>
      </c>
      <c r="C83" s="13">
        <v>51805</v>
      </c>
      <c r="D83" s="13">
        <v>51465</v>
      </c>
      <c r="E83" s="13">
        <v>52874</v>
      </c>
      <c r="F83" s="13">
        <v>55658</v>
      </c>
      <c r="G83" s="13">
        <v>53043</v>
      </c>
      <c r="H83" s="13">
        <v>62503</v>
      </c>
      <c r="I83" s="87">
        <f t="shared" si="18"/>
        <v>379721</v>
      </c>
      <c r="J83" s="64" t="s">
        <v>59</v>
      </c>
      <c r="K83" s="98">
        <f t="shared" ref="K83:Q83" si="23">SUMPRODUCT(B31:B40,B79:B88)</f>
        <v>515175405.45000005</v>
      </c>
      <c r="L83" s="98">
        <f t="shared" si="23"/>
        <v>13014573.540000001</v>
      </c>
      <c r="M83" s="98">
        <f t="shared" si="23"/>
        <v>1616819.08</v>
      </c>
      <c r="N83" s="98">
        <f t="shared" si="23"/>
        <v>17694054.879999999</v>
      </c>
      <c r="O83" s="98">
        <f t="shared" si="23"/>
        <v>2011828.7200000002</v>
      </c>
      <c r="P83" s="98">
        <f t="shared" si="23"/>
        <v>3685457.8300000005</v>
      </c>
      <c r="Q83" s="98">
        <f t="shared" si="23"/>
        <v>759754688.09000003</v>
      </c>
      <c r="R83" s="101">
        <f>SUM(K83:Q83)</f>
        <v>1312952827.5900002</v>
      </c>
      <c r="S83" s="106" t="s">
        <v>280</v>
      </c>
      <c r="T83" s="106"/>
    </row>
    <row r="84" spans="1:20" x14ac:dyDescent="0.15">
      <c r="A84" s="11">
        <v>95</v>
      </c>
      <c r="B84" s="13">
        <v>53683</v>
      </c>
      <c r="C84" s="86"/>
      <c r="D84" s="86"/>
      <c r="E84" s="86"/>
      <c r="F84" s="86"/>
      <c r="G84" s="86"/>
      <c r="H84" s="13">
        <v>61431</v>
      </c>
      <c r="I84" s="87">
        <f t="shared" si="18"/>
        <v>115114</v>
      </c>
      <c r="J84" s="104" t="s">
        <v>61</v>
      </c>
      <c r="K84" s="98">
        <f t="shared" ref="K84:R84" si="24">+K83/K82</f>
        <v>51838.055240552327</v>
      </c>
      <c r="L84" s="98">
        <f>+L83/L82</f>
        <v>52707.652438036617</v>
      </c>
      <c r="M84" s="98">
        <f t="shared" si="24"/>
        <v>56472.898358365353</v>
      </c>
      <c r="N84" s="98">
        <f t="shared" si="24"/>
        <v>53922.273663680135</v>
      </c>
      <c r="O84" s="98">
        <f t="shared" si="24"/>
        <v>58791.020455873775</v>
      </c>
      <c r="P84" s="98">
        <f t="shared" si="24"/>
        <v>52845.681531402355</v>
      </c>
      <c r="Q84" s="98">
        <f t="shared" si="24"/>
        <v>62676.360007985568</v>
      </c>
      <c r="R84" s="107">
        <f t="shared" si="24"/>
        <v>57667.371067947606</v>
      </c>
      <c r="S84" s="108">
        <v>57668</v>
      </c>
      <c r="T84" s="109">
        <f>+R84-S84</f>
        <v>-0.62893205239379313</v>
      </c>
    </row>
    <row r="85" spans="1:20" x14ac:dyDescent="0.15">
      <c r="A85" s="11">
        <v>96</v>
      </c>
      <c r="B85" s="13">
        <v>69079</v>
      </c>
      <c r="C85" s="13">
        <v>61124</v>
      </c>
      <c r="D85" s="13">
        <v>82348</v>
      </c>
      <c r="E85" s="13">
        <v>69515</v>
      </c>
      <c r="F85" s="13">
        <v>60298</v>
      </c>
      <c r="G85" s="13">
        <v>70538</v>
      </c>
      <c r="H85" s="13">
        <v>83256</v>
      </c>
      <c r="I85" s="87">
        <f t="shared" si="18"/>
        <v>496158</v>
      </c>
      <c r="R85" s="41"/>
      <c r="T85" s="104" t="s">
        <v>507</v>
      </c>
    </row>
    <row r="86" spans="1:20" x14ac:dyDescent="0.15">
      <c r="A86" s="11">
        <v>97</v>
      </c>
      <c r="B86" s="13">
        <v>55833</v>
      </c>
      <c r="C86" s="13">
        <v>51015</v>
      </c>
      <c r="D86" s="13">
        <v>48333</v>
      </c>
      <c r="E86" s="13">
        <v>57125</v>
      </c>
      <c r="F86" s="13">
        <v>0</v>
      </c>
      <c r="G86" s="13">
        <v>48970</v>
      </c>
      <c r="H86" s="13">
        <v>48829</v>
      </c>
      <c r="I86" s="87">
        <f>SUM(B86:H86)</f>
        <v>310105</v>
      </c>
      <c r="R86" s="41"/>
      <c r="T86" s="93" t="s">
        <v>61</v>
      </c>
    </row>
    <row r="87" spans="1:20" x14ac:dyDescent="0.15">
      <c r="A87" s="11">
        <v>98</v>
      </c>
      <c r="B87" s="13">
        <v>67007</v>
      </c>
      <c r="C87" s="13">
        <v>60322</v>
      </c>
      <c r="D87" s="13">
        <v>59252</v>
      </c>
      <c r="E87" s="13">
        <v>67045</v>
      </c>
      <c r="F87" s="13">
        <v>61971</v>
      </c>
      <c r="G87" s="13">
        <v>56187</v>
      </c>
      <c r="H87" s="13">
        <v>73146</v>
      </c>
      <c r="I87" s="87">
        <f>SUM(B87:H87)</f>
        <v>444930</v>
      </c>
      <c r="R87" s="41"/>
    </row>
    <row r="88" spans="1:20" x14ac:dyDescent="0.15">
      <c r="A88" s="11">
        <v>99</v>
      </c>
      <c r="B88" s="13">
        <v>117265</v>
      </c>
      <c r="C88" s="13">
        <v>92017</v>
      </c>
      <c r="D88" s="13">
        <v>157580</v>
      </c>
      <c r="E88" s="13">
        <v>115877</v>
      </c>
      <c r="F88" s="13">
        <v>126146</v>
      </c>
      <c r="G88" s="13">
        <v>86775</v>
      </c>
      <c r="H88" s="13">
        <v>115208</v>
      </c>
      <c r="I88" s="87">
        <f>SUM(B88:H88)</f>
        <v>810868</v>
      </c>
      <c r="R88" s="41"/>
    </row>
    <row r="89" spans="1:20" x14ac:dyDescent="0.15">
      <c r="A89" s="21"/>
      <c r="B89" s="110">
        <f t="shared" ref="B89:H89" si="25">SUM(B52:B88)</f>
        <v>2960723</v>
      </c>
      <c r="C89" s="110">
        <f t="shared" si="25"/>
        <v>2076822</v>
      </c>
      <c r="D89" s="110">
        <f t="shared" si="25"/>
        <v>1448249</v>
      </c>
      <c r="E89" s="110">
        <f t="shared" si="25"/>
        <v>1574421</v>
      </c>
      <c r="F89" s="110">
        <f t="shared" si="25"/>
        <v>1392122</v>
      </c>
      <c r="G89" s="110">
        <f t="shared" si="25"/>
        <v>1492895</v>
      </c>
      <c r="H89" s="110">
        <f t="shared" si="25"/>
        <v>1665560</v>
      </c>
      <c r="I89" s="110" t="s">
        <v>55</v>
      </c>
      <c r="J89" s="39"/>
      <c r="K89" s="39"/>
      <c r="L89" s="39"/>
      <c r="M89" s="39"/>
      <c r="N89" s="39"/>
      <c r="O89" s="39"/>
      <c r="P89" s="39"/>
      <c r="R89" s="41"/>
    </row>
    <row r="90" spans="1:20" x14ac:dyDescent="0.15">
      <c r="A90" s="21"/>
      <c r="B90" s="111"/>
      <c r="C90" s="111"/>
      <c r="D90" s="111"/>
      <c r="E90" s="111"/>
      <c r="F90" s="111"/>
      <c r="G90" s="111"/>
      <c r="H90" s="111"/>
      <c r="I90" s="111"/>
      <c r="R90" s="59"/>
    </row>
    <row r="91" spans="1:20" x14ac:dyDescent="0.15">
      <c r="B91" s="102"/>
      <c r="C91" s="102"/>
      <c r="D91" s="102"/>
      <c r="E91" s="102"/>
      <c r="F91" s="102"/>
      <c r="G91" s="102"/>
      <c r="H91" s="102"/>
      <c r="I91" s="102"/>
    </row>
    <row r="92" spans="1:20" x14ac:dyDescent="0.15">
      <c r="A92" s="112"/>
      <c r="B92" s="102"/>
      <c r="C92" s="102"/>
      <c r="D92" s="102"/>
      <c r="E92" s="102"/>
      <c r="F92" s="102"/>
      <c r="G92" s="102"/>
      <c r="H92" s="102"/>
    </row>
    <row r="93" spans="1:20" ht="11.25" thickBot="1" x14ac:dyDescent="0.2">
      <c r="B93" s="22" t="s">
        <v>63</v>
      </c>
      <c r="C93" s="24"/>
      <c r="D93" s="24"/>
      <c r="E93" s="24"/>
      <c r="F93" s="24"/>
      <c r="G93" s="24"/>
      <c r="H93" s="24"/>
      <c r="I93" s="24"/>
    </row>
    <row r="94" spans="1:20" ht="11.25" thickBot="1" x14ac:dyDescent="0.2">
      <c r="A94" s="25" t="s">
        <v>39</v>
      </c>
      <c r="B94" s="26" t="s">
        <v>40</v>
      </c>
      <c r="C94" s="27" t="s">
        <v>380</v>
      </c>
      <c r="D94" s="26" t="s">
        <v>503</v>
      </c>
      <c r="E94" s="27">
        <v>31</v>
      </c>
      <c r="F94" s="27">
        <v>34</v>
      </c>
      <c r="G94" s="27">
        <v>45</v>
      </c>
      <c r="H94" s="27">
        <v>97</v>
      </c>
      <c r="I94" s="27" t="s">
        <v>41</v>
      </c>
      <c r="K94" s="26" t="s">
        <v>40</v>
      </c>
      <c r="L94" s="27" t="s">
        <v>380</v>
      </c>
      <c r="M94" s="26" t="s">
        <v>503</v>
      </c>
      <c r="N94" s="27">
        <v>31</v>
      </c>
      <c r="O94" s="27">
        <v>34</v>
      </c>
      <c r="P94" s="27">
        <v>45</v>
      </c>
      <c r="Q94" s="27">
        <v>97</v>
      </c>
      <c r="R94" s="28" t="s">
        <v>42</v>
      </c>
    </row>
    <row r="95" spans="1:20" x14ac:dyDescent="0.15">
      <c r="A95" s="11">
        <v>11</v>
      </c>
      <c r="B95" s="113">
        <v>1.4750399999999999</v>
      </c>
      <c r="C95" s="114"/>
      <c r="D95" s="114"/>
      <c r="E95" s="114"/>
      <c r="F95" s="113"/>
      <c r="G95" s="113"/>
      <c r="H95" s="113">
        <v>1.63757</v>
      </c>
      <c r="I95" s="115"/>
      <c r="J95" s="104" t="s">
        <v>44</v>
      </c>
    </row>
    <row r="96" spans="1:20" x14ac:dyDescent="0.15">
      <c r="A96" s="11">
        <v>12</v>
      </c>
      <c r="B96" s="113">
        <v>1.73953</v>
      </c>
      <c r="C96" s="113"/>
      <c r="D96" s="113"/>
      <c r="E96" s="113">
        <v>1.85812</v>
      </c>
      <c r="F96" s="113"/>
      <c r="G96" s="113"/>
      <c r="H96" s="113">
        <v>1.50295</v>
      </c>
      <c r="I96" s="115"/>
      <c r="J96" s="38" t="s">
        <v>31</v>
      </c>
      <c r="K96" s="105">
        <f t="shared" ref="K96:Q96" si="26">+K5</f>
        <v>3836.4999999999995</v>
      </c>
      <c r="L96" s="105">
        <f t="shared" si="26"/>
        <v>69.52000000000001</v>
      </c>
      <c r="M96" s="105">
        <f t="shared" si="26"/>
        <v>6.46</v>
      </c>
      <c r="N96" s="105">
        <f t="shared" si="26"/>
        <v>99.09</v>
      </c>
      <c r="O96" s="105">
        <f t="shared" si="26"/>
        <v>21.99</v>
      </c>
      <c r="P96" s="105">
        <f t="shared" si="26"/>
        <v>26.04</v>
      </c>
      <c r="Q96" s="105">
        <f t="shared" si="26"/>
        <v>416.71</v>
      </c>
      <c r="R96" s="39">
        <f>SUM(K96:Q96)</f>
        <v>4476.3099999999995</v>
      </c>
    </row>
    <row r="97" spans="1:20" x14ac:dyDescent="0.15">
      <c r="A97" s="11">
        <v>13</v>
      </c>
      <c r="B97" s="113">
        <v>1.73376</v>
      </c>
      <c r="C97" s="113">
        <v>1.74007</v>
      </c>
      <c r="D97" s="113">
        <v>1.6959900000000001</v>
      </c>
      <c r="E97" s="113">
        <v>1.71471</v>
      </c>
      <c r="F97" s="113">
        <v>1.66699</v>
      </c>
      <c r="G97" s="113">
        <v>1.8047200000000001</v>
      </c>
      <c r="H97" s="113">
        <v>1.7232799999999999</v>
      </c>
      <c r="I97" s="115"/>
      <c r="J97" s="64" t="s">
        <v>59</v>
      </c>
      <c r="K97" s="116">
        <f t="shared" ref="K97:Q97" si="27">SUMPRODUCT(B95:B102,B4:B11)</f>
        <v>6427.5365600000005</v>
      </c>
      <c r="L97" s="116">
        <f t="shared" si="27"/>
        <v>120.38241499999998</v>
      </c>
      <c r="M97" s="116">
        <f t="shared" si="27"/>
        <v>11.384037299999999</v>
      </c>
      <c r="N97" s="116">
        <f t="shared" si="27"/>
        <v>167.06102569999999</v>
      </c>
      <c r="O97" s="116">
        <f t="shared" si="27"/>
        <v>37.025817500000002</v>
      </c>
      <c r="P97" s="116">
        <f t="shared" si="27"/>
        <v>45.575917799999999</v>
      </c>
      <c r="Q97" s="116">
        <f t="shared" si="27"/>
        <v>685.06130310000003</v>
      </c>
      <c r="R97" s="116">
        <f>SUM(K97:Q97)</f>
        <v>7494.0270764000006</v>
      </c>
      <c r="S97" s="106" t="s">
        <v>60</v>
      </c>
      <c r="T97" s="104" t="s">
        <v>44</v>
      </c>
    </row>
    <row r="98" spans="1:20" x14ac:dyDescent="0.15">
      <c r="A98" s="11">
        <v>21</v>
      </c>
      <c r="B98" s="113">
        <v>1.68763</v>
      </c>
      <c r="C98" s="113">
        <v>1.8010999999999999</v>
      </c>
      <c r="D98" s="113"/>
      <c r="E98" s="114"/>
      <c r="F98" s="113"/>
      <c r="G98" s="113"/>
      <c r="H98" s="113">
        <v>1.8047200000000001</v>
      </c>
      <c r="I98" s="115"/>
      <c r="J98" s="104" t="s">
        <v>64</v>
      </c>
      <c r="K98" s="116">
        <f t="shared" ref="K98:Q98" si="28">SUMPRODUCT(B95:B102,B4:B11)/K96</f>
        <v>1.6753646709240195</v>
      </c>
      <c r="L98" s="116">
        <f t="shared" si="28"/>
        <v>1.7316227704257763</v>
      </c>
      <c r="M98" s="116">
        <f t="shared" si="28"/>
        <v>1.7622348761609905</v>
      </c>
      <c r="N98" s="116">
        <f t="shared" si="28"/>
        <v>1.6859524240589361</v>
      </c>
      <c r="O98" s="116">
        <f t="shared" si="28"/>
        <v>1.6837570486584814</v>
      </c>
      <c r="P98" s="116">
        <f t="shared" si="28"/>
        <v>1.7502272580645162</v>
      </c>
      <c r="Q98" s="116">
        <f t="shared" si="28"/>
        <v>1.6439761539199924</v>
      </c>
      <c r="R98" s="117">
        <f>+R97/R96</f>
        <v>1.6741528349019621</v>
      </c>
      <c r="S98" s="118">
        <v>1.67415</v>
      </c>
      <c r="T98" s="104" t="s">
        <v>64</v>
      </c>
    </row>
    <row r="99" spans="1:20" x14ac:dyDescent="0.15">
      <c r="A99" s="11">
        <v>22</v>
      </c>
      <c r="B99" s="113">
        <v>1.6191500000000001</v>
      </c>
      <c r="C99" s="113">
        <v>1.50458</v>
      </c>
      <c r="D99" s="113"/>
      <c r="E99" s="114"/>
      <c r="F99" s="113"/>
      <c r="G99" s="113"/>
      <c r="H99" s="113">
        <v>0</v>
      </c>
      <c r="I99" s="115"/>
      <c r="K99" s="116"/>
      <c r="L99" s="98"/>
      <c r="M99" s="98"/>
      <c r="N99" s="98"/>
      <c r="O99" s="98"/>
      <c r="P99" s="98"/>
      <c r="Q99" s="98"/>
    </row>
    <row r="100" spans="1:20" x14ac:dyDescent="0.15">
      <c r="A100" s="11">
        <v>23</v>
      </c>
      <c r="B100" s="113">
        <v>1.6938899999999999</v>
      </c>
      <c r="C100" s="113">
        <v>1.7624500000000001</v>
      </c>
      <c r="D100" s="113">
        <v>1.81426</v>
      </c>
      <c r="E100" s="113">
        <v>1.8848199999999999</v>
      </c>
      <c r="F100" s="113">
        <v>1.8848199999999999</v>
      </c>
      <c r="G100" s="113">
        <v>1.73695</v>
      </c>
      <c r="H100" s="113">
        <v>0</v>
      </c>
      <c r="I100" s="115"/>
      <c r="Q100" s="99"/>
    </row>
    <row r="101" spans="1:20" x14ac:dyDescent="0.15">
      <c r="A101" s="11">
        <v>24</v>
      </c>
      <c r="B101" s="113">
        <v>1.6474</v>
      </c>
      <c r="C101" s="113">
        <v>1.5643199999999999</v>
      </c>
      <c r="D101" s="113">
        <v>1.5847100000000001</v>
      </c>
      <c r="E101" s="113"/>
      <c r="F101" s="113"/>
      <c r="G101" s="113">
        <v>1.76749</v>
      </c>
      <c r="H101" s="113">
        <v>0</v>
      </c>
      <c r="I101" s="115"/>
    </row>
    <row r="102" spans="1:20" x14ac:dyDescent="0.15">
      <c r="A102" s="11">
        <v>25</v>
      </c>
      <c r="B102" s="113">
        <v>1.6654199999999999</v>
      </c>
      <c r="C102" s="113">
        <v>1.7967599999999999</v>
      </c>
      <c r="D102" s="113">
        <v>1.8848199999999999</v>
      </c>
      <c r="E102" s="113">
        <v>1.6260399999999999</v>
      </c>
      <c r="F102" s="113">
        <v>1.71471</v>
      </c>
      <c r="G102" s="113">
        <v>1.7448900000000001</v>
      </c>
      <c r="H102" s="113">
        <v>0</v>
      </c>
      <c r="I102" s="115"/>
    </row>
    <row r="103" spans="1:20" x14ac:dyDescent="0.15">
      <c r="A103" s="11">
        <v>31</v>
      </c>
      <c r="B103" s="113">
        <v>1.4952000000000001</v>
      </c>
      <c r="C103" s="113">
        <v>1.58826</v>
      </c>
      <c r="D103" s="113"/>
      <c r="E103" s="113">
        <v>1.4036500000000001</v>
      </c>
      <c r="F103" s="113">
        <v>1.66079</v>
      </c>
      <c r="G103" s="113">
        <v>0</v>
      </c>
      <c r="H103" s="113">
        <v>0</v>
      </c>
      <c r="I103" s="115"/>
      <c r="J103" s="104" t="s">
        <v>45</v>
      </c>
    </row>
    <row r="104" spans="1:20" x14ac:dyDescent="0.15">
      <c r="A104" s="11">
        <v>32</v>
      </c>
      <c r="B104" s="113">
        <v>1.5749899999999999</v>
      </c>
      <c r="C104" s="113">
        <v>1.63</v>
      </c>
      <c r="D104" s="113">
        <v>1.53216</v>
      </c>
      <c r="E104" s="113">
        <v>1.5341100000000001</v>
      </c>
      <c r="F104" s="113">
        <v>1.5774900000000001</v>
      </c>
      <c r="G104" s="113">
        <v>1.4392799999999999</v>
      </c>
      <c r="H104" s="113">
        <v>1.6793400000000001</v>
      </c>
      <c r="I104" s="115"/>
      <c r="J104" s="38" t="s">
        <v>31</v>
      </c>
      <c r="K104" s="105">
        <f t="shared" ref="K104:Q104" si="29">+K12</f>
        <v>52639.180000000008</v>
      </c>
      <c r="L104" s="105">
        <f t="shared" si="29"/>
        <v>996.44999999999993</v>
      </c>
      <c r="M104" s="105">
        <f t="shared" si="29"/>
        <v>53.910000000000004</v>
      </c>
      <c r="N104" s="105">
        <f t="shared" si="29"/>
        <v>2799.8799999999997</v>
      </c>
      <c r="O104" s="105">
        <f t="shared" si="29"/>
        <v>507.22</v>
      </c>
      <c r="P104" s="105">
        <f t="shared" si="29"/>
        <v>199.47</v>
      </c>
      <c r="Q104" s="105">
        <f t="shared" si="29"/>
        <v>2.5</v>
      </c>
      <c r="R104" s="39">
        <f>SUM(K104:Q104)</f>
        <v>57198.610000000008</v>
      </c>
    </row>
    <row r="105" spans="1:20" x14ac:dyDescent="0.15">
      <c r="A105" s="11">
        <v>33</v>
      </c>
      <c r="B105" s="113">
        <v>1.5649299999999999</v>
      </c>
      <c r="C105" s="113">
        <v>1.6002000000000001</v>
      </c>
      <c r="D105" s="113">
        <v>1.3357699999999999</v>
      </c>
      <c r="E105" s="113">
        <v>1.47241</v>
      </c>
      <c r="F105" s="113">
        <v>1.67919</v>
      </c>
      <c r="G105" s="113">
        <v>1.5504100000000001</v>
      </c>
      <c r="H105" s="113">
        <v>0</v>
      </c>
      <c r="I105" s="115"/>
      <c r="J105" s="64" t="s">
        <v>59</v>
      </c>
      <c r="K105" s="116">
        <f t="shared" ref="K105:Q105" si="30">SUMPRODUCT(B103:B118,B12:B27)</f>
        <v>80894.163636699988</v>
      </c>
      <c r="L105" s="116">
        <f t="shared" si="30"/>
        <v>1563.9651076999996</v>
      </c>
      <c r="M105" s="116">
        <f t="shared" si="30"/>
        <v>79.672527099999996</v>
      </c>
      <c r="N105" s="116">
        <f t="shared" si="30"/>
        <v>4310.5145193000008</v>
      </c>
      <c r="O105" s="116">
        <f t="shared" si="30"/>
        <v>803.02634200000011</v>
      </c>
      <c r="P105" s="116">
        <f t="shared" si="30"/>
        <v>287.77128420000003</v>
      </c>
      <c r="Q105" s="116">
        <f t="shared" si="30"/>
        <v>3.7995859999999997</v>
      </c>
      <c r="R105" s="116">
        <f>SUM(K105:Q105)</f>
        <v>87942.913002999994</v>
      </c>
      <c r="S105" s="106" t="s">
        <v>62</v>
      </c>
      <c r="T105" s="104" t="s">
        <v>45</v>
      </c>
    </row>
    <row r="106" spans="1:20" x14ac:dyDescent="0.15">
      <c r="A106" s="11">
        <v>34</v>
      </c>
      <c r="B106" s="113">
        <v>1.5692999999999999</v>
      </c>
      <c r="C106" s="113">
        <v>1.47394</v>
      </c>
      <c r="D106" s="113"/>
      <c r="E106" s="113">
        <v>0</v>
      </c>
      <c r="F106" s="113">
        <v>1.47584</v>
      </c>
      <c r="G106" s="113"/>
      <c r="H106" s="113">
        <v>1.05246</v>
      </c>
      <c r="I106" s="115"/>
      <c r="J106" s="104" t="s">
        <v>64</v>
      </c>
      <c r="K106" s="116">
        <f t="shared" ref="K106:R106" si="31">+K105/K104</f>
        <v>1.5367671691827263</v>
      </c>
      <c r="L106" s="116">
        <f>+L105/L104</f>
        <v>1.5695369639219225</v>
      </c>
      <c r="M106" s="116">
        <f t="shared" si="31"/>
        <v>1.4778803023557781</v>
      </c>
      <c r="N106" s="116">
        <f t="shared" si="31"/>
        <v>1.5395354512693407</v>
      </c>
      <c r="O106" s="116">
        <f t="shared" si="31"/>
        <v>1.5831914001813809</v>
      </c>
      <c r="P106" s="116">
        <f t="shared" si="31"/>
        <v>1.4426795217325914</v>
      </c>
      <c r="Q106" s="116">
        <f t="shared" si="31"/>
        <v>1.5198343999999999</v>
      </c>
      <c r="R106" s="117">
        <f t="shared" si="31"/>
        <v>1.5375008763849327</v>
      </c>
      <c r="S106" s="118">
        <v>1.5375000000000001</v>
      </c>
      <c r="T106" s="104" t="s">
        <v>64</v>
      </c>
    </row>
    <row r="107" spans="1:20" x14ac:dyDescent="0.15">
      <c r="A107" s="11">
        <v>63</v>
      </c>
      <c r="B107" s="113">
        <v>0.91661999999999999</v>
      </c>
      <c r="C107" s="113">
        <v>1.3141400000000001</v>
      </c>
      <c r="D107" s="113">
        <v>1.09945</v>
      </c>
      <c r="E107" s="113"/>
      <c r="F107" s="113"/>
      <c r="G107" s="113">
        <v>1.2269300000000001</v>
      </c>
      <c r="H107" s="113"/>
      <c r="I107" s="115"/>
    </row>
    <row r="108" spans="1:20" x14ac:dyDescent="0.15">
      <c r="A108" s="11">
        <v>40</v>
      </c>
      <c r="B108" s="113">
        <v>1.6932100000000001</v>
      </c>
      <c r="C108" s="113">
        <v>1.6121700000000001</v>
      </c>
      <c r="D108" s="113">
        <v>1.8848199999999999</v>
      </c>
      <c r="E108" s="113">
        <v>1.70475</v>
      </c>
      <c r="F108" s="113">
        <v>1.7285699999999999</v>
      </c>
      <c r="G108" s="113">
        <v>1.6729700000000001</v>
      </c>
      <c r="H108" s="113">
        <v>1.8848199999999999</v>
      </c>
      <c r="I108" s="115"/>
      <c r="K108" s="39"/>
      <c r="L108" s="39"/>
      <c r="M108" s="39"/>
      <c r="N108" s="39"/>
      <c r="R108" s="39"/>
    </row>
    <row r="109" spans="1:20" x14ac:dyDescent="0.15">
      <c r="A109" s="11">
        <v>41</v>
      </c>
      <c r="B109" s="113">
        <v>1.7164999999999999</v>
      </c>
      <c r="C109" s="113">
        <v>1.8848199999999999</v>
      </c>
      <c r="D109" s="113"/>
      <c r="E109" s="113">
        <v>1.7801899999999999</v>
      </c>
      <c r="F109" s="113">
        <v>1.7849999999999999</v>
      </c>
      <c r="G109" s="113"/>
      <c r="H109" s="113">
        <v>0</v>
      </c>
      <c r="I109" s="115"/>
    </row>
    <row r="110" spans="1:20" x14ac:dyDescent="0.15">
      <c r="A110" s="11">
        <v>42</v>
      </c>
      <c r="B110" s="113">
        <v>1.58501</v>
      </c>
      <c r="C110" s="113">
        <v>1.59087</v>
      </c>
      <c r="D110" s="113">
        <v>1.52782</v>
      </c>
      <c r="E110" s="113">
        <v>1.6304399999999999</v>
      </c>
      <c r="F110" s="113">
        <v>1.5883400000000001</v>
      </c>
      <c r="G110" s="113">
        <v>1.85812</v>
      </c>
      <c r="H110" s="113"/>
      <c r="I110" s="115"/>
      <c r="J110" s="104" t="s">
        <v>46</v>
      </c>
    </row>
    <row r="111" spans="1:20" x14ac:dyDescent="0.15">
      <c r="A111" s="11">
        <v>43</v>
      </c>
      <c r="B111" s="113">
        <v>1.3985099999999999</v>
      </c>
      <c r="C111" s="114">
        <v>0</v>
      </c>
      <c r="D111" s="114">
        <v>0</v>
      </c>
      <c r="E111" s="114"/>
      <c r="F111" s="113"/>
      <c r="G111" s="113"/>
      <c r="H111" s="114"/>
      <c r="I111" s="115"/>
      <c r="J111" s="38" t="s">
        <v>31</v>
      </c>
      <c r="K111" s="105">
        <f t="shared" ref="K111:Q111" si="32">+K20</f>
        <v>180.2</v>
      </c>
      <c r="L111" s="105">
        <f t="shared" si="32"/>
        <v>0</v>
      </c>
      <c r="M111" s="105">
        <f t="shared" si="32"/>
        <v>0</v>
      </c>
      <c r="N111" s="105">
        <f t="shared" si="32"/>
        <v>0.6</v>
      </c>
      <c r="O111" s="105">
        <f t="shared" si="32"/>
        <v>0</v>
      </c>
      <c r="P111" s="105">
        <f t="shared" si="32"/>
        <v>0</v>
      </c>
      <c r="Q111" s="105">
        <f t="shared" si="32"/>
        <v>7.6</v>
      </c>
      <c r="R111" s="39">
        <f>SUM(K111:Q111)</f>
        <v>188.39999999999998</v>
      </c>
    </row>
    <row r="112" spans="1:20" ht="10.5" customHeight="1" x14ac:dyDescent="0.15">
      <c r="A112" s="11">
        <v>44</v>
      </c>
      <c r="B112" s="113">
        <v>1.5439000000000001</v>
      </c>
      <c r="C112" s="113">
        <v>1.7041299999999999</v>
      </c>
      <c r="D112" s="113">
        <v>1.2386900000000001</v>
      </c>
      <c r="E112" s="113"/>
      <c r="F112" s="113">
        <v>1.2517100000000001</v>
      </c>
      <c r="G112" s="113"/>
      <c r="H112" s="114"/>
      <c r="I112" s="115"/>
      <c r="J112" s="64" t="s">
        <v>59</v>
      </c>
      <c r="K112" s="116">
        <f t="shared" ref="K112:Q112" si="33">SUMPRODUCT(B119:B121,B28:B30)</f>
        <v>292.04623320000002</v>
      </c>
      <c r="L112" s="116">
        <f t="shared" si="33"/>
        <v>0</v>
      </c>
      <c r="M112" s="116">
        <f t="shared" si="33"/>
        <v>0</v>
      </c>
      <c r="N112" s="116">
        <f t="shared" si="33"/>
        <v>0.6</v>
      </c>
      <c r="O112" s="116">
        <f t="shared" si="33"/>
        <v>0</v>
      </c>
      <c r="P112" s="116">
        <f t="shared" si="33"/>
        <v>0</v>
      </c>
      <c r="Q112" s="116">
        <f t="shared" si="33"/>
        <v>13.109164</v>
      </c>
      <c r="R112" s="116">
        <f>SUM(K112:Q112)</f>
        <v>305.75539720000006</v>
      </c>
      <c r="T112" s="104" t="s">
        <v>46</v>
      </c>
    </row>
    <row r="113" spans="1:20" x14ac:dyDescent="0.15">
      <c r="A113" s="11">
        <v>45</v>
      </c>
      <c r="B113" s="113">
        <v>1.55593</v>
      </c>
      <c r="C113" s="114">
        <v>1.8848199999999999</v>
      </c>
      <c r="D113" s="114"/>
      <c r="E113" s="114">
        <v>1.09846</v>
      </c>
      <c r="F113" s="113"/>
      <c r="G113" s="113"/>
      <c r="H113" s="114"/>
      <c r="I113" s="115"/>
      <c r="J113" s="104" t="s">
        <v>64</v>
      </c>
      <c r="K113" s="116">
        <f>+K112/K111</f>
        <v>1.6206783196448393</v>
      </c>
      <c r="L113" s="116"/>
      <c r="M113" s="116"/>
      <c r="N113" s="116"/>
      <c r="O113" s="116"/>
      <c r="P113" s="116"/>
      <c r="Q113" s="116">
        <f>+Q112/Q111</f>
        <v>1.72489</v>
      </c>
      <c r="R113" s="117">
        <f>+R112/R111</f>
        <v>1.622905505307856</v>
      </c>
      <c r="T113" s="104" t="s">
        <v>64</v>
      </c>
    </row>
    <row r="114" spans="1:20" x14ac:dyDescent="0.15">
      <c r="A114" s="11">
        <v>46</v>
      </c>
      <c r="B114" s="113">
        <v>1.6001700000000001</v>
      </c>
      <c r="C114" s="113">
        <v>1.3163199999999999</v>
      </c>
      <c r="D114" s="113"/>
      <c r="E114" s="114"/>
      <c r="F114" s="113"/>
      <c r="G114" s="113">
        <v>1.8848199999999999</v>
      </c>
      <c r="H114" s="114"/>
      <c r="I114" s="115"/>
      <c r="J114" s="39"/>
      <c r="K114" s="39"/>
      <c r="L114" s="39"/>
      <c r="M114" s="39"/>
      <c r="N114" s="39"/>
      <c r="O114" s="39"/>
      <c r="P114" s="39"/>
    </row>
    <row r="115" spans="1:20" x14ac:dyDescent="0.15">
      <c r="A115" s="11">
        <v>47</v>
      </c>
      <c r="B115" s="113">
        <v>1.3334900000000001</v>
      </c>
      <c r="C115" s="113">
        <v>1.24505</v>
      </c>
      <c r="D115" s="113"/>
      <c r="E115" s="114"/>
      <c r="F115" s="113"/>
      <c r="G115" s="113">
        <v>1.50458</v>
      </c>
      <c r="H115" s="113"/>
      <c r="I115" s="115"/>
      <c r="J115" s="102"/>
    </row>
    <row r="116" spans="1:20" x14ac:dyDescent="0.15">
      <c r="A116" s="11">
        <v>48</v>
      </c>
      <c r="B116" s="113">
        <v>1.61497</v>
      </c>
      <c r="C116" s="114"/>
      <c r="D116" s="114"/>
      <c r="E116" s="114"/>
      <c r="F116" s="113"/>
      <c r="G116" s="113"/>
      <c r="H116" s="114"/>
      <c r="I116" s="115"/>
    </row>
    <row r="117" spans="1:20" x14ac:dyDescent="0.15">
      <c r="A117" s="11">
        <v>49</v>
      </c>
      <c r="B117" s="113">
        <v>0</v>
      </c>
      <c r="C117" s="113"/>
      <c r="D117" s="113"/>
      <c r="E117" s="113"/>
      <c r="F117" s="113"/>
      <c r="G117" s="113"/>
      <c r="H117" s="114"/>
      <c r="I117" s="115"/>
      <c r="J117" s="104" t="s">
        <v>51</v>
      </c>
      <c r="K117" s="105"/>
    </row>
    <row r="118" spans="1:20" x14ac:dyDescent="0.15">
      <c r="A118" s="11">
        <v>64</v>
      </c>
      <c r="B118" s="113">
        <v>1</v>
      </c>
      <c r="C118" s="113">
        <v>1.4059299999999999</v>
      </c>
      <c r="D118" s="113">
        <v>1.1989099999999999</v>
      </c>
      <c r="E118" s="113"/>
      <c r="F118" s="113"/>
      <c r="G118" s="113"/>
      <c r="H118" s="114"/>
      <c r="I118" s="115"/>
      <c r="J118" s="38" t="s">
        <v>31</v>
      </c>
      <c r="K118" s="105">
        <f t="shared" ref="K118:Q118" si="34">+K25</f>
        <v>56655.880000000005</v>
      </c>
      <c r="L118" s="105">
        <f t="shared" si="34"/>
        <v>1065.9699999999998</v>
      </c>
      <c r="M118" s="105">
        <f t="shared" si="34"/>
        <v>60.370000000000005</v>
      </c>
      <c r="N118" s="105">
        <f t="shared" si="34"/>
        <v>2899.5699999999997</v>
      </c>
      <c r="O118" s="105">
        <f t="shared" si="34"/>
        <v>529.21000000000015</v>
      </c>
      <c r="P118" s="105">
        <f t="shared" si="34"/>
        <v>225.51</v>
      </c>
      <c r="Q118" s="105">
        <f t="shared" si="34"/>
        <v>426.81</v>
      </c>
      <c r="R118" s="105">
        <f>SUM(K118:Q118)</f>
        <v>61863.320000000007</v>
      </c>
    </row>
    <row r="119" spans="1:20" x14ac:dyDescent="0.15">
      <c r="A119" s="11">
        <v>51</v>
      </c>
      <c r="B119" s="113">
        <v>1.66944</v>
      </c>
      <c r="C119" s="113"/>
      <c r="D119" s="113"/>
      <c r="E119" s="113">
        <v>0</v>
      </c>
      <c r="F119" s="113"/>
      <c r="G119" s="113"/>
      <c r="H119" s="114"/>
      <c r="I119" s="115"/>
      <c r="J119" s="64" t="s">
        <v>59</v>
      </c>
      <c r="K119" s="116">
        <f t="shared" ref="K119:Q119" si="35">SUMPRODUCT(B4:B30,B95:B121)</f>
        <v>87613.746429899998</v>
      </c>
      <c r="L119" s="116">
        <f t="shared" si="35"/>
        <v>1684.3475226999997</v>
      </c>
      <c r="M119" s="116">
        <f t="shared" si="35"/>
        <v>91.056564399999985</v>
      </c>
      <c r="N119" s="116">
        <f t="shared" si="35"/>
        <v>4478.1755450000001</v>
      </c>
      <c r="O119" s="116">
        <f t="shared" si="35"/>
        <v>840.05215950000013</v>
      </c>
      <c r="P119" s="116">
        <f t="shared" si="35"/>
        <v>333.34720200000004</v>
      </c>
      <c r="Q119" s="116">
        <f t="shared" si="35"/>
        <v>701.97005309999997</v>
      </c>
      <c r="R119" s="116">
        <f>SUM(K119:Q119)</f>
        <v>95742.695476600013</v>
      </c>
      <c r="S119" s="106"/>
      <c r="T119" s="104" t="s">
        <v>51</v>
      </c>
    </row>
    <row r="120" spans="1:20" x14ac:dyDescent="0.15">
      <c r="A120" s="11">
        <v>52</v>
      </c>
      <c r="B120" s="113">
        <v>1.3907</v>
      </c>
      <c r="C120" s="113"/>
      <c r="D120" s="113"/>
      <c r="E120" s="113">
        <v>1</v>
      </c>
      <c r="F120" s="113"/>
      <c r="G120" s="113"/>
      <c r="H120" s="114"/>
      <c r="I120" s="115"/>
      <c r="J120" s="104" t="s">
        <v>64</v>
      </c>
      <c r="K120" s="119">
        <f t="shared" ref="K120:R120" si="36">+K119/K118</f>
        <v>1.5464193024607507</v>
      </c>
      <c r="L120" s="119">
        <f>+L119/L118</f>
        <v>1.5801078104449469</v>
      </c>
      <c r="M120" s="119">
        <f t="shared" si="36"/>
        <v>1.5083081729335759</v>
      </c>
      <c r="N120" s="119">
        <f t="shared" si="36"/>
        <v>1.5444274651068954</v>
      </c>
      <c r="O120" s="119">
        <f t="shared" si="36"/>
        <v>1.5873701545700192</v>
      </c>
      <c r="P120" s="119">
        <f t="shared" si="36"/>
        <v>1.4781925502195028</v>
      </c>
      <c r="Q120" s="119">
        <f t="shared" si="36"/>
        <v>1.6446897989737821</v>
      </c>
      <c r="R120" s="117">
        <f t="shared" si="36"/>
        <v>1.5476488406474143</v>
      </c>
      <c r="T120" s="104" t="s">
        <v>64</v>
      </c>
    </row>
    <row r="121" spans="1:20" x14ac:dyDescent="0.15">
      <c r="A121" s="11">
        <v>61</v>
      </c>
      <c r="B121" s="113">
        <v>1.7469600000000001</v>
      </c>
      <c r="C121" s="113">
        <v>0</v>
      </c>
      <c r="D121" s="113"/>
      <c r="E121" s="113"/>
      <c r="F121" s="113"/>
      <c r="G121" s="113">
        <v>0</v>
      </c>
      <c r="H121" s="113">
        <v>1.72489</v>
      </c>
      <c r="I121" s="115"/>
    </row>
    <row r="122" spans="1:20" x14ac:dyDescent="0.15">
      <c r="A122" s="21"/>
      <c r="B122" s="120">
        <f t="shared" ref="B122:H122" si="37">SUM(B95:B121)</f>
        <v>40.231650000000009</v>
      </c>
      <c r="C122" s="120">
        <f t="shared" si="37"/>
        <v>30.419930000000004</v>
      </c>
      <c r="D122" s="120">
        <f t="shared" si="37"/>
        <v>16.7974</v>
      </c>
      <c r="E122" s="120">
        <f t="shared" si="37"/>
        <v>18.707699999999999</v>
      </c>
      <c r="F122" s="120">
        <f t="shared" si="37"/>
        <v>18.013449999999999</v>
      </c>
      <c r="G122" s="120">
        <f t="shared" si="37"/>
        <v>18.19116</v>
      </c>
      <c r="H122" s="120">
        <f t="shared" si="37"/>
        <v>13.010029999999999</v>
      </c>
      <c r="I122" s="110" t="s">
        <v>55</v>
      </c>
      <c r="J122" s="39"/>
      <c r="K122" s="39"/>
      <c r="L122" s="39"/>
      <c r="M122" s="39"/>
      <c r="N122" s="39"/>
      <c r="O122" s="39"/>
      <c r="P122" s="39"/>
    </row>
    <row r="123" spans="1:20" x14ac:dyDescent="0.15">
      <c r="A123" s="21"/>
      <c r="B123" s="111"/>
      <c r="C123" s="111"/>
      <c r="D123" s="111"/>
      <c r="E123" s="111"/>
      <c r="F123" s="111"/>
      <c r="G123" s="111"/>
      <c r="H123" s="111"/>
      <c r="I123" s="111"/>
    </row>
    <row r="124" spans="1:20" x14ac:dyDescent="0.15">
      <c r="B124" s="121"/>
      <c r="C124" s="121"/>
      <c r="D124" s="121"/>
      <c r="E124" s="121"/>
      <c r="F124" s="121"/>
      <c r="G124" s="121"/>
      <c r="H124" s="121"/>
    </row>
    <row r="125" spans="1:20" x14ac:dyDescent="0.15">
      <c r="F125" s="119"/>
      <c r="G125" s="119"/>
    </row>
  </sheetData>
  <phoneticPr fontId="0" type="noConversion"/>
  <printOptions gridLines="1"/>
  <pageMargins left="0.25" right="0.25" top="1" bottom="1" header="0.5" footer="0.5"/>
  <pageSetup scale="64" fitToHeight="0" orientation="landscape" r:id="rId1"/>
  <headerFooter alignWithMargins="0">
    <oddHeader>&amp;A</oddHeader>
    <oddFooter>&amp;CPage &amp;P&amp;R&amp;D</oddFooter>
  </headerFooter>
  <rowBreaks count="2" manualBreakCount="2">
    <brk id="48" max="16383" man="1"/>
    <brk id="9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zoomScale="75" zoomScaleNormal="75" workbookViewId="0">
      <pane ySplit="7" topLeftCell="A8" activePane="bottomLeft" state="frozen"/>
      <selection pane="bottomLeft" activeCell="A3" sqref="A3"/>
    </sheetView>
  </sheetViews>
  <sheetFormatPr defaultRowHeight="16.5" x14ac:dyDescent="0.3"/>
  <cols>
    <col min="1" max="1" width="10.85546875" style="463" customWidth="1"/>
    <col min="2" max="2" width="14.140625" style="463" customWidth="1"/>
    <col min="3" max="3" width="9.28515625" style="463" bestFit="1" customWidth="1"/>
    <col min="4" max="4" width="6.42578125" style="463" bestFit="1" customWidth="1"/>
    <col min="5" max="5" width="11.5703125" style="463" customWidth="1"/>
    <col min="6" max="6" width="7.140625" style="463" bestFit="1" customWidth="1"/>
    <col min="7" max="7" width="7.5703125" style="463" bestFit="1" customWidth="1"/>
    <col min="8" max="8" width="12" style="463" bestFit="1" customWidth="1"/>
    <col min="9" max="9" width="15.7109375" style="463" hidden="1" customWidth="1"/>
    <col min="10" max="10" width="8.140625" style="463" bestFit="1" customWidth="1"/>
    <col min="11" max="11" width="14.85546875" style="463" customWidth="1"/>
    <col min="12" max="12" width="7.5703125" style="463" bestFit="1" customWidth="1"/>
    <col min="13" max="13" width="12" style="463" bestFit="1" customWidth="1"/>
    <col min="14" max="14" width="13.140625" style="463" hidden="1" customWidth="1"/>
    <col min="15" max="16" width="14.85546875" style="463" hidden="1" customWidth="1"/>
    <col min="17" max="17" width="13.140625" style="463" hidden="1" customWidth="1"/>
    <col min="18" max="18" width="15" style="463" hidden="1" customWidth="1"/>
    <col min="19" max="19" width="14.85546875" style="463" hidden="1" customWidth="1"/>
    <col min="20" max="16384" width="9.140625" style="463"/>
  </cols>
  <sheetData>
    <row r="1" spans="1:19" s="549" customFormat="1" ht="21" thickTop="1" x14ac:dyDescent="0.35">
      <c r="A1" s="857" t="s">
        <v>387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9"/>
      <c r="N1" s="1"/>
      <c r="O1" s="1"/>
      <c r="P1" s="2"/>
      <c r="Q1" s="1"/>
      <c r="R1" s="1"/>
      <c r="S1" s="2"/>
    </row>
    <row r="2" spans="1:19" s="549" customFormat="1" ht="21" thickBot="1" x14ac:dyDescent="0.4">
      <c r="A2" s="860" t="s">
        <v>587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2"/>
      <c r="N2" s="729"/>
      <c r="O2" s="729"/>
      <c r="P2" s="730"/>
      <c r="Q2" s="729"/>
      <c r="R2" s="729"/>
      <c r="S2" s="730"/>
    </row>
    <row r="3" spans="1:19" s="4" customFormat="1" ht="17.25" x14ac:dyDescent="0.3">
      <c r="A3" s="709"/>
      <c r="B3" s="710"/>
      <c r="C3" s="716" t="s">
        <v>588</v>
      </c>
      <c r="D3" s="716"/>
      <c r="E3" s="716"/>
      <c r="F3" s="716"/>
      <c r="G3" s="716"/>
      <c r="H3" s="716"/>
      <c r="I3" s="716"/>
      <c r="J3" s="716"/>
      <c r="K3" s="716"/>
      <c r="L3" s="716"/>
      <c r="M3" s="718"/>
      <c r="N3" s="711" t="s">
        <v>65</v>
      </c>
      <c r="O3" s="712"/>
      <c r="P3" s="713"/>
      <c r="Q3" s="714" t="s">
        <v>211</v>
      </c>
      <c r="R3" s="712"/>
      <c r="S3" s="715"/>
    </row>
    <row r="4" spans="1:19" s="4" customFormat="1" ht="17.25" x14ac:dyDescent="0.3">
      <c r="A4" s="709"/>
      <c r="B4" s="779" t="s">
        <v>67</v>
      </c>
      <c r="C4" s="780" t="s">
        <v>559</v>
      </c>
      <c r="D4" s="716"/>
      <c r="E4" s="716"/>
      <c r="F4" s="716"/>
      <c r="G4" s="716"/>
      <c r="H4" s="717"/>
      <c r="I4" s="780"/>
      <c r="J4" s="780" t="s">
        <v>558</v>
      </c>
      <c r="K4" s="716"/>
      <c r="L4" s="716"/>
      <c r="M4" s="718"/>
      <c r="N4" s="711" t="s">
        <v>66</v>
      </c>
      <c r="O4" s="712"/>
      <c r="P4" s="713"/>
      <c r="Q4" s="714" t="s">
        <v>361</v>
      </c>
      <c r="R4" s="712"/>
      <c r="S4" s="715"/>
    </row>
    <row r="5" spans="1:19" s="4" customFormat="1" ht="17.25" x14ac:dyDescent="0.3">
      <c r="A5" s="709"/>
      <c r="B5" s="779" t="s">
        <v>71</v>
      </c>
      <c r="C5" s="852" t="s">
        <v>561</v>
      </c>
      <c r="D5" s="853"/>
      <c r="E5" s="853"/>
      <c r="F5" s="853"/>
      <c r="G5" s="854"/>
      <c r="H5" s="777" t="s">
        <v>69</v>
      </c>
      <c r="I5" s="781" t="s">
        <v>73</v>
      </c>
      <c r="J5" s="855" t="s">
        <v>560</v>
      </c>
      <c r="K5" s="856"/>
      <c r="L5" s="856"/>
      <c r="M5" s="782" t="s">
        <v>69</v>
      </c>
      <c r="N5" s="711" t="s">
        <v>360</v>
      </c>
      <c r="O5" s="712"/>
      <c r="P5" s="713"/>
      <c r="Q5" s="714" t="s">
        <v>360</v>
      </c>
      <c r="R5" s="712"/>
      <c r="S5" s="715"/>
    </row>
    <row r="6" spans="1:19" s="4" customFormat="1" ht="17.25" x14ac:dyDescent="0.3">
      <c r="A6" s="783" t="s">
        <v>70</v>
      </c>
      <c r="B6" s="779" t="s">
        <v>562</v>
      </c>
      <c r="C6" s="716" t="s">
        <v>326</v>
      </c>
      <c r="D6" s="784"/>
      <c r="E6" s="716" t="s">
        <v>72</v>
      </c>
      <c r="F6" s="785"/>
      <c r="G6" s="777" t="s">
        <v>41</v>
      </c>
      <c r="H6" s="777" t="s">
        <v>41</v>
      </c>
      <c r="I6" s="776" t="s">
        <v>71</v>
      </c>
      <c r="J6" s="786"/>
      <c r="K6" s="716"/>
      <c r="L6" s="785"/>
      <c r="M6" s="778"/>
      <c r="N6" s="719" t="s">
        <v>75</v>
      </c>
      <c r="O6" s="720" t="s">
        <v>74</v>
      </c>
      <c r="P6" s="721" t="s">
        <v>72</v>
      </c>
      <c r="Q6" s="722" t="s">
        <v>75</v>
      </c>
      <c r="R6" s="720" t="s">
        <v>74</v>
      </c>
      <c r="S6" s="723" t="s">
        <v>72</v>
      </c>
    </row>
    <row r="7" spans="1:19" s="4" customFormat="1" ht="18" thickBot="1" x14ac:dyDescent="0.35">
      <c r="A7" s="787" t="s">
        <v>76</v>
      </c>
      <c r="B7" s="788" t="s">
        <v>563</v>
      </c>
      <c r="C7" s="768" t="s">
        <v>77</v>
      </c>
      <c r="D7" s="789" t="s">
        <v>78</v>
      </c>
      <c r="E7" s="768" t="s">
        <v>79</v>
      </c>
      <c r="F7" s="789" t="s">
        <v>80</v>
      </c>
      <c r="G7" s="790" t="s">
        <v>81</v>
      </c>
      <c r="H7" s="790" t="s">
        <v>81</v>
      </c>
      <c r="I7" s="768" t="s">
        <v>193</v>
      </c>
      <c r="J7" s="791" t="s">
        <v>326</v>
      </c>
      <c r="K7" s="792" t="s">
        <v>72</v>
      </c>
      <c r="L7" s="792" t="s">
        <v>41</v>
      </c>
      <c r="M7" s="778" t="s">
        <v>41</v>
      </c>
      <c r="N7" s="724" t="s">
        <v>71</v>
      </c>
      <c r="O7" s="725" t="s">
        <v>72</v>
      </c>
      <c r="P7" s="726" t="s">
        <v>82</v>
      </c>
      <c r="Q7" s="727" t="s">
        <v>71</v>
      </c>
      <c r="R7" s="725" t="s">
        <v>72</v>
      </c>
      <c r="S7" s="728" t="s">
        <v>82</v>
      </c>
    </row>
    <row r="8" spans="1:19" ht="17.25" x14ac:dyDescent="0.3">
      <c r="A8" s="670" t="s">
        <v>239</v>
      </c>
      <c r="B8" s="671">
        <v>756085</v>
      </c>
      <c r="C8" s="672">
        <v>1.58</v>
      </c>
      <c r="D8" s="673">
        <v>3.2</v>
      </c>
      <c r="E8" s="672">
        <v>43.18</v>
      </c>
      <c r="F8" s="673">
        <v>5.99</v>
      </c>
      <c r="G8" s="674">
        <v>53.95</v>
      </c>
      <c r="H8" s="674">
        <v>23.49</v>
      </c>
      <c r="I8" s="664"/>
      <c r="J8" s="793"/>
      <c r="K8" s="794"/>
      <c r="L8" s="794"/>
      <c r="M8" s="795"/>
      <c r="N8" s="664"/>
      <c r="O8" s="665"/>
      <c r="P8" s="667"/>
      <c r="Q8" s="668"/>
      <c r="R8" s="665"/>
      <c r="S8" s="666"/>
    </row>
    <row r="9" spans="1:19" ht="17.25" x14ac:dyDescent="0.3">
      <c r="A9" s="670" t="s">
        <v>240</v>
      </c>
      <c r="B9" s="671">
        <v>750057</v>
      </c>
      <c r="C9" s="672">
        <v>1.62</v>
      </c>
      <c r="D9" s="673">
        <v>3.22</v>
      </c>
      <c r="E9" s="672">
        <v>44.74</v>
      </c>
      <c r="F9" s="673">
        <v>5.39</v>
      </c>
      <c r="G9" s="674">
        <v>54.96</v>
      </c>
      <c r="H9" s="674">
        <v>25.37</v>
      </c>
      <c r="I9" s="664"/>
      <c r="J9" s="793"/>
      <c r="K9" s="794"/>
      <c r="L9" s="794"/>
      <c r="M9" s="795"/>
      <c r="N9" s="664"/>
      <c r="O9" s="665"/>
      <c r="P9" s="667"/>
      <c r="Q9" s="668"/>
      <c r="R9" s="665"/>
      <c r="S9" s="666"/>
    </row>
    <row r="10" spans="1:19" ht="17.25" x14ac:dyDescent="0.3">
      <c r="A10" s="670" t="s">
        <v>241</v>
      </c>
      <c r="B10" s="671">
        <v>748084</v>
      </c>
      <c r="C10" s="672">
        <v>1.45</v>
      </c>
      <c r="D10" s="673">
        <v>3.12</v>
      </c>
      <c r="E10" s="672">
        <v>45.03</v>
      </c>
      <c r="F10" s="673">
        <v>4.66</v>
      </c>
      <c r="G10" s="674">
        <v>54.26</v>
      </c>
      <c r="H10" s="674">
        <v>25.26</v>
      </c>
      <c r="I10" s="664"/>
      <c r="J10" s="793"/>
      <c r="K10" s="794"/>
      <c r="L10" s="794"/>
      <c r="M10" s="795"/>
      <c r="N10" s="664"/>
      <c r="O10" s="665"/>
      <c r="P10" s="667"/>
      <c r="Q10" s="668"/>
      <c r="R10" s="665"/>
      <c r="S10" s="666"/>
    </row>
    <row r="11" spans="1:19" ht="17.25" x14ac:dyDescent="0.3">
      <c r="A11" s="670" t="s">
        <v>242</v>
      </c>
      <c r="B11" s="671">
        <v>744362</v>
      </c>
      <c r="C11" s="672">
        <v>1.41</v>
      </c>
      <c r="D11" s="673">
        <v>3.01</v>
      </c>
      <c r="E11" s="672">
        <v>45.19</v>
      </c>
      <c r="F11" s="673">
        <v>4.6100000000000003</v>
      </c>
      <c r="G11" s="674">
        <v>54.22</v>
      </c>
      <c r="H11" s="674">
        <v>25.11</v>
      </c>
      <c r="I11" s="664"/>
      <c r="J11" s="793"/>
      <c r="K11" s="794"/>
      <c r="L11" s="794"/>
      <c r="M11" s="795"/>
      <c r="N11" s="664"/>
      <c r="O11" s="665"/>
      <c r="P11" s="667"/>
      <c r="Q11" s="668"/>
      <c r="R11" s="665"/>
      <c r="S11" s="666"/>
    </row>
    <row r="12" spans="1:19" ht="17.25" x14ac:dyDescent="0.3">
      <c r="A12" s="670" t="s">
        <v>243</v>
      </c>
      <c r="B12" s="671">
        <v>742085</v>
      </c>
      <c r="C12" s="672">
        <v>1.43</v>
      </c>
      <c r="D12" s="673">
        <v>2.97</v>
      </c>
      <c r="E12" s="672">
        <v>46.62</v>
      </c>
      <c r="F12" s="673">
        <v>4.4400000000000004</v>
      </c>
      <c r="G12" s="674">
        <v>55.46</v>
      </c>
      <c r="H12" s="674">
        <v>26.4</v>
      </c>
      <c r="I12" s="664"/>
      <c r="J12" s="793"/>
      <c r="K12" s="794"/>
      <c r="L12" s="794"/>
      <c r="M12" s="795"/>
      <c r="N12" s="664"/>
      <c r="O12" s="665"/>
      <c r="P12" s="667"/>
      <c r="Q12" s="668"/>
      <c r="R12" s="665"/>
      <c r="S12" s="666"/>
    </row>
    <row r="13" spans="1:19" ht="17.25" x14ac:dyDescent="0.3">
      <c r="A13" s="670" t="s">
        <v>244</v>
      </c>
      <c r="B13" s="671">
        <v>734917</v>
      </c>
      <c r="C13" s="672">
        <v>1.46</v>
      </c>
      <c r="D13" s="673">
        <v>3.09</v>
      </c>
      <c r="E13" s="672">
        <v>47.48</v>
      </c>
      <c r="F13" s="673">
        <v>4.62</v>
      </c>
      <c r="G13" s="674">
        <v>56.66</v>
      </c>
      <c r="H13" s="674">
        <v>27.41</v>
      </c>
      <c r="I13" s="669">
        <v>735076</v>
      </c>
      <c r="J13" s="793"/>
      <c r="K13" s="794"/>
      <c r="L13" s="673">
        <v>50.65</v>
      </c>
      <c r="M13" s="676">
        <f>(+Table3!B66)/I13*1000</f>
        <v>15.953452432129467</v>
      </c>
      <c r="N13" s="664"/>
      <c r="O13" s="665"/>
      <c r="P13" s="667"/>
      <c r="Q13" s="668"/>
      <c r="R13" s="665"/>
      <c r="S13" s="666"/>
    </row>
    <row r="14" spans="1:19" ht="17.25" x14ac:dyDescent="0.3">
      <c r="A14" s="670" t="s">
        <v>245</v>
      </c>
      <c r="B14" s="671">
        <v>729450</v>
      </c>
      <c r="C14" s="672">
        <v>1.53</v>
      </c>
      <c r="D14" s="673">
        <v>3.12</v>
      </c>
      <c r="E14" s="672">
        <v>48.67</v>
      </c>
      <c r="F14" s="673">
        <v>4.82</v>
      </c>
      <c r="G14" s="674">
        <v>58.13</v>
      </c>
      <c r="H14" s="674">
        <v>28.81</v>
      </c>
      <c r="I14" s="669">
        <v>729519</v>
      </c>
      <c r="J14" s="793"/>
      <c r="K14" s="794"/>
      <c r="L14" s="673">
        <v>51.53</v>
      </c>
      <c r="M14" s="676">
        <f>(+Table3!C66)/I14*1000</f>
        <v>17.057814806742524</v>
      </c>
      <c r="N14" s="664"/>
      <c r="O14" s="665"/>
      <c r="P14" s="667"/>
      <c r="Q14" s="668"/>
      <c r="R14" s="665"/>
      <c r="S14" s="666"/>
    </row>
    <row r="15" spans="1:19" ht="17.25" x14ac:dyDescent="0.3">
      <c r="A15" s="670" t="s">
        <v>246</v>
      </c>
      <c r="B15" s="671">
        <v>722623</v>
      </c>
      <c r="C15" s="672">
        <v>1.57</v>
      </c>
      <c r="D15" s="673">
        <v>3.19</v>
      </c>
      <c r="E15" s="672">
        <v>49.26</v>
      </c>
      <c r="F15" s="673">
        <v>5.09</v>
      </c>
      <c r="G15" s="674">
        <v>59.12</v>
      </c>
      <c r="H15" s="674">
        <v>29.62</v>
      </c>
      <c r="I15" s="664"/>
      <c r="J15" s="793"/>
      <c r="K15" s="794"/>
      <c r="L15" s="794"/>
      <c r="M15" s="795"/>
      <c r="N15" s="664"/>
      <c r="O15" s="665"/>
      <c r="P15" s="667"/>
      <c r="Q15" s="668"/>
      <c r="R15" s="665"/>
      <c r="S15" s="666"/>
    </row>
    <row r="16" spans="1:19" ht="17.25" x14ac:dyDescent="0.3">
      <c r="A16" s="670" t="s">
        <v>247</v>
      </c>
      <c r="B16" s="671">
        <v>712769</v>
      </c>
      <c r="C16" s="672">
        <v>1.41</v>
      </c>
      <c r="D16" s="673">
        <v>3.15</v>
      </c>
      <c r="E16" s="672">
        <v>49.11</v>
      </c>
      <c r="F16" s="673">
        <v>5.0599999999999996</v>
      </c>
      <c r="G16" s="674">
        <v>58.73</v>
      </c>
      <c r="H16" s="674">
        <v>27.39</v>
      </c>
      <c r="I16" s="669">
        <v>712872</v>
      </c>
      <c r="J16" s="793"/>
      <c r="K16" s="794"/>
      <c r="L16" s="673">
        <v>50.26</v>
      </c>
      <c r="M16" s="676">
        <f>(+Table3!E66)/I16*1000</f>
        <v>16.983413572141984</v>
      </c>
      <c r="N16" s="664"/>
      <c r="O16" s="665"/>
      <c r="P16" s="667"/>
      <c r="Q16" s="668"/>
      <c r="R16" s="665"/>
      <c r="S16" s="666"/>
    </row>
    <row r="17" spans="1:19" ht="17.25" x14ac:dyDescent="0.3">
      <c r="A17" s="670" t="s">
        <v>248</v>
      </c>
      <c r="B17" s="671">
        <v>701777</v>
      </c>
      <c r="C17" s="672">
        <v>1.3</v>
      </c>
      <c r="D17" s="673">
        <v>3.12</v>
      </c>
      <c r="E17" s="672">
        <v>48.62</v>
      </c>
      <c r="F17" s="673">
        <v>4.9400000000000004</v>
      </c>
      <c r="G17" s="674">
        <v>57.98</v>
      </c>
      <c r="H17" s="674">
        <v>27.02</v>
      </c>
      <c r="I17" s="669">
        <v>701875</v>
      </c>
      <c r="J17" s="793"/>
      <c r="K17" s="794"/>
      <c r="L17" s="673">
        <v>49.61</v>
      </c>
      <c r="M17" s="676">
        <f>(+Table3!F66)/I17*1000</f>
        <v>16.866251113089938</v>
      </c>
      <c r="N17" s="664"/>
      <c r="O17" s="665"/>
      <c r="P17" s="667"/>
      <c r="Q17" s="668"/>
      <c r="R17" s="665"/>
      <c r="S17" s="666"/>
    </row>
    <row r="18" spans="1:19" ht="17.25" x14ac:dyDescent="0.3">
      <c r="A18" s="670" t="s">
        <v>249</v>
      </c>
      <c r="B18" s="671">
        <v>699622</v>
      </c>
      <c r="C18" s="672">
        <v>1.35</v>
      </c>
      <c r="D18" s="673">
        <v>3.13</v>
      </c>
      <c r="E18" s="672">
        <v>49.87</v>
      </c>
      <c r="F18" s="673">
        <v>5.14</v>
      </c>
      <c r="G18" s="674">
        <v>59.48</v>
      </c>
      <c r="H18" s="674">
        <v>28.14</v>
      </c>
      <c r="I18" s="669">
        <v>699693</v>
      </c>
      <c r="J18" s="793"/>
      <c r="K18" s="794"/>
      <c r="L18" s="673">
        <v>51.64</v>
      </c>
      <c r="M18" s="676">
        <f>(+Table3!G66)/I18*1000</f>
        <v>17.520541151619351</v>
      </c>
      <c r="N18" s="664"/>
      <c r="O18" s="665"/>
      <c r="P18" s="667"/>
      <c r="Q18" s="668"/>
      <c r="R18" s="665"/>
      <c r="S18" s="666"/>
    </row>
    <row r="19" spans="1:19" ht="17.25" x14ac:dyDescent="0.3">
      <c r="A19" s="670" t="s">
        <v>250</v>
      </c>
      <c r="B19" s="671">
        <v>702550</v>
      </c>
      <c r="C19" s="672">
        <v>1.38</v>
      </c>
      <c r="D19" s="673">
        <v>3.24</v>
      </c>
      <c r="E19" s="672">
        <v>50.85</v>
      </c>
      <c r="F19" s="673">
        <v>5.32</v>
      </c>
      <c r="G19" s="674">
        <v>60.79</v>
      </c>
      <c r="H19" s="674">
        <v>29.13</v>
      </c>
      <c r="I19" s="669">
        <v>702681</v>
      </c>
      <c r="J19" s="793"/>
      <c r="K19" s="794"/>
      <c r="L19" s="673">
        <v>52.45</v>
      </c>
      <c r="M19" s="676">
        <f>(+Table3!H66)/I19*1000</f>
        <v>17.905706857023315</v>
      </c>
      <c r="N19" s="664"/>
      <c r="O19" s="665"/>
      <c r="P19" s="667"/>
      <c r="Q19" s="668"/>
      <c r="R19" s="665"/>
      <c r="S19" s="666"/>
    </row>
    <row r="20" spans="1:19" ht="17.25" x14ac:dyDescent="0.3">
      <c r="A20" s="670" t="s">
        <v>251</v>
      </c>
      <c r="B20" s="671">
        <v>708949</v>
      </c>
      <c r="C20" s="672">
        <v>1.4</v>
      </c>
      <c r="D20" s="673">
        <v>3.18</v>
      </c>
      <c r="E20" s="672">
        <v>51.06</v>
      </c>
      <c r="F20" s="673">
        <v>5.39</v>
      </c>
      <c r="G20" s="674">
        <v>61.04</v>
      </c>
      <c r="H20" s="674">
        <v>29.56</v>
      </c>
      <c r="I20" s="669">
        <v>709089</v>
      </c>
      <c r="J20" s="793"/>
      <c r="K20" s="794"/>
      <c r="L20" s="673">
        <v>52.46</v>
      </c>
      <c r="M20" s="676">
        <f>(+Table3!I66)/I20*1000</f>
        <v>17.985048421284212</v>
      </c>
      <c r="N20" s="664"/>
      <c r="O20" s="665"/>
      <c r="P20" s="667"/>
      <c r="Q20" s="668"/>
      <c r="R20" s="665"/>
      <c r="S20" s="666"/>
    </row>
    <row r="21" spans="1:19" x14ac:dyDescent="0.3">
      <c r="A21" s="670" t="s">
        <v>252</v>
      </c>
      <c r="B21" s="671">
        <v>720744</v>
      </c>
      <c r="C21" s="672">
        <v>1.4</v>
      </c>
      <c r="D21" s="673">
        <v>3.03</v>
      </c>
      <c r="E21" s="672">
        <v>51.51</v>
      </c>
      <c r="F21" s="673">
        <v>5.54</v>
      </c>
      <c r="G21" s="674">
        <v>61.49</v>
      </c>
      <c r="H21" s="674">
        <v>29.96</v>
      </c>
      <c r="I21" s="675">
        <v>698961</v>
      </c>
      <c r="J21" s="673">
        <f>(+Table3!J48)/I21*1000</f>
        <v>4.0760500228195848</v>
      </c>
      <c r="K21" s="673">
        <f>(+Table3!J57)/I21*1000</f>
        <v>49.14008077703906</v>
      </c>
      <c r="L21" s="673">
        <f t="shared" ref="L21:L36" si="0">+J21+K21</f>
        <v>53.216130799858647</v>
      </c>
      <c r="M21" s="676">
        <f>(+Table3!J66)/I21*1000</f>
        <v>18.753549911940723</v>
      </c>
      <c r="N21" s="664"/>
      <c r="O21" s="665"/>
      <c r="P21" s="667"/>
      <c r="Q21" s="668"/>
      <c r="R21" s="665"/>
      <c r="S21" s="666"/>
    </row>
    <row r="22" spans="1:19" x14ac:dyDescent="0.3">
      <c r="A22" s="670" t="s">
        <v>253</v>
      </c>
      <c r="B22" s="671">
        <v>733872</v>
      </c>
      <c r="C22" s="672">
        <v>1.36</v>
      </c>
      <c r="D22" s="673">
        <v>3.03</v>
      </c>
      <c r="E22" s="672">
        <v>51.71</v>
      </c>
      <c r="F22" s="673">
        <v>5.53</v>
      </c>
      <c r="G22" s="674">
        <v>61.63</v>
      </c>
      <c r="H22" s="674">
        <v>30.56</v>
      </c>
      <c r="I22" s="675">
        <v>711281</v>
      </c>
      <c r="J22" s="673">
        <f>(+Table3!K48)/I22*1000</f>
        <v>4.0434090043175628</v>
      </c>
      <c r="K22" s="673">
        <f>(+Table3!K57)/I22*1000</f>
        <v>49.315249528667287</v>
      </c>
      <c r="L22" s="673">
        <f t="shared" si="0"/>
        <v>53.358658532984848</v>
      </c>
      <c r="M22" s="676">
        <f>(+Table3!K66)/I22*1000</f>
        <v>18.903921235067436</v>
      </c>
      <c r="N22" s="664"/>
      <c r="O22" s="665"/>
      <c r="P22" s="667"/>
      <c r="Q22" s="668"/>
      <c r="R22" s="665"/>
      <c r="S22" s="666"/>
    </row>
    <row r="23" spans="1:19" x14ac:dyDescent="0.3">
      <c r="A23" s="670" t="s">
        <v>254</v>
      </c>
      <c r="B23" s="671">
        <v>748417</v>
      </c>
      <c r="C23" s="672">
        <v>1.37</v>
      </c>
      <c r="D23" s="673">
        <v>3.03</v>
      </c>
      <c r="E23" s="672">
        <v>51.87</v>
      </c>
      <c r="F23" s="673">
        <v>5.6</v>
      </c>
      <c r="G23" s="674">
        <v>61.91</v>
      </c>
      <c r="H23" s="674">
        <v>31.38</v>
      </c>
      <c r="I23" s="675">
        <v>724228</v>
      </c>
      <c r="J23" s="673">
        <f>(+Table3!L48)/I23*1000</f>
        <v>4.0222139989064223</v>
      </c>
      <c r="K23" s="673">
        <f>(+Table3!L57)/I23*1000</f>
        <v>49.549313199710589</v>
      </c>
      <c r="L23" s="673">
        <f t="shared" si="0"/>
        <v>53.571527198617012</v>
      </c>
      <c r="M23" s="676">
        <f>(+Table3!L66)/I23*1000</f>
        <v>19.114146373793886</v>
      </c>
      <c r="N23" s="664"/>
      <c r="O23" s="665"/>
      <c r="P23" s="667"/>
      <c r="Q23" s="668"/>
      <c r="R23" s="665"/>
      <c r="S23" s="666"/>
    </row>
    <row r="24" spans="1:19" x14ac:dyDescent="0.3">
      <c r="A24" s="670" t="s">
        <v>255</v>
      </c>
      <c r="B24" s="671">
        <v>768356</v>
      </c>
      <c r="C24" s="672">
        <v>1.36</v>
      </c>
      <c r="D24" s="673">
        <v>2.93</v>
      </c>
      <c r="E24" s="672">
        <v>52.5</v>
      </c>
      <c r="F24" s="673">
        <v>5.75</v>
      </c>
      <c r="G24" s="674">
        <v>62.62</v>
      </c>
      <c r="H24" s="674">
        <v>31.6</v>
      </c>
      <c r="I24" s="675">
        <v>742995</v>
      </c>
      <c r="J24" s="673">
        <f>(+Table3!M48)/I24*1000</f>
        <v>3.9529202753719739</v>
      </c>
      <c r="K24" s="673">
        <f>(+Table3!M57)/I24*1000</f>
        <v>50.379881425850776</v>
      </c>
      <c r="L24" s="673">
        <f t="shared" si="0"/>
        <v>54.332801701222749</v>
      </c>
      <c r="M24" s="676">
        <f>(+Table3!M66)/I24*1000</f>
        <v>19.113183803390331</v>
      </c>
      <c r="N24" s="669">
        <v>236508</v>
      </c>
      <c r="O24" s="662">
        <v>50.95</v>
      </c>
      <c r="P24" s="667"/>
      <c r="Q24" s="668"/>
      <c r="R24" s="665"/>
      <c r="S24" s="666"/>
    </row>
    <row r="25" spans="1:19" x14ac:dyDescent="0.3">
      <c r="A25" s="670" t="s">
        <v>256</v>
      </c>
      <c r="B25" s="671">
        <v>795736</v>
      </c>
      <c r="C25" s="672">
        <v>1.33</v>
      </c>
      <c r="D25" s="673">
        <v>2.93</v>
      </c>
      <c r="E25" s="672">
        <v>52.68</v>
      </c>
      <c r="F25" s="673">
        <v>5.81</v>
      </c>
      <c r="G25" s="674">
        <v>62.83</v>
      </c>
      <c r="H25" s="674">
        <v>32.409999999999997</v>
      </c>
      <c r="I25" s="675">
        <v>768602</v>
      </c>
      <c r="J25" s="673">
        <f>(+Table3!N48)/I25*1000</f>
        <v>3.9331149281422633</v>
      </c>
      <c r="K25" s="673">
        <f>(+Table3!N57)/I25*1000</f>
        <v>50.593154844770119</v>
      </c>
      <c r="L25" s="673">
        <f t="shared" si="0"/>
        <v>54.526269772912386</v>
      </c>
      <c r="M25" s="676">
        <f>(+Table3!N66)/I25*1000</f>
        <v>19.312986435112062</v>
      </c>
      <c r="N25" s="669">
        <v>242034</v>
      </c>
      <c r="O25" s="662">
        <v>52.44</v>
      </c>
      <c r="P25" s="663">
        <v>2.91</v>
      </c>
      <c r="Q25" s="668"/>
      <c r="R25" s="665"/>
      <c r="S25" s="666"/>
    </row>
    <row r="26" spans="1:19" x14ac:dyDescent="0.3">
      <c r="A26" s="670" t="s">
        <v>257</v>
      </c>
      <c r="B26" s="671">
        <v>823040</v>
      </c>
      <c r="C26" s="672">
        <v>1.29</v>
      </c>
      <c r="D26" s="673">
        <v>2.81</v>
      </c>
      <c r="E26" s="672">
        <v>52.15</v>
      </c>
      <c r="F26" s="673">
        <v>5.88</v>
      </c>
      <c r="G26" s="674">
        <v>62.22</v>
      </c>
      <c r="H26" s="674">
        <v>32.42</v>
      </c>
      <c r="I26" s="675">
        <v>794542</v>
      </c>
      <c r="J26" s="673">
        <f>(+Table3!O48)/I26*1000</f>
        <v>3.8462409790797718</v>
      </c>
      <c r="K26" s="673">
        <f>(+Table3!O57)/I26*1000</f>
        <v>50.75628475272547</v>
      </c>
      <c r="L26" s="673">
        <f t="shared" si="0"/>
        <v>54.602525731805244</v>
      </c>
      <c r="M26" s="676">
        <f>(+Table3!O66)/I26*1000</f>
        <v>19.442647462311619</v>
      </c>
      <c r="N26" s="669">
        <v>246036</v>
      </c>
      <c r="O26" s="662">
        <v>53.95</v>
      </c>
      <c r="P26" s="663">
        <v>3.11</v>
      </c>
      <c r="Q26" s="668"/>
      <c r="R26" s="665"/>
      <c r="S26" s="666"/>
    </row>
    <row r="27" spans="1:19" x14ac:dyDescent="0.3">
      <c r="A27" s="670" t="s">
        <v>258</v>
      </c>
      <c r="B27" s="671">
        <v>849759</v>
      </c>
      <c r="C27" s="672">
        <v>1.23</v>
      </c>
      <c r="D27" s="673">
        <v>2.82</v>
      </c>
      <c r="E27" s="672">
        <v>52.17</v>
      </c>
      <c r="F27" s="673">
        <v>5.93</v>
      </c>
      <c r="G27" s="674">
        <v>62.23</v>
      </c>
      <c r="H27" s="674">
        <v>33.229999999999997</v>
      </c>
      <c r="I27" s="675">
        <v>819338</v>
      </c>
      <c r="J27" s="673">
        <f>(+Table3!P48)/I27*1000</f>
        <v>3.8018497860467839</v>
      </c>
      <c r="K27" s="673">
        <f>(+Table3!P57)/I27*1000</f>
        <v>50.750728026772833</v>
      </c>
      <c r="L27" s="673">
        <f t="shared" si="0"/>
        <v>54.552577812819621</v>
      </c>
      <c r="M27" s="676">
        <f>(+Table3!P66)/I27*1000</f>
        <v>19.54260634805172</v>
      </c>
      <c r="N27" s="669">
        <v>248455</v>
      </c>
      <c r="O27" s="662">
        <v>54.32</v>
      </c>
      <c r="P27" s="663">
        <v>3.19</v>
      </c>
      <c r="Q27" s="668"/>
      <c r="R27" s="665"/>
      <c r="S27" s="666"/>
    </row>
    <row r="28" spans="1:19" x14ac:dyDescent="0.3">
      <c r="A28" s="670" t="s">
        <v>259</v>
      </c>
      <c r="B28" s="671">
        <v>865796</v>
      </c>
      <c r="C28" s="672">
        <v>1.18</v>
      </c>
      <c r="D28" s="673">
        <v>2.8</v>
      </c>
      <c r="E28" s="672">
        <v>52.5</v>
      </c>
      <c r="F28" s="673">
        <v>6.11</v>
      </c>
      <c r="G28" s="674">
        <v>62.68</v>
      </c>
      <c r="H28" s="674">
        <v>33.94</v>
      </c>
      <c r="I28" s="675">
        <v>833854</v>
      </c>
      <c r="J28" s="673">
        <f>(+Table3!Q48)/I28*1000</f>
        <v>3.7476584629923226</v>
      </c>
      <c r="K28" s="673">
        <f>(+Table3!Q57)/I28*1000</f>
        <v>51.098873423884754</v>
      </c>
      <c r="L28" s="673">
        <f t="shared" si="0"/>
        <v>54.846531886877074</v>
      </c>
      <c r="M28" s="676">
        <f>(+Table3!Q66)/I28*1000</f>
        <v>19.652121354577659</v>
      </c>
      <c r="N28" s="669">
        <v>249103</v>
      </c>
      <c r="O28" s="662">
        <v>54.27</v>
      </c>
      <c r="P28" s="663">
        <v>3.13</v>
      </c>
      <c r="Q28" s="668"/>
      <c r="R28" s="665"/>
      <c r="S28" s="666"/>
    </row>
    <row r="29" spans="1:19" x14ac:dyDescent="0.3">
      <c r="A29" s="670" t="s">
        <v>260</v>
      </c>
      <c r="B29" s="671">
        <v>882097</v>
      </c>
      <c r="C29" s="672">
        <v>1.1299999999999999</v>
      </c>
      <c r="D29" s="673">
        <v>2.83</v>
      </c>
      <c r="E29" s="672">
        <v>53.06</v>
      </c>
      <c r="F29" s="673">
        <v>6.31</v>
      </c>
      <c r="G29" s="674">
        <v>62.87</v>
      </c>
      <c r="H29" s="674">
        <v>34.56</v>
      </c>
      <c r="I29" s="675">
        <v>847966</v>
      </c>
      <c r="J29" s="673">
        <f>(+Table3!R48)/I29*1000</f>
        <v>3.7572261151980149</v>
      </c>
      <c r="K29" s="673">
        <f>(+Table3!R57)/I29*1000</f>
        <v>51.277999353747674</v>
      </c>
      <c r="L29" s="673">
        <f t="shared" si="0"/>
        <v>55.03522546894569</v>
      </c>
      <c r="M29" s="676">
        <f>(+Table3!R66)/I29*1000</f>
        <v>19.755509065221954</v>
      </c>
      <c r="N29" s="669">
        <v>250070</v>
      </c>
      <c r="O29" s="662">
        <v>54.6</v>
      </c>
      <c r="P29" s="663">
        <v>3.24</v>
      </c>
      <c r="Q29" s="668"/>
      <c r="R29" s="665"/>
      <c r="S29" s="666"/>
    </row>
    <row r="30" spans="1:19" x14ac:dyDescent="0.3">
      <c r="A30" s="670" t="s">
        <v>261</v>
      </c>
      <c r="B30" s="671">
        <v>899082.95</v>
      </c>
      <c r="C30" s="672">
        <f>(+Table2!B43/B30)*1000</f>
        <v>1.1212091164669511</v>
      </c>
      <c r="D30" s="673">
        <f>(+Table2!D43/B30)*1000</f>
        <v>2.7719911716710901</v>
      </c>
      <c r="E30" s="672">
        <f>(+Table2!F43/B30)*1000</f>
        <v>52.164119005927098</v>
      </c>
      <c r="F30" s="673">
        <f>(+Table2!H43/B30)*1000</f>
        <v>6.2280682777935015</v>
      </c>
      <c r="G30" s="674">
        <f>(+Table2!J43/B30)*1000</f>
        <v>62.476326572537062</v>
      </c>
      <c r="H30" s="674">
        <f>(+Table2!L43/B30)*1000</f>
        <v>34.160173986171131</v>
      </c>
      <c r="I30" s="675">
        <v>899082.95</v>
      </c>
      <c r="J30" s="673">
        <f>(+Table3!S48)/B30*1000</f>
        <v>3.56836930341077</v>
      </c>
      <c r="K30" s="673">
        <f>(+Table3!S57)/B30*1000</f>
        <v>50.518141846644966</v>
      </c>
      <c r="L30" s="673">
        <f t="shared" si="0"/>
        <v>54.086511150055735</v>
      </c>
      <c r="M30" s="676">
        <f>(+Table3!S66)/B30*1000</f>
        <v>18.967104203232864</v>
      </c>
      <c r="N30" s="669">
        <v>258670.31</v>
      </c>
      <c r="O30" s="662">
        <v>55.23</v>
      </c>
      <c r="P30" s="663">
        <v>3.43</v>
      </c>
      <c r="Q30" s="668"/>
      <c r="R30" s="665"/>
      <c r="S30" s="666"/>
    </row>
    <row r="31" spans="1:19" x14ac:dyDescent="0.3">
      <c r="A31" s="670" t="s">
        <v>262</v>
      </c>
      <c r="B31" s="671">
        <v>917503.67</v>
      </c>
      <c r="C31" s="672">
        <v>1.1100000000000001</v>
      </c>
      <c r="D31" s="673">
        <v>2.79</v>
      </c>
      <c r="E31" s="672">
        <v>52.53</v>
      </c>
      <c r="F31" s="673">
        <v>6.21</v>
      </c>
      <c r="G31" s="674">
        <v>62.84</v>
      </c>
      <c r="H31" s="674">
        <v>34.6</v>
      </c>
      <c r="I31" s="675">
        <v>917503.67</v>
      </c>
      <c r="J31" s="673">
        <f>(+Table3!T48)/B31*1000</f>
        <v>3.572290887948165</v>
      </c>
      <c r="K31" s="673">
        <f>(+Table3!T57)/B31*1000</f>
        <v>50.798706886916314</v>
      </c>
      <c r="L31" s="673">
        <f t="shared" si="0"/>
        <v>54.370997774864477</v>
      </c>
      <c r="M31" s="676">
        <f>(+Table3!T66)/B31*1000</f>
        <v>19.136751790867496</v>
      </c>
      <c r="N31" s="669">
        <v>264358</v>
      </c>
      <c r="O31" s="662">
        <v>55.39</v>
      </c>
      <c r="P31" s="663">
        <v>3.48</v>
      </c>
      <c r="Q31" s="668"/>
      <c r="R31" s="665"/>
      <c r="S31" s="666"/>
    </row>
    <row r="32" spans="1:19" x14ac:dyDescent="0.3">
      <c r="A32" s="670" t="s">
        <v>263</v>
      </c>
      <c r="B32" s="671">
        <f>Table4ws!$AF$21</f>
        <v>929913.67</v>
      </c>
      <c r="C32" s="672">
        <f>(+Table2!B45/B32)*1000</f>
        <v>1.1301801811344487</v>
      </c>
      <c r="D32" s="673">
        <f>(+Table2!D45/B32)*1000</f>
        <v>2.7922269386576501</v>
      </c>
      <c r="E32" s="672">
        <f>(+Table2!F45/B32)*1000</f>
        <v>52.709161700999616</v>
      </c>
      <c r="F32" s="673">
        <f>(+Table2!H45/B32)*1000</f>
        <v>6.2614629592443771</v>
      </c>
      <c r="G32" s="674">
        <f>(+Table2!J45/B32)*1000</f>
        <v>63.079737283569557</v>
      </c>
      <c r="H32" s="674">
        <f>(+Table2!L45/B32)*1000</f>
        <v>35.141294352625223</v>
      </c>
      <c r="I32" s="675">
        <f>+Table4ws!AF21</f>
        <v>929913.67</v>
      </c>
      <c r="J32" s="673">
        <f>(+Table3!U48)/B32*1000</f>
        <v>3.5882470681391316</v>
      </c>
      <c r="K32" s="673">
        <f>(+Table3!U57)/B32*1000</f>
        <v>50.704039010416942</v>
      </c>
      <c r="L32" s="673">
        <f t="shared" si="0"/>
        <v>54.292286078556074</v>
      </c>
      <c r="M32" s="676">
        <f>(+Table3!U66)/B32*1000</f>
        <v>19.492813779154357</v>
      </c>
      <c r="N32" s="675">
        <f>Table4ws!$AH$28</f>
        <v>267840.86</v>
      </c>
      <c r="O32" s="673">
        <v>55.22</v>
      </c>
      <c r="P32" s="674">
        <v>2.95</v>
      </c>
      <c r="Q32" s="668"/>
      <c r="R32" s="665"/>
      <c r="S32" s="666"/>
    </row>
    <row r="33" spans="1:19" x14ac:dyDescent="0.3">
      <c r="A33" s="670" t="s">
        <v>264</v>
      </c>
      <c r="B33" s="671">
        <f>+Table4ws!AL21</f>
        <v>938973.90000000014</v>
      </c>
      <c r="C33" s="672">
        <f>(+Table2!B46/B33)*1000</f>
        <v>1.1281783231674489</v>
      </c>
      <c r="D33" s="673">
        <f>(+Table2!D46/B33)*1000</f>
        <v>2.7918134891715303</v>
      </c>
      <c r="E33" s="672">
        <f>(+Table2!F46/B33)*1000</f>
        <v>52.82110610316218</v>
      </c>
      <c r="F33" s="673">
        <f>(+Table2!H46/B33)*1000</f>
        <v>6.399858398620025</v>
      </c>
      <c r="G33" s="674">
        <f>(+Table2!J46/B33)*1000</f>
        <v>63.322175408709434</v>
      </c>
      <c r="H33" s="674">
        <f>(+Table2!L46/B33)*1000</f>
        <v>35.271172074111959</v>
      </c>
      <c r="I33" s="675">
        <f>Table4ws!$AL$21</f>
        <v>938973.90000000014</v>
      </c>
      <c r="J33" s="673">
        <f>(+Table3!V48)/B33*1000</f>
        <v>3.5873095088159523</v>
      </c>
      <c r="K33" s="673">
        <f>(+Table3!V57)/B33*1000</f>
        <v>50.588594635058541</v>
      </c>
      <c r="L33" s="673">
        <f t="shared" si="0"/>
        <v>54.17590414387449</v>
      </c>
      <c r="M33" s="676">
        <f>(+Table3!V66)/B33*1000</f>
        <v>19.531341605980735</v>
      </c>
      <c r="N33" s="675">
        <f>+Table4ws!AN28</f>
        <v>268575.08</v>
      </c>
      <c r="O33" s="673">
        <v>55.36</v>
      </c>
      <c r="P33" s="674">
        <v>2.91</v>
      </c>
      <c r="Q33" s="668"/>
      <c r="R33" s="665"/>
      <c r="S33" s="666"/>
    </row>
    <row r="34" spans="1:19" x14ac:dyDescent="0.3">
      <c r="A34" s="670" t="s">
        <v>265</v>
      </c>
      <c r="B34" s="671">
        <f>+Table4ws!AT32</f>
        <v>940394.73</v>
      </c>
      <c r="C34" s="672">
        <f>(+Table2!B47/B34)*1000</f>
        <v>1.143967491183197</v>
      </c>
      <c r="D34" s="673">
        <f>(+Table2!D47/B34)*1000</f>
        <v>2.8266459978992011</v>
      </c>
      <c r="E34" s="672">
        <f>(+Table2!F47/B34)*1000</f>
        <v>53.422874881487267</v>
      </c>
      <c r="F34" s="673">
        <f>(+Table2!H47/B34)*1000</f>
        <v>6.7489882679372295</v>
      </c>
      <c r="G34" s="674">
        <f>(+Table2!J47/B34)*1000</f>
        <v>64.321902356896459</v>
      </c>
      <c r="H34" s="674">
        <f>(+Table2!L47/B34)*1000</f>
        <v>36.36335350369307</v>
      </c>
      <c r="I34" s="675">
        <f>Table4ws!$AR$21</f>
        <v>940394.71</v>
      </c>
      <c r="J34" s="673">
        <f>(+Table3!W48)/B34*1000</f>
        <v>3.6256891826690687</v>
      </c>
      <c r="K34" s="673">
        <f>(+Table3!W57)/B34*1000</f>
        <v>50.939600650463021</v>
      </c>
      <c r="L34" s="673">
        <f t="shared" si="0"/>
        <v>54.565289833132091</v>
      </c>
      <c r="M34" s="676">
        <f>(+Table3!W66)/B34*1000</f>
        <v>20.069046962864203</v>
      </c>
      <c r="N34" s="680" t="s">
        <v>212</v>
      </c>
      <c r="O34" s="678" t="s">
        <v>212</v>
      </c>
      <c r="P34" s="679" t="s">
        <v>212</v>
      </c>
      <c r="Q34" s="681">
        <f>+Table4ws!AT28</f>
        <v>341411.7</v>
      </c>
      <c r="R34" s="665">
        <v>53.792515019256804</v>
      </c>
      <c r="S34" s="666">
        <v>2.7587015910702553</v>
      </c>
    </row>
    <row r="35" spans="1:19" x14ac:dyDescent="0.3">
      <c r="A35" s="670" t="s">
        <v>279</v>
      </c>
      <c r="B35" s="671">
        <f>+Table4ws!AZ32</f>
        <v>942322.79</v>
      </c>
      <c r="C35" s="672">
        <f>(+Table2!B48/B35)*1000</f>
        <v>1.1551243496933785</v>
      </c>
      <c r="D35" s="673">
        <f>(+Table2!D48/B35)*1000</f>
        <v>2.8368198544789514</v>
      </c>
      <c r="E35" s="672">
        <f>(+Table2!F48/B35)*1000</f>
        <v>53.96781287651973</v>
      </c>
      <c r="F35" s="673">
        <f>(+Table2!H48/B35)*1000</f>
        <v>6.730071762352261</v>
      </c>
      <c r="G35" s="674">
        <f>(+Table2!J48/B35)*1000</f>
        <v>64.880952311468548</v>
      </c>
      <c r="H35" s="674">
        <f>(+Table2!L48/B35)*1000</f>
        <v>36.89319665079946</v>
      </c>
      <c r="I35" s="675">
        <f>Table4ws!$AX$21</f>
        <v>942322.9</v>
      </c>
      <c r="J35" s="673">
        <f>(+Table3!X48)/B35*1000</f>
        <v>3.6236733699287904</v>
      </c>
      <c r="K35" s="673">
        <f>(+Table3!X57)/B35*1000</f>
        <v>50.558089548062398</v>
      </c>
      <c r="L35" s="673">
        <f>+J35+K35</f>
        <v>54.181762917991186</v>
      </c>
      <c r="M35" s="676">
        <f>(+Table3!X66)/B35*1000</f>
        <v>19.996566144813286</v>
      </c>
      <c r="N35" s="682" t="s">
        <v>212</v>
      </c>
      <c r="O35" s="673" t="s">
        <v>212</v>
      </c>
      <c r="P35" s="683" t="s">
        <v>212</v>
      </c>
      <c r="Q35" s="684">
        <f>+Table4ws!AZ28</f>
        <v>335784.71</v>
      </c>
      <c r="R35" s="685">
        <v>53.78</v>
      </c>
      <c r="S35" s="686">
        <v>2.66</v>
      </c>
    </row>
    <row r="36" spans="1:19" x14ac:dyDescent="0.3">
      <c r="A36" s="670" t="s">
        <v>289</v>
      </c>
      <c r="B36" s="671">
        <f>Table4ws!$BF$32</f>
        <v>947622</v>
      </c>
      <c r="C36" s="672">
        <f>(+Table2!B49/B36)*1000</f>
        <v>1.2057233791532909</v>
      </c>
      <c r="D36" s="673">
        <f>(+Table2!D49/B36)*1000</f>
        <v>2.86330414447955</v>
      </c>
      <c r="E36" s="672">
        <f>(+Table2!F49/B36)*1000</f>
        <v>55.472266367813326</v>
      </c>
      <c r="F36" s="673">
        <f>(+Table2!H49/B36)*1000</f>
        <v>6.9573416404431301</v>
      </c>
      <c r="G36" s="674">
        <f>(+Table2!J49/B36)*1000</f>
        <v>66.697702248364848</v>
      </c>
      <c r="H36" s="674">
        <f>(+Table2!L49/B36)*1000</f>
        <v>37.608381823132014</v>
      </c>
      <c r="I36" s="675">
        <f>Table4ws!$BD$21</f>
        <v>947621.96</v>
      </c>
      <c r="J36" s="673">
        <f>(+Table3!Y48)/B36*1000</f>
        <v>3.6591066902203617</v>
      </c>
      <c r="K36" s="673">
        <f>(+Table3!Y57)/B36*1000</f>
        <v>50.789893016413721</v>
      </c>
      <c r="L36" s="673">
        <f t="shared" si="0"/>
        <v>54.448999706634083</v>
      </c>
      <c r="M36" s="676">
        <f>(+Table3!Y66)/B36*1000</f>
        <v>20.289566937027633</v>
      </c>
      <c r="N36" s="675" t="s">
        <v>212</v>
      </c>
      <c r="O36" s="673" t="s">
        <v>212</v>
      </c>
      <c r="P36" s="674" t="s">
        <v>212</v>
      </c>
      <c r="Q36" s="687">
        <f>+Table4ws!BF28</f>
        <v>332837.98</v>
      </c>
      <c r="R36" s="688">
        <v>55.82</v>
      </c>
      <c r="S36" s="689">
        <v>2.69</v>
      </c>
    </row>
    <row r="37" spans="1:19" x14ac:dyDescent="0.3">
      <c r="A37" s="670" t="s">
        <v>295</v>
      </c>
      <c r="B37" s="671">
        <f>Table4ws!$BL$32</f>
        <v>949293.63</v>
      </c>
      <c r="C37" s="672">
        <f>(+Table2!B50/B37)*1000</f>
        <v>1.2311153926103982</v>
      </c>
      <c r="D37" s="673">
        <f>(+Table2!D50/B37)*1000</f>
        <v>2.8880526671183921</v>
      </c>
      <c r="E37" s="672">
        <f>(+Table2!F50/B37)*1000</f>
        <v>55.936444027334304</v>
      </c>
      <c r="F37" s="673">
        <f>(+Table2!H50/B37)*1000</f>
        <v>7.0683714584706525</v>
      </c>
      <c r="G37" s="674">
        <f>(+Table2!J50/B37)*1000</f>
        <v>67.326112785566679</v>
      </c>
      <c r="H37" s="674">
        <f>(+Table2!L50/B37)*1000</f>
        <v>38.088678631499924</v>
      </c>
      <c r="I37" s="675">
        <f>Table4ws!$BL$32</f>
        <v>949293.63</v>
      </c>
      <c r="J37" s="673">
        <f>(+Table3!Z48)/B37*1000</f>
        <v>3.6805682557882538</v>
      </c>
      <c r="K37" s="673">
        <f>(+Table3!Z57)/B37*1000</f>
        <v>50.546404698828532</v>
      </c>
      <c r="L37" s="673">
        <f t="shared" ref="L37:L42" si="1">+J37+K37</f>
        <v>54.226972954616784</v>
      </c>
      <c r="M37" s="676">
        <f>(+Table3!Z66)/B37*1000</f>
        <v>20.44765643270987</v>
      </c>
      <c r="N37" s="675" t="s">
        <v>212</v>
      </c>
      <c r="O37" s="673" t="s">
        <v>212</v>
      </c>
      <c r="P37" s="674" t="s">
        <v>212</v>
      </c>
      <c r="Q37" s="687">
        <f>+Table4ws!BL28</f>
        <v>329698.28999999998</v>
      </c>
      <c r="R37" s="688">
        <v>55.153294850270548</v>
      </c>
      <c r="S37" s="689">
        <v>2.7246425815553965</v>
      </c>
    </row>
    <row r="38" spans="1:19" x14ac:dyDescent="0.3">
      <c r="A38" s="670" t="s">
        <v>331</v>
      </c>
      <c r="B38" s="671">
        <f>Table4ws!$BR$32</f>
        <v>952113.11</v>
      </c>
      <c r="C38" s="672">
        <f>(+Table2!B51/B38)*1000</f>
        <v>1.2042266700854483</v>
      </c>
      <c r="D38" s="673">
        <f>(+Table2!D51/B38)*1000</f>
        <v>2.8894046002580511</v>
      </c>
      <c r="E38" s="672">
        <f>(+Table2!F51/B38)*1000</f>
        <v>55.552674828729124</v>
      </c>
      <c r="F38" s="673">
        <f>(+Table2!H51/B38)*1000</f>
        <v>7.0865949950001212</v>
      </c>
      <c r="G38" s="674">
        <f>(+Table2!J51/B38)*1000</f>
        <v>66.926701597460422</v>
      </c>
      <c r="H38" s="674">
        <f>(+Table2!L51/B38)*1000</f>
        <v>37.854420469013398</v>
      </c>
      <c r="I38" s="675">
        <f>Table4ws!$BP$21</f>
        <v>952113.10999999987</v>
      </c>
      <c r="J38" s="673">
        <f>(+Table3!AA48)/B38*1000</f>
        <v>3.6810437364947113</v>
      </c>
      <c r="K38" s="673">
        <f>(+Table3!AA57)/B38*1000</f>
        <v>50.115820797804162</v>
      </c>
      <c r="L38" s="673">
        <f t="shared" si="1"/>
        <v>53.796864534298876</v>
      </c>
      <c r="M38" s="676">
        <f>(+Table3!AA66)/B38*1000</f>
        <v>20.348758772999144</v>
      </c>
      <c r="N38" s="675" t="s">
        <v>212</v>
      </c>
      <c r="O38" s="673" t="s">
        <v>212</v>
      </c>
      <c r="P38" s="674" t="s">
        <v>212</v>
      </c>
      <c r="Q38" s="687">
        <f>+Table4ws!BR28</f>
        <v>328751.90000000002</v>
      </c>
      <c r="R38" s="688">
        <v>54.997336897520547</v>
      </c>
      <c r="S38" s="689">
        <v>2.8240414732203827</v>
      </c>
    </row>
    <row r="39" spans="1:19" x14ac:dyDescent="0.3">
      <c r="A39" s="670" t="s">
        <v>336</v>
      </c>
      <c r="B39" s="671">
        <f>Table4ws!$BV$21</f>
        <v>955613.73</v>
      </c>
      <c r="C39" s="672">
        <f>(+Table2!B52/B39)*1000</f>
        <v>1.1783317512610456</v>
      </c>
      <c r="D39" s="673">
        <f>(+Table2!D52/B39)*1000</f>
        <v>2.9293949135703605</v>
      </c>
      <c r="E39" s="672">
        <f>(+Table2!F52/B39)*1000</f>
        <v>55.727370095446403</v>
      </c>
      <c r="F39" s="673">
        <f>(+Table2!H52/B39)*1000</f>
        <v>7.2329224486969226</v>
      </c>
      <c r="G39" s="674">
        <f>(+Table2!J52/B39)*1000</f>
        <v>67.258818058212697</v>
      </c>
      <c r="H39" s="674">
        <f>(+Table2!L52/B39)*1000</f>
        <v>38.30212862261827</v>
      </c>
      <c r="I39" s="675">
        <f>Table4ws!$BV$21</f>
        <v>955613.73</v>
      </c>
      <c r="J39" s="673">
        <f>(+Table3!AB48)/B39*1000</f>
        <v>3.6956773318859701</v>
      </c>
      <c r="K39" s="673">
        <f>(+Table3!AB57)/B39*1000</f>
        <v>49.755396461287766</v>
      </c>
      <c r="L39" s="673">
        <f t="shared" si="1"/>
        <v>53.451073793173734</v>
      </c>
      <c r="M39" s="676">
        <f>(+Table3!AB66)/B39*1000</f>
        <v>20.386458867643103</v>
      </c>
      <c r="N39" s="675" t="s">
        <v>212</v>
      </c>
      <c r="O39" s="673" t="s">
        <v>212</v>
      </c>
      <c r="P39" s="674" t="s">
        <v>212</v>
      </c>
      <c r="Q39" s="687">
        <f>+Table4ws!BX28</f>
        <v>331202.78000000003</v>
      </c>
      <c r="R39" s="688">
        <v>54.440053311146762</v>
      </c>
      <c r="S39" s="689">
        <v>2.79205687826654</v>
      </c>
    </row>
    <row r="40" spans="1:19" x14ac:dyDescent="0.3">
      <c r="A40" s="670" t="s">
        <v>339</v>
      </c>
      <c r="B40" s="671">
        <f>Table4ws!$CD$32</f>
        <v>960592.41</v>
      </c>
      <c r="C40" s="672">
        <f>(+Table2!B53/B40)*1000</f>
        <v>1.2092745975371593</v>
      </c>
      <c r="D40" s="673">
        <f>(+Table2!D53/B40)*1000</f>
        <v>2.9533962276466461</v>
      </c>
      <c r="E40" s="672">
        <f>(+Table2!F53/B40)*1000</f>
        <v>55.833639160234462</v>
      </c>
      <c r="F40" s="673">
        <f>(+Table2!H53/B40)*1000</f>
        <v>7.3036388034754509</v>
      </c>
      <c r="G40" s="674">
        <f>(+Table2!J53/B40)*1000</f>
        <v>67.475548760582029</v>
      </c>
      <c r="H40" s="674">
        <f>(+Table2!L53/B40)*1000</f>
        <v>38.25602786097383</v>
      </c>
      <c r="I40" s="675">
        <f>Table4ws!$CB$21</f>
        <v>960592.45000000007</v>
      </c>
      <c r="J40" s="673">
        <f>(+Table3!AC48)/B40*1000</f>
        <v>3.7418055385217963</v>
      </c>
      <c r="K40" s="673">
        <f>(+Table3!AC57)/B40*1000</f>
        <v>49.488908620462652</v>
      </c>
      <c r="L40" s="673">
        <f t="shared" si="1"/>
        <v>53.230714158984448</v>
      </c>
      <c r="M40" s="676">
        <f>(+Table3!AC66)/B40*1000</f>
        <v>20.378893062459237</v>
      </c>
      <c r="N40" s="675" t="s">
        <v>212</v>
      </c>
      <c r="O40" s="673" t="s">
        <v>212</v>
      </c>
      <c r="P40" s="674" t="s">
        <v>212</v>
      </c>
      <c r="Q40" s="687">
        <f>+Table4ws!CD28</f>
        <v>334514.99</v>
      </c>
      <c r="R40" s="688">
        <v>54.339239027823545</v>
      </c>
      <c r="S40" s="689">
        <v>2.8073420566295129</v>
      </c>
    </row>
    <row r="41" spans="1:19" x14ac:dyDescent="0.3">
      <c r="A41" s="670" t="s">
        <v>343</v>
      </c>
      <c r="B41" s="671">
        <f>Table4ws!$CJ$32</f>
        <v>961749.14000000013</v>
      </c>
      <c r="C41" s="672">
        <f>(+Table2!B54/B41)*1000</f>
        <v>1.2177707796026724</v>
      </c>
      <c r="D41" s="673">
        <f>(+Table2!D54/B41)*1000</f>
        <v>2.9155211929796989</v>
      </c>
      <c r="E41" s="672">
        <f>(+Table2!F54/B41)*1000</f>
        <v>56.102561214663517</v>
      </c>
      <c r="F41" s="673">
        <f>(+Table2!H54/B41)*1000</f>
        <v>7.4355772233911219</v>
      </c>
      <c r="G41" s="674">
        <f>(+Table2!J54/B41)*1000</f>
        <v>67.857674403535185</v>
      </c>
      <c r="H41" s="674">
        <f>(+Table2!L54/B41)*1000</f>
        <v>38.349355841378753</v>
      </c>
      <c r="I41" s="675">
        <f>Table4ws!$CH$21</f>
        <v>961749.04</v>
      </c>
      <c r="J41" s="673">
        <f>(+Table3!AD48)/B41*1000</f>
        <v>3.6994470304387268</v>
      </c>
      <c r="K41" s="673">
        <f>(+Table3!AD57)/B41*1000</f>
        <v>49.424260467755666</v>
      </c>
      <c r="L41" s="673">
        <f t="shared" si="1"/>
        <v>53.123707498194392</v>
      </c>
      <c r="M41" s="676">
        <f>(+Table3!AD66)/B41*1000</f>
        <v>20.38707307812097</v>
      </c>
      <c r="N41" s="675" t="s">
        <v>212</v>
      </c>
      <c r="O41" s="673" t="s">
        <v>212</v>
      </c>
      <c r="P41" s="674" t="s">
        <v>212</v>
      </c>
      <c r="Q41" s="687">
        <f>+Table4ws!CJ28</f>
        <v>337797.39</v>
      </c>
      <c r="R41" s="688">
        <v>54.455346739061568</v>
      </c>
      <c r="S41" s="689">
        <v>2.8114071574087656</v>
      </c>
    </row>
    <row r="42" spans="1:19" x14ac:dyDescent="0.3">
      <c r="A42" s="670" t="s">
        <v>354</v>
      </c>
      <c r="B42" s="671">
        <f>Table4ws!$CP$32</f>
        <v>967236.99</v>
      </c>
      <c r="C42" s="672">
        <f>(+Table2!B55/B42)*1000</f>
        <v>1.2323866977006328</v>
      </c>
      <c r="D42" s="673">
        <f>(+Table2!D55/B42)*1000</f>
        <v>2.9412543455353171</v>
      </c>
      <c r="E42" s="672">
        <f>(+Table2!F55/B42)*1000</f>
        <v>56.016313023760596</v>
      </c>
      <c r="F42" s="673">
        <f>(+Table2!H55/B42)*1000</f>
        <v>7.5595744120580006</v>
      </c>
      <c r="G42" s="674">
        <f>(+Table2!J55/B42)*1000</f>
        <v>67.927757808352624</v>
      </c>
      <c r="H42" s="674">
        <f>(+Table2!L55/B42)*1000</f>
        <v>38.570443837140672</v>
      </c>
      <c r="I42" s="675"/>
      <c r="J42" s="673">
        <f>(+Table3!AE48)/B42*1000</f>
        <v>3.7355064346742983</v>
      </c>
      <c r="K42" s="673">
        <f>(+Table3!AE57)/B42*1000</f>
        <v>47.507860508932772</v>
      </c>
      <c r="L42" s="673">
        <f t="shared" si="1"/>
        <v>51.243366943607072</v>
      </c>
      <c r="M42" s="676">
        <f>(+Table3!AE66)/B42*1000</f>
        <v>20.414035240732471</v>
      </c>
      <c r="N42" s="675" t="s">
        <v>212</v>
      </c>
      <c r="O42" s="673" t="s">
        <v>212</v>
      </c>
      <c r="P42" s="674" t="s">
        <v>212</v>
      </c>
      <c r="Q42" s="687">
        <f>+Table4ws!CP28</f>
        <v>344043.8</v>
      </c>
      <c r="R42" s="688">
        <v>54.745098565402195</v>
      </c>
      <c r="S42" s="689">
        <v>2.8642573997845604</v>
      </c>
    </row>
    <row r="43" spans="1:19" x14ac:dyDescent="0.3">
      <c r="A43" s="670" t="s">
        <v>363</v>
      </c>
      <c r="B43" s="671">
        <f>Table4ws!$CV$32</f>
        <v>975871.5</v>
      </c>
      <c r="C43" s="672">
        <f>(+Table2!B56/B43)*1000</f>
        <v>1.1871747458553712</v>
      </c>
      <c r="D43" s="673">
        <f>(+Table2!D56/B43)*1000</f>
        <v>2.9479905909743236</v>
      </c>
      <c r="E43" s="672">
        <f>(+Table2!F56/B43)*1000</f>
        <v>56.009105707052605</v>
      </c>
      <c r="F43" s="673">
        <f>(+Table2!H56/B43)*1000</f>
        <v>7.5673077859123898</v>
      </c>
      <c r="G43" s="674">
        <f>(+Table2!J56/B43)*1000</f>
        <v>67.8585039116318</v>
      </c>
      <c r="H43" s="674">
        <f>(+Table2!L56/B43)*1000</f>
        <v>38.443770516917439</v>
      </c>
      <c r="I43" s="675"/>
      <c r="J43" s="673">
        <f>(+Table3!AF48)/B43*1000</f>
        <v>3.7064408582482424</v>
      </c>
      <c r="K43" s="673">
        <f>(+Table3!AF57)/B43*1000</f>
        <v>47.494716261311048</v>
      </c>
      <c r="L43" s="673">
        <f t="shared" ref="L43:L53" si="2">+J43+K43</f>
        <v>51.201157119559291</v>
      </c>
      <c r="M43" s="676">
        <f>(+Table3!AF66)/B43*1000</f>
        <v>20.352628394209692</v>
      </c>
      <c r="N43" s="675" t="s">
        <v>212</v>
      </c>
      <c r="O43" s="673" t="s">
        <v>212</v>
      </c>
      <c r="P43" s="674" t="s">
        <v>212</v>
      </c>
      <c r="Q43" s="687">
        <f>+Table4ws!CV28</f>
        <v>350434.45</v>
      </c>
      <c r="R43" s="688">
        <v>54.854083329589827</v>
      </c>
      <c r="S43" s="689">
        <v>2.7779260857487036</v>
      </c>
    </row>
    <row r="44" spans="1:19" x14ac:dyDescent="0.3">
      <c r="A44" s="670" t="s">
        <v>366</v>
      </c>
      <c r="B44" s="671">
        <f>Table4ws!$DB$32</f>
        <v>982747.78</v>
      </c>
      <c r="C44" s="672">
        <f>(+Table2!B57/B44)*1000</f>
        <v>1.1265148825876767</v>
      </c>
      <c r="D44" s="673">
        <f>(+Table2!D57/B44)*1000</f>
        <v>2.8409120395062106</v>
      </c>
      <c r="E44" s="672">
        <f>(+Table2!F57/B44)*1000</f>
        <v>54.561669933255914</v>
      </c>
      <c r="F44" s="673">
        <f>(+Table2!H57/B44)*1000</f>
        <v>7.378088404330966</v>
      </c>
      <c r="G44" s="674">
        <f>(+Table2!J57/B44)*1000</f>
        <v>66.052919498836204</v>
      </c>
      <c r="H44" s="674">
        <f>(+Table2!L57/B44)*1000</f>
        <v>37.553002663613235</v>
      </c>
      <c r="I44" s="675"/>
      <c r="J44" s="673">
        <f>(+Table3!AG48)/B44*1000</f>
        <v>3.4622311739030325</v>
      </c>
      <c r="K44" s="673">
        <f>(+Table3!AG57)/B44*1000</f>
        <v>47.608197090000047</v>
      </c>
      <c r="L44" s="673">
        <f t="shared" si="2"/>
        <v>51.070428263903082</v>
      </c>
      <c r="M44" s="676">
        <f>(+Table3!AG66)/B44*1000</f>
        <v>19.647034969643993</v>
      </c>
      <c r="N44" s="675" t="s">
        <v>212</v>
      </c>
      <c r="O44" s="673" t="s">
        <v>212</v>
      </c>
      <c r="P44" s="674" t="s">
        <v>212</v>
      </c>
      <c r="Q44" s="687">
        <f>+Table4ws!DB28</f>
        <v>353829.32</v>
      </c>
      <c r="R44" s="688">
        <v>54.81706864336364</v>
      </c>
      <c r="S44" s="689" t="s">
        <v>212</v>
      </c>
    </row>
    <row r="45" spans="1:19" x14ac:dyDescent="0.3">
      <c r="A45" s="670" t="s">
        <v>378</v>
      </c>
      <c r="B45" s="671">
        <f>Table4ws!$DH$33</f>
        <v>986583.79</v>
      </c>
      <c r="C45" s="672">
        <f>(+Table2!B58/B45)*1000</f>
        <v>1.1248816484203534</v>
      </c>
      <c r="D45" s="673">
        <f>(+Table2!D58/B45)*1000</f>
        <v>2.8305249166925806</v>
      </c>
      <c r="E45" s="672">
        <f>(+Table2!F58/B45)*1000</f>
        <v>54.613719124657429</v>
      </c>
      <c r="F45" s="673">
        <f>(+Table2!H58/B45)*1000</f>
        <v>7.3986011872341839</v>
      </c>
      <c r="G45" s="674">
        <f>(+Table2!J58/B45)*1000</f>
        <v>66.129122190422365</v>
      </c>
      <c r="H45" s="674">
        <f>(+Table2!L58/B45)*1000</f>
        <v>37.614656125659629</v>
      </c>
      <c r="I45" s="675"/>
      <c r="J45" s="673">
        <f>(+Table3!AH48)/B45*1000</f>
        <v>3.44923567008941</v>
      </c>
      <c r="K45" s="673">
        <f>(+Table3!AH57)/B45*1000</f>
        <v>48.720230848309384</v>
      </c>
      <c r="L45" s="673">
        <f t="shared" si="2"/>
        <v>52.169466518398792</v>
      </c>
      <c r="M45" s="676">
        <f>(+Table3!AH66)/B45*1000</f>
        <v>19.508378502752411</v>
      </c>
      <c r="N45" s="675" t="s">
        <v>212</v>
      </c>
      <c r="O45" s="673" t="s">
        <v>212</v>
      </c>
      <c r="P45" s="674" t="s">
        <v>212</v>
      </c>
      <c r="Q45" s="687">
        <v>357542.59</v>
      </c>
      <c r="R45" s="688">
        <v>55.558016073833329</v>
      </c>
      <c r="S45" s="689" t="s">
        <v>212</v>
      </c>
    </row>
    <row r="46" spans="1:19" x14ac:dyDescent="0.3">
      <c r="A46" s="670" t="s">
        <v>451</v>
      </c>
      <c r="B46" s="671">
        <f>Table4ws!$DN$33</f>
        <v>984285.3600000001</v>
      </c>
      <c r="C46" s="672">
        <f>(+Table2!B59/B46)*1000</f>
        <v>1.0937681730834641</v>
      </c>
      <c r="D46" s="673">
        <f>(+Table2!D59/B46)*1000</f>
        <v>2.8525569048390595</v>
      </c>
      <c r="E46" s="672">
        <f>(+Table2!F59/B46)*1000</f>
        <v>53.862896020316697</v>
      </c>
      <c r="F46" s="673">
        <f>(+Table2!H59/B46)*1000</f>
        <v>7.3008197541412185</v>
      </c>
      <c r="G46" s="674">
        <f>(+Table2!J59/B46)*1000</f>
        <v>65.275307965568032</v>
      </c>
      <c r="H46" s="674">
        <f>(+Table2!L59/B46)*1000</f>
        <v>36.777749086911136</v>
      </c>
      <c r="I46" s="675"/>
      <c r="J46" s="673">
        <f>(+Table3!AI48)/B46*1000</f>
        <v>3.5396035962578978</v>
      </c>
      <c r="K46" s="673">
        <f>(+Table3!AI57)/B46*1000</f>
        <v>48.809534259455013</v>
      </c>
      <c r="L46" s="673">
        <f t="shared" si="2"/>
        <v>52.349137855712911</v>
      </c>
      <c r="M46" s="676">
        <f>(+Table3!AI66)/B46*1000</f>
        <v>19.515712394625066</v>
      </c>
      <c r="N46" s="675" t="s">
        <v>212</v>
      </c>
      <c r="O46" s="673" t="s">
        <v>212</v>
      </c>
      <c r="P46" s="674" t="s">
        <v>212</v>
      </c>
      <c r="Q46" s="687" t="s">
        <v>212</v>
      </c>
      <c r="R46" s="688" t="s">
        <v>212</v>
      </c>
      <c r="S46" s="689" t="s">
        <v>212</v>
      </c>
    </row>
    <row r="47" spans="1:19" x14ac:dyDescent="0.3">
      <c r="A47" s="670" t="s">
        <v>467</v>
      </c>
      <c r="B47" s="671">
        <f>Table4ws!$DS$33</f>
        <v>987757.43999999983</v>
      </c>
      <c r="C47" s="672">
        <f>(+Table2!B60/B47)*1000</f>
        <v>1.1200523075786708</v>
      </c>
      <c r="D47" s="673">
        <f>(+Table2!D60/B47)*1000</f>
        <v>2.8997402439206135</v>
      </c>
      <c r="E47" s="672">
        <f>(+Table2!F60/B47)*1000</f>
        <v>54.227088383156094</v>
      </c>
      <c r="F47" s="673">
        <f>(+Table2!H60/B47)*1000</f>
        <v>7.3925537832446011</v>
      </c>
      <c r="G47" s="674">
        <f>(+Table2!J60/B47)*1000</f>
        <v>65.80116470699528</v>
      </c>
      <c r="H47" s="674">
        <f>(+Table2!L60/B47)*1000</f>
        <v>36.901853151316189</v>
      </c>
      <c r="I47" s="675"/>
      <c r="J47" s="673">
        <f>(+Table3!AJ48)/B47*1000</f>
        <v>3.6161003251972468</v>
      </c>
      <c r="K47" s="673">
        <f>(+Table3!AJ57)/B47*1000</f>
        <v>49.165805321597979</v>
      </c>
      <c r="L47" s="673">
        <f t="shared" si="2"/>
        <v>52.781905646795224</v>
      </c>
      <c r="M47" s="676">
        <f>(+Table3!AJ66)/B47*1000</f>
        <v>19.595782543536195</v>
      </c>
      <c r="N47" s="675" t="s">
        <v>212</v>
      </c>
      <c r="O47" s="673" t="s">
        <v>212</v>
      </c>
      <c r="P47" s="674" t="s">
        <v>212</v>
      </c>
      <c r="Q47" s="687" t="s">
        <v>212</v>
      </c>
      <c r="R47" s="688" t="s">
        <v>212</v>
      </c>
      <c r="S47" s="689" t="s">
        <v>212</v>
      </c>
    </row>
    <row r="48" spans="1:19" x14ac:dyDescent="0.3">
      <c r="A48" s="670" t="s">
        <v>485</v>
      </c>
      <c r="B48" s="671">
        <f>Table4ws!$DX$33</f>
        <v>1002609.2500000001</v>
      </c>
      <c r="C48" s="672">
        <f>(+Table2!B61/B48)*1000</f>
        <v>1.1387287719517847</v>
      </c>
      <c r="D48" s="673">
        <f>(+Table2!D61/B48)*1000</f>
        <v>2.9510001029812956</v>
      </c>
      <c r="E48" s="672">
        <f>(+Table2!F61/B48)*1000</f>
        <v>54.585173635691064</v>
      </c>
      <c r="F48" s="673">
        <f>(+Table2!H61/B48)*1000</f>
        <v>7.5975760247573998</v>
      </c>
      <c r="G48" s="674">
        <f>(+Table2!J61/B48)*1000</f>
        <v>66.426376975875684</v>
      </c>
      <c r="H48" s="674">
        <f>(+Table2!L61/B48)*1000</f>
        <v>37.176796443878807</v>
      </c>
      <c r="I48" s="675"/>
      <c r="J48" s="673">
        <f>(+Table3!AK48)/B48*1000</f>
        <v>3.693961530875562</v>
      </c>
      <c r="K48" s="673">
        <f>(+Table3!AK57)/B48*1000</f>
        <v>49.602674222285493</v>
      </c>
      <c r="L48" s="673">
        <f>+J48+K48</f>
        <v>53.296635753161056</v>
      </c>
      <c r="M48" s="676">
        <f>(+Table3!AK66)/B48*1000</f>
        <v>19.772009883212224</v>
      </c>
      <c r="N48" s="675" t="s">
        <v>212</v>
      </c>
      <c r="O48" s="673" t="s">
        <v>212</v>
      </c>
      <c r="P48" s="674" t="s">
        <v>212</v>
      </c>
      <c r="Q48" s="687" t="s">
        <v>212</v>
      </c>
      <c r="R48" s="688" t="s">
        <v>212</v>
      </c>
      <c r="S48" s="689" t="s">
        <v>212</v>
      </c>
    </row>
    <row r="49" spans="1:19" x14ac:dyDescent="0.3">
      <c r="A49" s="670" t="s">
        <v>498</v>
      </c>
      <c r="B49" s="671">
        <f>Table4ws!$EC$33</f>
        <v>1013524.93</v>
      </c>
      <c r="C49" s="672">
        <f>(+Table2!B62/B49)*1000</f>
        <v>1.2179473473829598</v>
      </c>
      <c r="D49" s="673">
        <f>(+Table2!D62/B49)*1000</f>
        <v>3.0510842984395063</v>
      </c>
      <c r="E49" s="672">
        <f>(+Table2!F62/B49)*1000</f>
        <v>55.433584647986905</v>
      </c>
      <c r="F49" s="673">
        <f>(+Table2!H62/B49)*1000</f>
        <v>8.0016285341890878</v>
      </c>
      <c r="G49" s="674">
        <f>(+Table2!J62/B49)*1000</f>
        <v>67.889094745799682</v>
      </c>
      <c r="H49" s="674">
        <f>(+Table2!L62/B49)*1000</f>
        <v>38.083079022042405</v>
      </c>
      <c r="I49" s="675"/>
      <c r="J49" s="673">
        <f>(+Table3!AL48)/B49*1000</f>
        <v>3.8476507923687673</v>
      </c>
      <c r="K49" s="673">
        <f>(+Table3!AL57)/B49*1000</f>
        <v>50.684939737989474</v>
      </c>
      <c r="L49" s="673">
        <f>+J49+K49</f>
        <v>54.532590530358242</v>
      </c>
      <c r="M49" s="676">
        <f>(+Table3!AL66)/B49*1000</f>
        <v>20.293906337360635</v>
      </c>
      <c r="N49" s="675" t="s">
        <v>212</v>
      </c>
      <c r="O49" s="673" t="s">
        <v>212</v>
      </c>
      <c r="P49" s="674" t="s">
        <v>212</v>
      </c>
      <c r="Q49" s="687" t="s">
        <v>212</v>
      </c>
      <c r="R49" s="688" t="s">
        <v>212</v>
      </c>
      <c r="S49" s="689" t="s">
        <v>212</v>
      </c>
    </row>
    <row r="50" spans="1:19" x14ac:dyDescent="0.3">
      <c r="A50" s="670" t="s">
        <v>525</v>
      </c>
      <c r="B50" s="671">
        <f>Table4ws!$EH$33</f>
        <v>1036132.5800000002</v>
      </c>
      <c r="C50" s="672">
        <f>(+Table2!B63/B50)*1000</f>
        <v>1.2645099915688394</v>
      </c>
      <c r="D50" s="673">
        <f>(+Table2!D63/B50)*1000</f>
        <v>3.1307769513434267</v>
      </c>
      <c r="E50" s="672">
        <f>(+Table2!F63/B50)*1000</f>
        <v>55.892461175190526</v>
      </c>
      <c r="F50" s="673">
        <f>(+Table2!H63/B50)*1000</f>
        <v>8.1461582841068445</v>
      </c>
      <c r="G50" s="674">
        <f>(+Table2!J63/B50)*1000</f>
        <v>68.642180907003223</v>
      </c>
      <c r="H50" s="674">
        <f>(+Table2!L63/B50)*1000</f>
        <v>38.455599958067133</v>
      </c>
      <c r="I50" s="675"/>
      <c r="J50" s="673">
        <f>(+Table3!AM48)/B50*1000</f>
        <v>3.9689225871075289</v>
      </c>
      <c r="K50" s="673">
        <f>(+Table3!AM57)/B50*1000</f>
        <v>51.26119091825101</v>
      </c>
      <c r="L50" s="673">
        <f>+J50+K50</f>
        <v>55.230113505358538</v>
      </c>
      <c r="M50" s="676">
        <f>(+Table3!AM66)/B50*1000</f>
        <v>20.449361798853964</v>
      </c>
      <c r="N50" s="675" t="s">
        <v>212</v>
      </c>
      <c r="O50" s="673" t="s">
        <v>212</v>
      </c>
      <c r="P50" s="674" t="s">
        <v>212</v>
      </c>
      <c r="Q50" s="687" t="s">
        <v>212</v>
      </c>
      <c r="R50" s="688" t="s">
        <v>212</v>
      </c>
      <c r="S50" s="689" t="s">
        <v>212</v>
      </c>
    </row>
    <row r="51" spans="1:19" x14ac:dyDescent="0.3">
      <c r="A51" s="670" t="s">
        <v>530</v>
      </c>
      <c r="B51" s="671">
        <f>Table4ws!$EM$33</f>
        <v>1058218.01</v>
      </c>
      <c r="C51" s="672">
        <f>(+Table2!B64/B51)*1000</f>
        <v>1.2997983279456755</v>
      </c>
      <c r="D51" s="673">
        <f>(+Table2!D64/B51)*1000</f>
        <v>3.2349383280671997</v>
      </c>
      <c r="E51" s="672">
        <f>(+Table2!F64/B51)*1000</f>
        <v>56.289346275631807</v>
      </c>
      <c r="F51" s="673">
        <f>(+Table2!H64/B51)*1000</f>
        <v>8.4204010098070423</v>
      </c>
      <c r="G51" s="674">
        <f>(+Table2!J64/B51)*1000</f>
        <v>69.513379383894645</v>
      </c>
      <c r="H51" s="674">
        <f>(+Table2!L64/B51)*1000</f>
        <v>39.226000321049156</v>
      </c>
      <c r="I51" s="675"/>
      <c r="J51" s="673">
        <f>(+Table3!AN48)/B51*1000</f>
        <v>4.0901874274470149</v>
      </c>
      <c r="K51" s="673">
        <f>(+Table3!AN57)/B51*1000</f>
        <v>51.86461530738832</v>
      </c>
      <c r="L51" s="673">
        <f>+J51+K51</f>
        <v>55.954802734835333</v>
      </c>
      <c r="M51" s="676">
        <f>(+Table3!AN66)/B51*1000</f>
        <v>20.799967295963903</v>
      </c>
      <c r="N51" s="675" t="s">
        <v>212</v>
      </c>
      <c r="O51" s="673" t="s">
        <v>212</v>
      </c>
      <c r="P51" s="674" t="s">
        <v>212</v>
      </c>
      <c r="Q51" s="687" t="s">
        <v>212</v>
      </c>
      <c r="R51" s="688" t="s">
        <v>212</v>
      </c>
      <c r="S51" s="689" t="s">
        <v>212</v>
      </c>
    </row>
    <row r="52" spans="1:19" x14ac:dyDescent="0.3">
      <c r="A52" s="670" t="s">
        <v>536</v>
      </c>
      <c r="B52" s="671">
        <f>Table4ws!$ER$33</f>
        <v>1067358.1280000005</v>
      </c>
      <c r="C52" s="672">
        <f>(+Table2!B65/B52)*1000</f>
        <v>1.324110402052421</v>
      </c>
      <c r="D52" s="673">
        <f>(+Table2!D65/B52)*1000</f>
        <v>3.2810917986469845</v>
      </c>
      <c r="E52" s="672">
        <f>(+Table2!F65/B52)*1000</f>
        <v>57.160570945687283</v>
      </c>
      <c r="F52" s="673">
        <f>(+Table2!H65/B52)*1000</f>
        <v>8.4887159823080456</v>
      </c>
      <c r="G52" s="674">
        <f>(+Table2!J65/B52)*1000</f>
        <v>70.481591910451982</v>
      </c>
      <c r="H52" s="674">
        <f>(+Table2!L65/B52)*1000</f>
        <v>39.82730714727829</v>
      </c>
      <c r="I52" s="675"/>
      <c r="J52" s="673">
        <f>(+Table3!AO48)/B52*1000</f>
        <v>4.1535637230843268</v>
      </c>
      <c r="K52" s="673">
        <f>(+Table3!AO57)/B52*1000</f>
        <v>52.335517512450132</v>
      </c>
      <c r="L52" s="673">
        <f t="shared" si="2"/>
        <v>56.489081235534456</v>
      </c>
      <c r="M52" s="676">
        <f>(+Table3!AO66)/B52*1000</f>
        <v>20.921281633787295</v>
      </c>
      <c r="N52" s="675" t="s">
        <v>212</v>
      </c>
      <c r="O52" s="673" t="s">
        <v>212</v>
      </c>
      <c r="P52" s="674" t="s">
        <v>212</v>
      </c>
      <c r="Q52" s="687" t="s">
        <v>212</v>
      </c>
      <c r="R52" s="688" t="s">
        <v>212</v>
      </c>
      <c r="S52" s="689" t="s">
        <v>212</v>
      </c>
    </row>
    <row r="53" spans="1:19" x14ac:dyDescent="0.3">
      <c r="A53" s="670" t="s">
        <v>547</v>
      </c>
      <c r="B53" s="671">
        <f>Table4ws!$EW$33</f>
        <v>1069087.27</v>
      </c>
      <c r="C53" s="672">
        <f>(+Table2!B66/B53)*1000</f>
        <v>1.3293769740612476</v>
      </c>
      <c r="D53" s="673">
        <f>(+Table2!D66/B53)*1000</f>
        <v>3.3763847922349686</v>
      </c>
      <c r="E53" s="672">
        <f>(+Table2!F66/B53)*1000</f>
        <v>58.503324990484636</v>
      </c>
      <c r="F53" s="673">
        <f>(+Table2!H66/B53)*1000</f>
        <v>8.91216298927589</v>
      </c>
      <c r="G53" s="674">
        <f>(+Table2!J66/B53)*1000</f>
        <v>72.352353423869687</v>
      </c>
      <c r="H53" s="674">
        <f>(+Table2!L66/B53)*1000</f>
        <v>41.470412420119828</v>
      </c>
      <c r="I53" s="675"/>
      <c r="J53" s="673">
        <f>(+Table3!AP48)/B53*1000</f>
        <v>4.2378205476153505</v>
      </c>
      <c r="K53" s="673">
        <f>(+Table3!AP57)/B53*1000</f>
        <v>53.367429957331737</v>
      </c>
      <c r="L53" s="673">
        <f t="shared" si="2"/>
        <v>57.605250504947087</v>
      </c>
      <c r="M53" s="676">
        <f>(+Table3!AP66)/B53*1000</f>
        <v>21.488470253695937</v>
      </c>
      <c r="N53" s="675" t="s">
        <v>212</v>
      </c>
      <c r="O53" s="673" t="s">
        <v>212</v>
      </c>
      <c r="P53" s="674" t="s">
        <v>212</v>
      </c>
      <c r="Q53" s="687" t="s">
        <v>212</v>
      </c>
      <c r="R53" s="688" t="s">
        <v>212</v>
      </c>
      <c r="S53" s="689" t="s">
        <v>212</v>
      </c>
    </row>
    <row r="54" spans="1:19" ht="17.25" thickBot="1" x14ac:dyDescent="0.35">
      <c r="A54" s="690" t="s">
        <v>570</v>
      </c>
      <c r="B54" s="691">
        <f>Table4ws!$FB$33</f>
        <v>1076932.5420000004</v>
      </c>
      <c r="C54" s="692">
        <f>(+Table2!B67/B54)*1000</f>
        <v>1.283766574118437</v>
      </c>
      <c r="D54" s="693">
        <f>(+Table2!D67/B54)*1000</f>
        <v>3.3331149909666284</v>
      </c>
      <c r="E54" s="692">
        <f>(+Table2!F67/B54)*1000</f>
        <v>58.531298425560976</v>
      </c>
      <c r="F54" s="693">
        <f>(+Table2!H67/B54)*1000</f>
        <v>8.8699427563588262</v>
      </c>
      <c r="G54" s="694">
        <f>(+Table2!J67/B54)*1000</f>
        <v>72.221190247958887</v>
      </c>
      <c r="H54" s="694">
        <f>(+Table2!L67/B54)*1000</f>
        <v>41.54678984526403</v>
      </c>
      <c r="I54" s="695"/>
      <c r="J54" s="693">
        <f>(+Table3!AQ48)/B54*1000</f>
        <v>4.15651846835918</v>
      </c>
      <c r="K54" s="693">
        <f>(+Table3!AQ57)/B54*1000</f>
        <v>53.112491051458989</v>
      </c>
      <c r="L54" s="693">
        <f t="shared" ref="L54" si="3">+J54+K54</f>
        <v>57.269009519818169</v>
      </c>
      <c r="M54" s="696">
        <f>(+Table3!AQ66)/B54*1000</f>
        <v>21.141268475105651</v>
      </c>
      <c r="N54" s="695" t="s">
        <v>212</v>
      </c>
      <c r="O54" s="693" t="s">
        <v>212</v>
      </c>
      <c r="P54" s="694" t="s">
        <v>212</v>
      </c>
      <c r="Q54" s="697" t="s">
        <v>212</v>
      </c>
      <c r="R54" s="698" t="s">
        <v>212</v>
      </c>
      <c r="S54" s="699" t="s">
        <v>212</v>
      </c>
    </row>
    <row r="55" spans="1:19" ht="17.25" thickTop="1" x14ac:dyDescent="0.3">
      <c r="A55" s="656"/>
      <c r="B55" s="700"/>
      <c r="C55" s="701"/>
      <c r="D55" s="701"/>
      <c r="F55" s="701"/>
      <c r="G55" s="701"/>
      <c r="H55" s="701"/>
      <c r="I55" s="700"/>
      <c r="J55" s="677"/>
      <c r="K55" s="677"/>
      <c r="L55" s="677"/>
      <c r="M55" s="677"/>
      <c r="N55" s="700"/>
      <c r="O55" s="656"/>
      <c r="P55" s="656"/>
      <c r="Q55" s="700"/>
      <c r="R55" s="656"/>
      <c r="S55" s="656"/>
    </row>
    <row r="56" spans="1:19" x14ac:dyDescent="0.3">
      <c r="A56" s="463" t="s">
        <v>564</v>
      </c>
    </row>
    <row r="57" spans="1:19" x14ac:dyDescent="0.3">
      <c r="A57" s="463" t="s">
        <v>565</v>
      </c>
    </row>
    <row r="58" spans="1:19" x14ac:dyDescent="0.3">
      <c r="A58" s="656"/>
      <c r="B58" s="700"/>
      <c r="C58" s="701"/>
      <c r="D58" s="702"/>
      <c r="E58" s="703"/>
      <c r="F58" s="703"/>
      <c r="G58" s="701"/>
      <c r="H58" s="701"/>
      <c r="I58" s="700"/>
      <c r="J58" s="656"/>
      <c r="K58" s="656"/>
      <c r="L58" s="656"/>
      <c r="M58" s="656"/>
      <c r="N58" s="700"/>
      <c r="O58" s="656"/>
      <c r="P58" s="656"/>
      <c r="Q58" s="700"/>
      <c r="R58" s="656"/>
      <c r="S58" s="656"/>
    </row>
    <row r="59" spans="1:19" x14ac:dyDescent="0.3">
      <c r="A59" s="463" t="s">
        <v>535</v>
      </c>
    </row>
    <row r="60" spans="1:19" x14ac:dyDescent="0.3">
      <c r="A60" s="463" t="s">
        <v>566</v>
      </c>
    </row>
    <row r="61" spans="1:19" x14ac:dyDescent="0.3">
      <c r="A61" s="463" t="s">
        <v>567</v>
      </c>
    </row>
    <row r="62" spans="1:19" x14ac:dyDescent="0.3">
      <c r="A62" s="463" t="s">
        <v>568</v>
      </c>
    </row>
    <row r="63" spans="1:19" x14ac:dyDescent="0.3">
      <c r="A63" s="463" t="s">
        <v>580</v>
      </c>
    </row>
    <row r="64" spans="1:19" x14ac:dyDescent="0.3">
      <c r="A64" s="463" t="s">
        <v>569</v>
      </c>
    </row>
    <row r="65" spans="1:12" x14ac:dyDescent="0.3">
      <c r="A65" s="463" t="s">
        <v>581</v>
      </c>
    </row>
    <row r="67" spans="1:12" s="704" customFormat="1" hidden="1" x14ac:dyDescent="0.3">
      <c r="A67" s="704" t="s">
        <v>492</v>
      </c>
    </row>
    <row r="68" spans="1:12" s="704" customFormat="1" hidden="1" x14ac:dyDescent="0.3">
      <c r="A68" s="704" t="s">
        <v>493</v>
      </c>
    </row>
    <row r="69" spans="1:12" s="704" customFormat="1" hidden="1" x14ac:dyDescent="0.3">
      <c r="A69" s="704" t="s">
        <v>494</v>
      </c>
    </row>
    <row r="70" spans="1:12" s="704" customFormat="1" hidden="1" x14ac:dyDescent="0.3">
      <c r="L70" s="705"/>
    </row>
    <row r="71" spans="1:12" s="704" customFormat="1" hidden="1" x14ac:dyDescent="0.3">
      <c r="A71" s="704" t="s">
        <v>490</v>
      </c>
      <c r="B71" s="706"/>
    </row>
    <row r="72" spans="1:12" s="704" customFormat="1" hidden="1" x14ac:dyDescent="0.3">
      <c r="A72" s="704" t="s">
        <v>491</v>
      </c>
      <c r="B72" s="706"/>
    </row>
    <row r="74" spans="1:12" x14ac:dyDescent="0.3">
      <c r="B74" s="707"/>
    </row>
    <row r="75" spans="1:12" x14ac:dyDescent="0.3">
      <c r="B75" s="708"/>
    </row>
    <row r="76" spans="1:12" x14ac:dyDescent="0.3">
      <c r="B76" s="707"/>
    </row>
  </sheetData>
  <mergeCells count="4">
    <mergeCell ref="C5:G5"/>
    <mergeCell ref="J5:L5"/>
    <mergeCell ref="A1:M1"/>
    <mergeCell ref="A2:M2"/>
  </mergeCells>
  <phoneticPr fontId="0" type="noConversion"/>
  <printOptions horizontalCentered="1"/>
  <pageMargins left="0.75" right="0.75" top="1" bottom="1" header="0.5" footer="0.5"/>
  <pageSetup scale="60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4"/>
  <sheetViews>
    <sheetView view="pageBreakPreview" zoomScale="125" zoomScaleNormal="100" zoomScaleSheetLayoutView="125" workbookViewId="0">
      <pane xSplit="1" ySplit="5" topLeftCell="EU16" activePane="bottomRight" state="frozen"/>
      <selection pane="topRight" activeCell="B1" sqref="B1"/>
      <selection pane="bottomLeft" activeCell="A6" sqref="A6"/>
      <selection pane="bottomRight" activeCell="FB33" sqref="FB33"/>
    </sheetView>
  </sheetViews>
  <sheetFormatPr defaultRowHeight="10.5" x14ac:dyDescent="0.15"/>
  <cols>
    <col min="1" max="1" width="21.85546875" style="11" bestFit="1" customWidth="1"/>
    <col min="2" max="2" width="1.7109375" style="11" customWidth="1"/>
    <col min="3" max="3" width="3.42578125" style="11" customWidth="1"/>
    <col min="4" max="4" width="10.28515625" style="11" bestFit="1" customWidth="1"/>
    <col min="5" max="5" width="3.85546875" style="11" customWidth="1"/>
    <col min="6" max="6" width="10.28515625" style="11" bestFit="1" customWidth="1"/>
    <col min="7" max="7" width="3.85546875" style="11" customWidth="1"/>
    <col min="8" max="8" width="8.5703125" style="11" bestFit="1" customWidth="1"/>
    <col min="9" max="9" width="1.7109375" style="11" customWidth="1"/>
    <col min="10" max="10" width="3.42578125" style="11" customWidth="1"/>
    <col min="11" max="11" width="10.28515625" style="11" bestFit="1" customWidth="1"/>
    <col min="12" max="12" width="3.85546875" style="11" customWidth="1"/>
    <col min="13" max="13" width="10.28515625" style="11" bestFit="1" customWidth="1"/>
    <col min="14" max="14" width="3.85546875" style="11" customWidth="1"/>
    <col min="15" max="15" width="8.5703125" style="11" bestFit="1" customWidth="1"/>
    <col min="16" max="16" width="1.7109375" style="11" customWidth="1"/>
    <col min="17" max="17" width="3.42578125" style="11" customWidth="1"/>
    <col min="18" max="18" width="10.28515625" style="11" bestFit="1" customWidth="1"/>
    <col min="19" max="19" width="3.7109375" style="11" customWidth="1"/>
    <col min="20" max="20" width="10.28515625" style="11" bestFit="1" customWidth="1"/>
    <col min="21" max="21" width="3.28515625" style="11" customWidth="1"/>
    <col min="22" max="22" width="8.5703125" style="11" bestFit="1" customWidth="1"/>
    <col min="23" max="23" width="1.7109375" style="11" customWidth="1"/>
    <col min="24" max="24" width="3.7109375" style="11" customWidth="1"/>
    <col min="25" max="25" width="10.28515625" style="11" bestFit="1" customWidth="1"/>
    <col min="26" max="26" width="3.7109375" style="11" customWidth="1"/>
    <col min="27" max="27" width="10.28515625" style="11" bestFit="1" customWidth="1"/>
    <col min="28" max="28" width="3.28515625" style="11" customWidth="1"/>
    <col min="29" max="29" width="8.5703125" style="11" bestFit="1" customWidth="1"/>
    <col min="30" max="30" width="1.7109375" style="11" customWidth="1"/>
    <col min="31" max="31" width="3.7109375" style="11" customWidth="1"/>
    <col min="32" max="32" width="10.28515625" style="11" bestFit="1" customWidth="1"/>
    <col min="33" max="33" width="3.7109375" style="11" customWidth="1"/>
    <col min="34" max="34" width="10.28515625" style="11" bestFit="1" customWidth="1"/>
    <col min="35" max="35" width="7.28515625" style="11" customWidth="1"/>
    <col min="36" max="36" width="9.140625" style="11" customWidth="1"/>
    <col min="37" max="37" width="3.7109375" style="210" customWidth="1"/>
    <col min="38" max="38" width="11" style="11" bestFit="1" customWidth="1"/>
    <col min="39" max="39" width="3.7109375" style="11" customWidth="1"/>
    <col min="40" max="40" width="13.5703125" style="11" bestFit="1" customWidth="1"/>
    <col min="41" max="41" width="5.85546875" style="11" customWidth="1"/>
    <col min="42" max="42" width="10.7109375" style="11" customWidth="1"/>
    <col min="43" max="43" width="3.7109375" style="210" customWidth="1"/>
    <col min="44" max="44" width="11" style="11" bestFit="1" customWidth="1"/>
    <col min="45" max="45" width="3.7109375" style="11" customWidth="1"/>
    <col min="46" max="46" width="13.5703125" style="11" bestFit="1" customWidth="1"/>
    <col min="47" max="47" width="5.85546875" style="11" customWidth="1"/>
    <col min="48" max="48" width="9.28515625" style="11" customWidth="1"/>
    <col min="49" max="49" width="3.7109375" style="210" customWidth="1"/>
    <col min="50" max="50" width="11" style="11" bestFit="1" customWidth="1"/>
    <col min="51" max="51" width="3.7109375" style="11" customWidth="1"/>
    <col min="52" max="52" width="13.5703125" style="11" bestFit="1" customWidth="1"/>
    <col min="53" max="53" width="3.5703125" style="11" customWidth="1"/>
    <col min="54" max="54" width="13.7109375" style="11" customWidth="1"/>
    <col min="55" max="55" width="3.7109375" style="210" customWidth="1"/>
    <col min="56" max="56" width="11" style="11" bestFit="1" customWidth="1"/>
    <col min="57" max="57" width="3.7109375" style="11" customWidth="1"/>
    <col min="58" max="58" width="13.5703125" style="11" bestFit="1" customWidth="1"/>
    <col min="59" max="59" width="3.5703125" style="11" customWidth="1"/>
    <col min="60" max="60" width="13.85546875" style="11" customWidth="1"/>
    <col min="61" max="61" width="3.7109375" style="210" customWidth="1"/>
    <col min="62" max="62" width="11" style="11" bestFit="1" customWidth="1"/>
    <col min="63" max="63" width="3.7109375" style="11" customWidth="1"/>
    <col min="64" max="64" width="13.5703125" style="11" bestFit="1" customWidth="1"/>
    <col min="65" max="65" width="3.5703125" style="11" customWidth="1"/>
    <col min="66" max="66" width="16.5703125" style="11" customWidth="1"/>
    <col min="67" max="67" width="3.7109375" style="210" customWidth="1"/>
    <col min="68" max="68" width="11" style="11" bestFit="1" customWidth="1"/>
    <col min="69" max="69" width="3.7109375" style="11" customWidth="1"/>
    <col min="70" max="70" width="13.5703125" style="11" bestFit="1" customWidth="1"/>
    <col min="71" max="71" width="3.5703125" style="11" customWidth="1"/>
    <col min="72" max="72" width="16" style="11" customWidth="1"/>
    <col min="73" max="73" width="3.7109375" style="210" customWidth="1"/>
    <col min="74" max="74" width="11" style="11" bestFit="1" customWidth="1"/>
    <col min="75" max="75" width="3.7109375" style="11" customWidth="1"/>
    <col min="76" max="76" width="13.5703125" style="11" bestFit="1" customWidth="1"/>
    <col min="77" max="77" width="3.5703125" style="11" customWidth="1"/>
    <col min="78" max="78" width="21" style="11" customWidth="1"/>
    <col min="79" max="79" width="3.7109375" style="210" customWidth="1"/>
    <col min="80" max="80" width="11" style="11" customWidth="1"/>
    <col min="81" max="81" width="3.7109375" style="11" customWidth="1"/>
    <col min="82" max="82" width="13.5703125" style="11" bestFit="1" customWidth="1"/>
    <col min="83" max="83" width="3.5703125" style="11" customWidth="1"/>
    <col min="84" max="84" width="20.7109375" style="11" customWidth="1"/>
    <col min="85" max="85" width="3.7109375" style="210" customWidth="1"/>
    <col min="86" max="86" width="11" style="11" bestFit="1" customWidth="1"/>
    <col min="87" max="87" width="3.7109375" style="11" customWidth="1"/>
    <col min="88" max="88" width="13.5703125" style="11" bestFit="1" customWidth="1"/>
    <col min="89" max="89" width="3.5703125" style="11" customWidth="1"/>
    <col min="90" max="90" width="21.28515625" style="11" customWidth="1"/>
    <col min="91" max="91" width="3.7109375" style="210" customWidth="1"/>
    <col min="92" max="92" width="11" style="11" bestFit="1" customWidth="1"/>
    <col min="93" max="93" width="3.7109375" style="11" customWidth="1"/>
    <col min="94" max="94" width="12.28515625" style="11" bestFit="1" customWidth="1"/>
    <col min="95" max="95" width="3.5703125" style="11" customWidth="1"/>
    <col min="96" max="96" width="12.7109375" style="11" customWidth="1"/>
    <col min="97" max="97" width="3.7109375" style="210" customWidth="1"/>
    <col min="98" max="98" width="11" style="11" bestFit="1" customWidth="1"/>
    <col min="99" max="99" width="3.7109375" style="11" customWidth="1"/>
    <col min="100" max="100" width="12.28515625" style="11" bestFit="1" customWidth="1"/>
    <col min="101" max="101" width="3.5703125" style="11" customWidth="1"/>
    <col min="102" max="102" width="16.5703125" style="11" customWidth="1"/>
    <col min="103" max="103" width="3.7109375" style="210" customWidth="1"/>
    <col min="104" max="104" width="11" style="11" bestFit="1" customWidth="1"/>
    <col min="105" max="105" width="3.7109375" style="11" customWidth="1"/>
    <col min="106" max="106" width="12.28515625" style="11" bestFit="1" customWidth="1"/>
    <col min="107" max="107" width="3.5703125" style="11" customWidth="1"/>
    <col min="108" max="108" width="16.5703125" style="11" customWidth="1"/>
    <col min="109" max="109" width="3.7109375" style="210" customWidth="1"/>
    <col min="110" max="110" width="11" style="11" bestFit="1" customWidth="1"/>
    <col min="111" max="111" width="3.7109375" style="11" customWidth="1"/>
    <col min="112" max="112" width="12.28515625" style="11" bestFit="1" customWidth="1"/>
    <col min="113" max="113" width="3.5703125" style="11" customWidth="1"/>
    <col min="114" max="114" width="16.5703125" style="11" customWidth="1"/>
    <col min="115" max="115" width="3.7109375" style="210" customWidth="1"/>
    <col min="116" max="116" width="11" style="11" bestFit="1" customWidth="1"/>
    <col min="117" max="117" width="3.7109375" style="11" customWidth="1"/>
    <col min="118" max="118" width="12.28515625" style="11" bestFit="1" customWidth="1"/>
    <col min="119" max="119" width="20.5703125" style="11" bestFit="1" customWidth="1"/>
    <col min="120" max="120" width="3.7109375" style="210" customWidth="1"/>
    <col min="121" max="121" width="11" style="11" bestFit="1" customWidth="1"/>
    <col min="122" max="122" width="3.7109375" style="11" customWidth="1"/>
    <col min="123" max="123" width="12.28515625" style="11" bestFit="1" customWidth="1"/>
    <col min="124" max="124" width="20.5703125" style="11" bestFit="1" customWidth="1"/>
    <col min="125" max="125" width="3.7109375" style="210" customWidth="1"/>
    <col min="126" max="126" width="11" style="11" bestFit="1" customWidth="1"/>
    <col min="127" max="127" width="3.7109375" style="11" customWidth="1"/>
    <col min="128" max="128" width="12.28515625" style="11" bestFit="1" customWidth="1"/>
    <col min="129" max="129" width="20.5703125" style="11" customWidth="1"/>
    <col min="130" max="130" width="3.7109375" style="210" customWidth="1"/>
    <col min="131" max="131" width="11" style="11" bestFit="1" customWidth="1"/>
    <col min="132" max="132" width="3.7109375" style="11" customWidth="1"/>
    <col min="133" max="133" width="12.28515625" style="11" bestFit="1" customWidth="1"/>
    <col min="134" max="134" width="20.5703125" style="11" customWidth="1"/>
    <col min="135" max="135" width="3.7109375" style="210" customWidth="1"/>
    <col min="136" max="136" width="11" style="11" bestFit="1" customWidth="1"/>
    <col min="137" max="137" width="3.7109375" style="11" customWidth="1"/>
    <col min="138" max="138" width="12.28515625" style="11" bestFit="1" customWidth="1"/>
    <col min="139" max="139" width="22" style="11" bestFit="1" customWidth="1"/>
    <col min="140" max="140" width="3.7109375" style="210" customWidth="1"/>
    <col min="141" max="141" width="11" style="11" bestFit="1" customWidth="1"/>
    <col min="142" max="142" width="3.7109375" style="11" customWidth="1"/>
    <col min="143" max="143" width="12.28515625" style="11" bestFit="1" customWidth="1"/>
    <col min="144" max="144" width="19.7109375" style="11" customWidth="1"/>
    <col min="145" max="145" width="3.7109375" style="210" customWidth="1"/>
    <col min="146" max="146" width="11" style="11" bestFit="1" customWidth="1"/>
    <col min="147" max="147" width="3.7109375" style="11" customWidth="1"/>
    <col min="148" max="148" width="12.28515625" style="11" bestFit="1" customWidth="1"/>
    <col min="149" max="149" width="19.7109375" style="11" customWidth="1"/>
    <col min="150" max="150" width="3.7109375" style="210" customWidth="1"/>
    <col min="151" max="151" width="11.7109375" style="11" bestFit="1" customWidth="1"/>
    <col min="152" max="152" width="3.7109375" style="11" customWidth="1"/>
    <col min="153" max="153" width="12.28515625" style="11" bestFit="1" customWidth="1"/>
    <col min="154" max="154" width="19.7109375" style="11" customWidth="1"/>
    <col min="155" max="155" width="3.7109375" style="210" customWidth="1"/>
    <col min="156" max="156" width="11.7109375" style="11" bestFit="1" customWidth="1"/>
    <col min="157" max="157" width="3.7109375" style="11" customWidth="1"/>
    <col min="158" max="158" width="12.28515625" style="11" bestFit="1" customWidth="1"/>
    <col min="159" max="159" width="19.7109375" style="11" customWidth="1"/>
    <col min="160" max="16384" width="9.140625" style="11"/>
  </cols>
  <sheetData>
    <row r="1" spans="1:159" x14ac:dyDescent="0.15">
      <c r="B1" s="209"/>
      <c r="I1" s="209"/>
      <c r="P1" s="209"/>
      <c r="W1" s="209"/>
      <c r="AD1" s="209"/>
    </row>
    <row r="2" spans="1:159" x14ac:dyDescent="0.15">
      <c r="B2" s="209"/>
      <c r="C2" s="23" t="s">
        <v>83</v>
      </c>
      <c r="D2" s="23"/>
      <c r="E2" s="23"/>
      <c r="F2" s="23"/>
      <c r="G2" s="23"/>
      <c r="H2" s="23"/>
      <c r="I2" s="209"/>
      <c r="J2" s="23" t="s">
        <v>84</v>
      </c>
      <c r="K2" s="23"/>
      <c r="L2" s="23"/>
      <c r="M2" s="23"/>
      <c r="N2" s="23"/>
      <c r="O2" s="23"/>
      <c r="P2" s="209"/>
      <c r="Q2" s="23" t="s">
        <v>85</v>
      </c>
      <c r="R2" s="23"/>
      <c r="S2" s="23"/>
      <c r="T2" s="23"/>
      <c r="U2" s="23"/>
      <c r="V2" s="23"/>
      <c r="W2" s="209"/>
      <c r="X2" s="23" t="s">
        <v>175</v>
      </c>
      <c r="Y2" s="23"/>
      <c r="Z2" s="23"/>
      <c r="AA2" s="23"/>
      <c r="AB2" s="23"/>
      <c r="AC2" s="23"/>
      <c r="AD2" s="209"/>
      <c r="AE2" s="23" t="s">
        <v>180</v>
      </c>
      <c r="AF2" s="23"/>
      <c r="AG2" s="23"/>
      <c r="AH2" s="23"/>
      <c r="AI2" s="23"/>
      <c r="AJ2" s="23"/>
      <c r="AK2" s="211" t="s">
        <v>286</v>
      </c>
      <c r="AL2" s="23"/>
      <c r="AM2" s="23"/>
      <c r="AN2" s="23"/>
      <c r="AO2" s="23"/>
      <c r="AP2" s="23"/>
      <c r="AQ2" s="211" t="s">
        <v>287</v>
      </c>
      <c r="AR2" s="23"/>
      <c r="AS2" s="23"/>
      <c r="AT2" s="23"/>
      <c r="AU2" s="23"/>
      <c r="AV2" s="23"/>
      <c r="AW2" s="211" t="s">
        <v>284</v>
      </c>
      <c r="AX2" s="23"/>
      <c r="AY2" s="23"/>
      <c r="AZ2" s="23"/>
      <c r="BA2" s="23"/>
      <c r="BB2" s="23"/>
      <c r="BC2" s="211" t="s">
        <v>290</v>
      </c>
      <c r="BD2" s="23"/>
      <c r="BE2" s="23"/>
      <c r="BF2" s="23"/>
      <c r="BG2" s="23"/>
      <c r="BH2" s="23"/>
      <c r="BI2" s="211" t="s">
        <v>294</v>
      </c>
      <c r="BJ2" s="23"/>
      <c r="BK2" s="23"/>
      <c r="BL2" s="23"/>
      <c r="BM2" s="23"/>
      <c r="BN2" s="23"/>
      <c r="BO2" s="211" t="s">
        <v>332</v>
      </c>
      <c r="BP2" s="23"/>
      <c r="BQ2" s="23"/>
      <c r="BR2" s="23"/>
      <c r="BS2" s="23"/>
      <c r="BT2" s="23"/>
      <c r="BU2" s="211" t="s">
        <v>337</v>
      </c>
      <c r="BV2" s="23"/>
      <c r="BW2" s="23"/>
      <c r="BX2" s="23"/>
      <c r="BY2" s="23"/>
      <c r="BZ2" s="23"/>
      <c r="CA2" s="211" t="s">
        <v>341</v>
      </c>
      <c r="CB2" s="23"/>
      <c r="CC2" s="23"/>
      <c r="CD2" s="23"/>
      <c r="CE2" s="23"/>
      <c r="CF2" s="23"/>
      <c r="CG2" s="211" t="s">
        <v>344</v>
      </c>
      <c r="CH2" s="23"/>
      <c r="CI2" s="23"/>
      <c r="CJ2" s="23"/>
      <c r="CK2" s="23"/>
      <c r="CL2" s="23"/>
      <c r="CM2" s="211" t="s">
        <v>355</v>
      </c>
      <c r="CN2" s="23"/>
      <c r="CO2" s="23"/>
      <c r="CP2" s="23"/>
      <c r="CQ2" s="23"/>
      <c r="CR2" s="23"/>
      <c r="CS2" s="211" t="s">
        <v>364</v>
      </c>
      <c r="CT2" s="23"/>
      <c r="CU2" s="23"/>
      <c r="CV2" s="23"/>
      <c r="CW2" s="23"/>
      <c r="CX2" s="23"/>
      <c r="CY2" s="211" t="s">
        <v>368</v>
      </c>
      <c r="CZ2" s="23"/>
      <c r="DA2" s="23"/>
      <c r="DB2" s="23"/>
      <c r="DC2" s="23"/>
      <c r="DD2" s="23"/>
      <c r="DE2" s="211" t="s">
        <v>379</v>
      </c>
      <c r="DF2" s="23"/>
      <c r="DG2" s="23"/>
      <c r="DH2" s="23"/>
      <c r="DI2" s="23"/>
      <c r="DJ2" s="23"/>
      <c r="DK2" s="211" t="s">
        <v>452</v>
      </c>
      <c r="DL2" s="23"/>
      <c r="DM2" s="23"/>
      <c r="DN2" s="23"/>
      <c r="DO2" s="23"/>
      <c r="DP2" s="211" t="s">
        <v>469</v>
      </c>
      <c r="DQ2" s="23"/>
      <c r="DR2" s="23"/>
      <c r="DS2" s="23"/>
      <c r="DT2" s="23"/>
      <c r="DU2" s="211" t="s">
        <v>488</v>
      </c>
      <c r="DV2" s="23"/>
      <c r="DW2" s="23"/>
      <c r="DX2" s="23"/>
      <c r="DY2" s="23"/>
      <c r="DZ2" s="211" t="s">
        <v>511</v>
      </c>
      <c r="EA2" s="23"/>
      <c r="EB2" s="23"/>
      <c r="EC2" s="23"/>
      <c r="ED2" s="23"/>
      <c r="EE2" s="211" t="s">
        <v>520</v>
      </c>
      <c r="EF2" s="23"/>
      <c r="EG2" s="23"/>
      <c r="EH2" s="23"/>
      <c r="EI2" s="23"/>
      <c r="EJ2" s="211" t="s">
        <v>531</v>
      </c>
      <c r="EK2" s="23"/>
      <c r="EL2" s="23"/>
      <c r="EM2" s="23"/>
      <c r="EN2" s="23"/>
      <c r="EO2" s="211" t="s">
        <v>537</v>
      </c>
      <c r="EP2" s="23"/>
      <c r="EQ2" s="23"/>
      <c r="ER2" s="23"/>
      <c r="ES2" s="23"/>
      <c r="ET2" s="211" t="s">
        <v>548</v>
      </c>
      <c r="EU2" s="23"/>
      <c r="EV2" s="23"/>
      <c r="EW2" s="23"/>
      <c r="EX2" s="23"/>
      <c r="EY2" s="211" t="s">
        <v>577</v>
      </c>
      <c r="EZ2" s="23"/>
      <c r="FA2" s="23"/>
      <c r="FB2" s="23"/>
      <c r="FC2" s="23"/>
    </row>
    <row r="3" spans="1:159" x14ac:dyDescent="0.15">
      <c r="B3" s="209"/>
      <c r="I3" s="209"/>
      <c r="K3" s="24"/>
      <c r="P3" s="209"/>
      <c r="Q3" s="212"/>
      <c r="R3" s="11" t="s">
        <v>466</v>
      </c>
      <c r="W3" s="209"/>
      <c r="X3" s="212"/>
      <c r="Y3" s="11" t="s">
        <v>465</v>
      </c>
      <c r="AD3" s="209"/>
      <c r="AE3" s="212"/>
      <c r="AF3" s="11" t="s">
        <v>464</v>
      </c>
      <c r="AK3" s="213"/>
      <c r="AQ3" s="213"/>
      <c r="AR3" s="11" t="s">
        <v>463</v>
      </c>
      <c r="AW3" s="213"/>
      <c r="AX3" s="11" t="s">
        <v>462</v>
      </c>
      <c r="BC3" s="213"/>
      <c r="BD3" s="11" t="s">
        <v>461</v>
      </c>
      <c r="BI3" s="213"/>
      <c r="BJ3" s="11" t="s">
        <v>459</v>
      </c>
      <c r="BO3" s="213"/>
      <c r="BP3" s="11" t="s">
        <v>460</v>
      </c>
      <c r="BU3" s="213"/>
      <c r="BV3" s="11" t="s">
        <v>458</v>
      </c>
      <c r="CA3" s="213"/>
      <c r="CB3" s="11" t="s">
        <v>457</v>
      </c>
      <c r="CG3" s="213"/>
      <c r="CH3" s="11" t="s">
        <v>456</v>
      </c>
      <c r="CM3" s="213"/>
      <c r="CN3" s="11" t="s">
        <v>455</v>
      </c>
      <c r="CS3" s="213"/>
      <c r="CT3" s="11" t="s">
        <v>454</v>
      </c>
      <c r="CY3" s="213"/>
      <c r="CZ3" s="11" t="s">
        <v>453</v>
      </c>
      <c r="DE3" s="213"/>
      <c r="DF3" s="11" t="s">
        <v>478</v>
      </c>
      <c r="DK3" s="213"/>
      <c r="DL3" s="11" t="s">
        <v>479</v>
      </c>
      <c r="DP3" s="213"/>
      <c r="DQ3" s="11" t="s">
        <v>470</v>
      </c>
      <c r="DU3" s="213"/>
      <c r="DV3" s="11" t="s">
        <v>500</v>
      </c>
      <c r="DZ3" s="213"/>
      <c r="EA3" s="11" t="s">
        <v>512</v>
      </c>
      <c r="EE3" s="213"/>
      <c r="EF3" s="11" t="s">
        <v>521</v>
      </c>
      <c r="EJ3" s="213"/>
      <c r="EK3" s="11" t="s">
        <v>534</v>
      </c>
      <c r="EO3" s="213"/>
      <c r="EP3" s="11" t="s">
        <v>538</v>
      </c>
      <c r="ET3" s="213"/>
      <c r="EU3" s="11" t="s">
        <v>555</v>
      </c>
      <c r="EY3" s="213"/>
      <c r="EZ3" s="11" t="s">
        <v>584</v>
      </c>
    </row>
    <row r="4" spans="1:159" x14ac:dyDescent="0.15">
      <c r="B4" s="209"/>
      <c r="I4" s="209"/>
      <c r="J4" s="212"/>
      <c r="P4" s="209"/>
      <c r="R4" s="214"/>
      <c r="S4" s="214"/>
      <c r="W4" s="209"/>
      <c r="Y4" s="214"/>
      <c r="Z4" s="214"/>
      <c r="AD4" s="209"/>
      <c r="AF4" s="214"/>
      <c r="AG4" s="214"/>
      <c r="AL4" s="214"/>
      <c r="AM4" s="214"/>
      <c r="AR4" s="214"/>
      <c r="AS4" s="214"/>
      <c r="AX4" s="214"/>
      <c r="AY4" s="214"/>
      <c r="BD4" s="214"/>
      <c r="BE4" s="214"/>
      <c r="BJ4" s="214"/>
      <c r="BK4" s="214"/>
      <c r="BP4" s="214"/>
      <c r="BQ4" s="214"/>
      <c r="BV4" s="214"/>
      <c r="BW4" s="214"/>
      <c r="CB4" s="214"/>
      <c r="CC4" s="214"/>
      <c r="CH4" s="214"/>
      <c r="CI4" s="214"/>
      <c r="CN4" s="214"/>
      <c r="CO4" s="214"/>
      <c r="CT4" s="214"/>
      <c r="CU4" s="214"/>
      <c r="CZ4" s="214"/>
      <c r="DA4" s="214"/>
      <c r="DF4" s="214"/>
      <c r="DG4" s="214"/>
      <c r="DL4" s="214"/>
      <c r="DM4" s="214"/>
      <c r="DQ4" s="214"/>
      <c r="DR4" s="214"/>
      <c r="DV4" s="214"/>
      <c r="DW4" s="214"/>
      <c r="EA4" s="214"/>
      <c r="EB4" s="214"/>
      <c r="EF4" s="214"/>
      <c r="EG4" s="214"/>
      <c r="EK4" s="214"/>
      <c r="EL4" s="214"/>
      <c r="EP4" s="214"/>
      <c r="EQ4" s="214"/>
      <c r="EU4" s="214"/>
      <c r="EV4" s="214"/>
      <c r="EZ4" s="214"/>
      <c r="FA4" s="214"/>
    </row>
    <row r="5" spans="1:159" s="215" customFormat="1" ht="21" x14ac:dyDescent="0.15">
      <c r="B5" s="216"/>
      <c r="C5" s="217"/>
      <c r="D5" s="217" t="s">
        <v>86</v>
      </c>
      <c r="F5" s="218" t="s">
        <v>281</v>
      </c>
      <c r="G5" s="219"/>
      <c r="H5" s="220" t="s">
        <v>21</v>
      </c>
      <c r="I5" s="216"/>
      <c r="J5" s="217"/>
      <c r="K5" s="217" t="s">
        <v>86</v>
      </c>
      <c r="M5" s="218" t="s">
        <v>281</v>
      </c>
      <c r="N5" s="112"/>
      <c r="O5" s="220" t="s">
        <v>21</v>
      </c>
      <c r="P5" s="216"/>
      <c r="Q5" s="217"/>
      <c r="R5" s="217" t="s">
        <v>86</v>
      </c>
      <c r="S5" s="217"/>
      <c r="T5" s="218" t="s">
        <v>281</v>
      </c>
      <c r="U5" s="219"/>
      <c r="V5" s="220" t="s">
        <v>21</v>
      </c>
      <c r="W5" s="216"/>
      <c r="X5" s="217"/>
      <c r="Y5" s="217" t="s">
        <v>86</v>
      </c>
      <c r="Z5" s="217"/>
      <c r="AA5" s="218" t="s">
        <v>281</v>
      </c>
      <c r="AB5" s="219"/>
      <c r="AC5" s="220" t="s">
        <v>21</v>
      </c>
      <c r="AD5" s="216"/>
      <c r="AE5" s="217"/>
      <c r="AF5" s="217" t="s">
        <v>86</v>
      </c>
      <c r="AG5" s="217"/>
      <c r="AH5" s="218" t="s">
        <v>281</v>
      </c>
      <c r="AI5" s="219"/>
      <c r="AJ5" s="220" t="s">
        <v>21</v>
      </c>
      <c r="AK5" s="221"/>
      <c r="AL5" s="217" t="s">
        <v>86</v>
      </c>
      <c r="AM5" s="217"/>
      <c r="AN5" s="218" t="s">
        <v>283</v>
      </c>
      <c r="AO5" s="219"/>
      <c r="AP5" s="220" t="s">
        <v>21</v>
      </c>
      <c r="AQ5" s="221"/>
      <c r="AR5" s="217" t="s">
        <v>86</v>
      </c>
      <c r="AS5" s="217"/>
      <c r="AT5" s="218" t="s">
        <v>277</v>
      </c>
      <c r="AU5" s="219"/>
      <c r="AV5" s="220" t="s">
        <v>21</v>
      </c>
      <c r="AW5" s="221"/>
      <c r="AX5" s="217" t="s">
        <v>86</v>
      </c>
      <c r="AY5" s="217"/>
      <c r="AZ5" s="218" t="s">
        <v>277</v>
      </c>
      <c r="BA5" s="219"/>
      <c r="BB5" s="220" t="s">
        <v>21</v>
      </c>
      <c r="BC5" s="221"/>
      <c r="BD5" s="217" t="s">
        <v>86</v>
      </c>
      <c r="BE5" s="217"/>
      <c r="BF5" s="218" t="s">
        <v>277</v>
      </c>
      <c r="BG5" s="219"/>
      <c r="BH5" s="220" t="s">
        <v>21</v>
      </c>
      <c r="BI5" s="221"/>
      <c r="BJ5" s="217" t="s">
        <v>328</v>
      </c>
      <c r="BK5" s="217"/>
      <c r="BL5" s="218" t="s">
        <v>277</v>
      </c>
      <c r="BM5" s="219"/>
      <c r="BN5" s="220" t="s">
        <v>21</v>
      </c>
      <c r="BO5" s="221"/>
      <c r="BP5" s="217" t="s">
        <v>370</v>
      </c>
      <c r="BQ5" s="217"/>
      <c r="BR5" s="218" t="s">
        <v>277</v>
      </c>
      <c r="BS5" s="219"/>
      <c r="BT5" s="220" t="s">
        <v>21</v>
      </c>
      <c r="BU5" s="221"/>
      <c r="BV5" s="217" t="s">
        <v>371</v>
      </c>
      <c r="BW5" s="217"/>
      <c r="BX5" s="218" t="s">
        <v>277</v>
      </c>
      <c r="BY5" s="219"/>
      <c r="BZ5" s="220" t="s">
        <v>21</v>
      </c>
      <c r="CA5" s="221"/>
      <c r="CB5" s="217" t="s">
        <v>372</v>
      </c>
      <c r="CC5" s="217"/>
      <c r="CD5" s="218" t="s">
        <v>277</v>
      </c>
      <c r="CE5" s="219"/>
      <c r="CF5" s="220" t="s">
        <v>21</v>
      </c>
      <c r="CG5" s="221"/>
      <c r="CH5" s="217" t="s">
        <v>373</v>
      </c>
      <c r="CI5" s="217"/>
      <c r="CJ5" s="218" t="s">
        <v>277</v>
      </c>
      <c r="CK5" s="219"/>
      <c r="CL5" s="220" t="s">
        <v>21</v>
      </c>
      <c r="CM5" s="221"/>
      <c r="CN5" s="217" t="s">
        <v>374</v>
      </c>
      <c r="CO5" s="217"/>
      <c r="CP5" s="218" t="s">
        <v>277</v>
      </c>
      <c r="CQ5" s="219"/>
      <c r="CR5" s="220" t="s">
        <v>21</v>
      </c>
      <c r="CS5" s="221"/>
      <c r="CT5" s="217" t="s">
        <v>369</v>
      </c>
      <c r="CU5" s="217"/>
      <c r="CV5" s="218" t="s">
        <v>277</v>
      </c>
      <c r="CW5" s="219"/>
      <c r="CX5" s="220" t="s">
        <v>21</v>
      </c>
      <c r="CY5" s="221"/>
      <c r="CZ5" s="217" t="s">
        <v>376</v>
      </c>
      <c r="DA5" s="217"/>
      <c r="DB5" s="218" t="s">
        <v>277</v>
      </c>
      <c r="DC5" s="219"/>
      <c r="DD5" s="220" t="s">
        <v>21</v>
      </c>
      <c r="DE5" s="221"/>
      <c r="DF5" s="217" t="s">
        <v>407</v>
      </c>
      <c r="DG5" s="217"/>
      <c r="DH5" s="218" t="s">
        <v>277</v>
      </c>
      <c r="DI5" s="219"/>
      <c r="DJ5" s="220" t="s">
        <v>21</v>
      </c>
      <c r="DK5" s="221"/>
      <c r="DL5" s="217" t="s">
        <v>480</v>
      </c>
      <c r="DM5" s="217"/>
      <c r="DN5" s="218" t="s">
        <v>277</v>
      </c>
      <c r="DO5" s="220" t="s">
        <v>21</v>
      </c>
      <c r="DP5" s="221"/>
      <c r="DQ5" s="217" t="s">
        <v>484</v>
      </c>
      <c r="DR5" s="217"/>
      <c r="DS5" s="218" t="s">
        <v>277</v>
      </c>
      <c r="DT5" s="220" t="s">
        <v>21</v>
      </c>
      <c r="DU5" s="221"/>
      <c r="DV5" s="217" t="s">
        <v>501</v>
      </c>
      <c r="DW5" s="217"/>
      <c r="DX5" s="218" t="s">
        <v>277</v>
      </c>
      <c r="DY5" s="220" t="s">
        <v>21</v>
      </c>
      <c r="DZ5" s="221"/>
      <c r="EA5" s="217" t="s">
        <v>513</v>
      </c>
      <c r="EB5" s="217"/>
      <c r="EC5" s="218" t="s">
        <v>277</v>
      </c>
      <c r="ED5" s="220" t="s">
        <v>21</v>
      </c>
      <c r="EE5" s="221"/>
      <c r="EF5" s="217" t="s">
        <v>522</v>
      </c>
      <c r="EG5" s="217"/>
      <c r="EH5" s="218" t="s">
        <v>277</v>
      </c>
      <c r="EI5" s="220" t="s">
        <v>21</v>
      </c>
      <c r="EJ5" s="221"/>
      <c r="EK5" s="217" t="s">
        <v>533</v>
      </c>
      <c r="EL5" s="217"/>
      <c r="EM5" s="218" t="s">
        <v>277</v>
      </c>
      <c r="EN5" s="220" t="s">
        <v>21</v>
      </c>
      <c r="EO5" s="221"/>
      <c r="EP5" s="217" t="s">
        <v>545</v>
      </c>
      <c r="EQ5" s="217"/>
      <c r="ER5" s="218" t="s">
        <v>277</v>
      </c>
      <c r="ES5" s="220" t="s">
        <v>21</v>
      </c>
      <c r="ET5" s="221"/>
      <c r="EU5" s="217" t="s">
        <v>554</v>
      </c>
      <c r="EV5" s="217"/>
      <c r="EW5" s="218" t="s">
        <v>277</v>
      </c>
      <c r="EX5" s="220" t="s">
        <v>21</v>
      </c>
      <c r="EY5" s="221"/>
      <c r="EZ5" s="217" t="s">
        <v>583</v>
      </c>
      <c r="FA5" s="217"/>
      <c r="FB5" s="218" t="s">
        <v>277</v>
      </c>
      <c r="FC5" s="220" t="s">
        <v>21</v>
      </c>
    </row>
    <row r="6" spans="1:159" x14ac:dyDescent="0.15">
      <c r="B6" s="209"/>
      <c r="F6" s="41"/>
      <c r="I6" s="209"/>
      <c r="M6" s="41"/>
      <c r="P6" s="209"/>
      <c r="T6" s="41"/>
      <c r="U6" s="124"/>
      <c r="W6" s="209"/>
      <c r="AA6" s="41"/>
      <c r="AB6" s="124"/>
      <c r="AD6" s="209"/>
      <c r="AH6" s="41"/>
      <c r="AI6" s="124"/>
      <c r="AN6" s="41"/>
      <c r="AO6" s="124"/>
      <c r="AT6" s="41"/>
      <c r="AU6" s="124"/>
      <c r="AZ6" s="41"/>
      <c r="BA6" s="124"/>
      <c r="BF6" s="41"/>
      <c r="BG6" s="124"/>
      <c r="BL6" s="41"/>
      <c r="BM6" s="124"/>
      <c r="BR6" s="41"/>
      <c r="BS6" s="124"/>
      <c r="BX6" s="41"/>
      <c r="BY6" s="124"/>
      <c r="CD6" s="41"/>
      <c r="CE6" s="124"/>
      <c r="CJ6" s="41"/>
      <c r="CK6" s="124"/>
      <c r="CP6" s="41"/>
      <c r="CQ6" s="124"/>
      <c r="CV6" s="41"/>
      <c r="CW6" s="124"/>
      <c r="DB6" s="41"/>
      <c r="DC6" s="124"/>
      <c r="DH6" s="41"/>
      <c r="DI6" s="124"/>
      <c r="DN6" s="41"/>
      <c r="DS6" s="41"/>
      <c r="DX6" s="41"/>
      <c r="EC6" s="41"/>
      <c r="EH6" s="41"/>
      <c r="EM6" s="41"/>
      <c r="ER6" s="41"/>
      <c r="EW6" s="41"/>
      <c r="FB6" s="41"/>
    </row>
    <row r="7" spans="1:159" x14ac:dyDescent="0.15">
      <c r="B7" s="209"/>
      <c r="D7" s="132">
        <v>1032.69</v>
      </c>
      <c r="F7" s="41"/>
      <c r="I7" s="209"/>
      <c r="K7" s="132">
        <v>1085.94</v>
      </c>
      <c r="M7" s="222"/>
      <c r="N7" s="132"/>
      <c r="P7" s="209"/>
      <c r="R7" s="132">
        <v>864.39</v>
      </c>
      <c r="T7" s="41"/>
      <c r="U7" s="124"/>
      <c r="V7" s="105"/>
      <c r="W7" s="209"/>
      <c r="Y7" s="132">
        <v>708.73</v>
      </c>
      <c r="AA7" s="41"/>
      <c r="AB7" s="124"/>
      <c r="AC7" s="105"/>
      <c r="AD7" s="209"/>
      <c r="AF7" s="132">
        <v>628.33000000000004</v>
      </c>
      <c r="AH7" s="41"/>
      <c r="AI7" s="124"/>
      <c r="AJ7" s="105"/>
      <c r="AL7" s="132">
        <v>600</v>
      </c>
      <c r="AN7" s="41"/>
      <c r="AO7" s="124"/>
      <c r="AP7" s="105"/>
      <c r="AR7" s="132"/>
      <c r="AT7" s="41"/>
      <c r="AU7" s="124"/>
      <c r="AV7" s="105"/>
      <c r="AX7" s="132"/>
      <c r="AZ7" s="41"/>
      <c r="BA7" s="124"/>
      <c r="BB7" s="105"/>
      <c r="BD7" s="132"/>
      <c r="BF7" s="41"/>
      <c r="BG7" s="124"/>
      <c r="BH7" s="105"/>
      <c r="BJ7" s="132"/>
      <c r="BL7" s="41"/>
      <c r="BM7" s="124"/>
      <c r="BN7" s="105"/>
      <c r="BP7" s="132"/>
      <c r="BR7" s="41"/>
      <c r="BS7" s="124"/>
      <c r="BT7" s="105"/>
      <c r="BV7" s="132"/>
      <c r="BX7" s="41"/>
      <c r="BY7" s="124"/>
      <c r="BZ7" s="105"/>
      <c r="CB7" s="132"/>
      <c r="CD7" s="41"/>
      <c r="CE7" s="124"/>
      <c r="CF7" s="105"/>
      <c r="CH7" s="132"/>
      <c r="CJ7" s="41"/>
      <c r="CK7" s="124"/>
      <c r="CL7" s="105"/>
      <c r="CN7" s="132"/>
      <c r="CP7" s="223"/>
      <c r="CQ7" s="124"/>
      <c r="CR7" s="105"/>
      <c r="CT7" s="132"/>
      <c r="CV7" s="223"/>
      <c r="CW7" s="124"/>
      <c r="CX7" s="105"/>
      <c r="CZ7" s="132"/>
      <c r="DB7" s="223"/>
      <c r="DC7" s="124"/>
      <c r="DD7" s="105"/>
      <c r="DF7" s="132"/>
      <c r="DH7" s="223"/>
      <c r="DI7" s="124"/>
      <c r="DJ7" s="105"/>
      <c r="DL7" s="132"/>
      <c r="DN7" s="223"/>
      <c r="DO7" s="105"/>
      <c r="DQ7" s="132"/>
      <c r="DS7" s="223"/>
      <c r="DT7" s="105"/>
      <c r="DV7" s="132"/>
      <c r="DX7" s="223"/>
      <c r="DY7" s="105"/>
      <c r="EA7" s="132"/>
      <c r="EC7" s="223"/>
      <c r="ED7" s="105"/>
      <c r="EF7" s="132"/>
      <c r="EH7" s="223"/>
      <c r="EI7" s="105"/>
      <c r="EK7" s="132"/>
      <c r="EM7" s="223"/>
      <c r="EN7" s="105"/>
      <c r="EP7" s="132"/>
      <c r="ER7" s="223"/>
      <c r="ES7" s="105"/>
      <c r="EU7" s="132"/>
      <c r="EW7" s="223"/>
      <c r="EX7" s="105"/>
      <c r="EZ7" s="132"/>
      <c r="FB7" s="223"/>
      <c r="FC7" s="105"/>
    </row>
    <row r="8" spans="1:159" x14ac:dyDescent="0.15">
      <c r="A8" s="11" t="s">
        <v>87</v>
      </c>
      <c r="B8" s="209"/>
      <c r="D8" s="132">
        <v>33786.839999999997</v>
      </c>
      <c r="F8" s="222">
        <v>34814.620000000003</v>
      </c>
      <c r="H8" s="105">
        <f>+D7+D8-F8</f>
        <v>4.9099999999962165</v>
      </c>
      <c r="I8" s="209"/>
      <c r="K8" s="132">
        <v>34732.36</v>
      </c>
      <c r="M8" s="222">
        <v>35814.9</v>
      </c>
      <c r="N8" s="132"/>
      <c r="O8" s="105">
        <f>+K7+K8-M8</f>
        <v>3.4000000000014552</v>
      </c>
      <c r="P8" s="209"/>
      <c r="R8" s="132">
        <v>35981.08</v>
      </c>
      <c r="T8" s="222">
        <v>36841.61</v>
      </c>
      <c r="U8" s="224"/>
      <c r="V8" s="105">
        <f>+R7+R8-T8</f>
        <v>3.8600000000005821</v>
      </c>
      <c r="W8" s="209"/>
      <c r="Y8" s="132">
        <v>36037.68</v>
      </c>
      <c r="AA8" s="222">
        <v>36756.79</v>
      </c>
      <c r="AB8" s="224"/>
      <c r="AC8" s="105">
        <f>+Y7+Y8-AA8</f>
        <v>-10.379999999997381</v>
      </c>
      <c r="AD8" s="209"/>
      <c r="AF8" s="132">
        <v>35801.68</v>
      </c>
      <c r="AH8" s="222">
        <v>36444.53</v>
      </c>
      <c r="AI8" s="224"/>
      <c r="AJ8" s="105">
        <f>+AF7+AF8-AH8</f>
        <v>-14.519999999996799</v>
      </c>
      <c r="AL8" s="132">
        <v>35014.300000000003</v>
      </c>
      <c r="AN8" s="222">
        <v>35624.589999999997</v>
      </c>
      <c r="AO8" s="224"/>
      <c r="AP8" s="105">
        <f>+AL7+AL8-AN8</f>
        <v>-10.289999999993597</v>
      </c>
      <c r="AR8" s="132">
        <v>34239.43</v>
      </c>
      <c r="AT8" s="222">
        <v>34250.699999999997</v>
      </c>
      <c r="AU8" s="224"/>
      <c r="AV8" s="105">
        <f>+AR7+AR8-AT8</f>
        <v>-11.269999999996799</v>
      </c>
      <c r="AX8" s="132">
        <v>34212.33</v>
      </c>
      <c r="AZ8" s="222">
        <v>34227.64</v>
      </c>
      <c r="BA8" s="224"/>
      <c r="BB8" s="105">
        <f>+AX7+AX8-AZ8</f>
        <v>-15.309999999997672</v>
      </c>
      <c r="BD8" s="132">
        <v>34163.19</v>
      </c>
      <c r="BF8" s="222">
        <v>34181.24</v>
      </c>
      <c r="BG8" s="224"/>
      <c r="BH8" s="105">
        <f>+BD7+BD8-BF8</f>
        <v>-18.049999999995634</v>
      </c>
      <c r="BJ8" s="132">
        <v>34688.199999999997</v>
      </c>
      <c r="BL8" s="222">
        <v>34703.199999999997</v>
      </c>
      <c r="BM8" s="224"/>
      <c r="BN8" s="105">
        <f>+BJ7+BJ8-BL8</f>
        <v>-15</v>
      </c>
      <c r="BP8" s="132">
        <v>35281.65</v>
      </c>
      <c r="BR8" s="222">
        <v>35295.61</v>
      </c>
      <c r="BS8" s="224"/>
      <c r="BT8" s="105">
        <f>+BP7+BP8-BR8</f>
        <v>-13.959999999999127</v>
      </c>
      <c r="BV8" s="132">
        <v>35796.629999999997</v>
      </c>
      <c r="BX8" s="222">
        <v>35811.480000000003</v>
      </c>
      <c r="BY8" s="224"/>
      <c r="BZ8" s="105">
        <f>+BV7+BV8-BX8</f>
        <v>-14.850000000005821</v>
      </c>
      <c r="CB8" s="132">
        <v>36334.5</v>
      </c>
      <c r="CD8" s="222">
        <v>36343.129999999997</v>
      </c>
      <c r="CE8" s="224"/>
      <c r="CF8" s="105">
        <f>+CB7+CB8-CD8</f>
        <v>-8.6299999999973807</v>
      </c>
      <c r="CH8" s="132">
        <v>36393.449999999997</v>
      </c>
      <c r="CJ8" s="222">
        <v>36403.78</v>
      </c>
      <c r="CK8" s="224"/>
      <c r="CL8" s="105">
        <f>+CH7+CH8-CJ8</f>
        <v>-10.330000000001746</v>
      </c>
      <c r="CN8" s="132">
        <v>36073</v>
      </c>
      <c r="CP8" s="222">
        <v>39840.99</v>
      </c>
      <c r="CQ8" s="224"/>
      <c r="CR8" s="105">
        <f>+CN7+CN8-CP7-CP8</f>
        <v>-3767.989999999998</v>
      </c>
      <c r="CT8" s="132">
        <v>37016.92</v>
      </c>
      <c r="CV8" s="222">
        <v>44688.82</v>
      </c>
      <c r="CW8" s="224"/>
      <c r="CX8" s="105">
        <f>+CT7+CT8-CV7-CV8</f>
        <v>-7671.9000000000015</v>
      </c>
      <c r="CZ8" s="132">
        <v>37623.57</v>
      </c>
      <c r="DB8" s="222">
        <v>45641.78</v>
      </c>
      <c r="DC8" s="224"/>
      <c r="DD8" s="105">
        <f>+CZ7+CZ8-DB7-DB8</f>
        <v>-8018.2099999999991</v>
      </c>
      <c r="DF8" s="132">
        <v>38278.85</v>
      </c>
      <c r="DH8" s="222">
        <v>46252.23</v>
      </c>
      <c r="DI8" s="224"/>
      <c r="DJ8" s="105">
        <f>+DF7+DF8-DH7-DH8</f>
        <v>-7973.3800000000047</v>
      </c>
      <c r="DL8" s="132">
        <v>47817.7</v>
      </c>
      <c r="DN8" s="222">
        <v>47819.39</v>
      </c>
      <c r="DO8" s="105">
        <f>+DL7+DL8-DN7-DN8</f>
        <v>-1.6900000000023283</v>
      </c>
      <c r="DQ8" s="132">
        <v>49439.48</v>
      </c>
      <c r="DS8" s="222">
        <v>49440.34</v>
      </c>
      <c r="DT8" s="105">
        <f>+DQ7+DQ8-DS7-DS8</f>
        <v>-0.85999999999330612</v>
      </c>
      <c r="DV8" s="132">
        <v>58378.19</v>
      </c>
      <c r="DX8" s="222">
        <v>58898.93</v>
      </c>
      <c r="DY8" s="105">
        <f>+DV7+DV8-DX7-DX8</f>
        <v>-520.73999999999796</v>
      </c>
      <c r="EA8" s="132">
        <v>57869.13</v>
      </c>
      <c r="EC8" s="222">
        <v>58416.08</v>
      </c>
      <c r="ED8" s="105">
        <f>+EA7+EA8-EC7-EC8</f>
        <v>-546.95000000000437</v>
      </c>
      <c r="EF8" s="132">
        <v>68129.320000000007</v>
      </c>
      <c r="EH8" s="222">
        <v>68655.39</v>
      </c>
      <c r="EI8" s="105">
        <f>+EF7+EF8-EH7-EH8</f>
        <v>-526.06999999999243</v>
      </c>
      <c r="EK8" s="132">
        <v>79062.850000000006</v>
      </c>
      <c r="EM8" s="222">
        <v>79416.710000000006</v>
      </c>
      <c r="EN8" s="105">
        <f>+EK7+EK8-EM7-EM8</f>
        <v>-353.86000000000058</v>
      </c>
      <c r="EP8" s="132">
        <v>80465.08</v>
      </c>
      <c r="ER8" s="222">
        <v>81121.69</v>
      </c>
      <c r="ES8" s="105">
        <f>+EP7+EP8-ER7-ER8</f>
        <v>-656.61000000000058</v>
      </c>
      <c r="EU8" s="132">
        <v>81111.02</v>
      </c>
      <c r="EW8" s="222">
        <v>81878.23</v>
      </c>
      <c r="EX8" s="105">
        <f>+EU7+EU8-EW7-EW8</f>
        <v>-767.20999999999185</v>
      </c>
      <c r="EZ8" s="132">
        <v>82063.259999999995</v>
      </c>
      <c r="FB8" s="222">
        <v>82638.95</v>
      </c>
      <c r="FC8" s="105">
        <f>+EZ7+EZ8-FB7-FB8</f>
        <v>-575.69000000000233</v>
      </c>
    </row>
    <row r="9" spans="1:159" x14ac:dyDescent="0.15">
      <c r="A9" s="11" t="s">
        <v>88</v>
      </c>
      <c r="B9" s="209"/>
      <c r="D9" s="132">
        <v>221210.46</v>
      </c>
      <c r="F9" s="222">
        <v>221209.79</v>
      </c>
      <c r="H9" s="105">
        <f t="shared" ref="H9:H16" si="0">+D9-F9</f>
        <v>0.66999999998370185</v>
      </c>
      <c r="I9" s="209"/>
      <c r="K9" s="132">
        <v>221269.69</v>
      </c>
      <c r="M9" s="222">
        <v>221270.72</v>
      </c>
      <c r="N9" s="132"/>
      <c r="O9" s="105">
        <f>+K9+K10-M9</f>
        <v>64.198888888902729</v>
      </c>
      <c r="P9" s="209"/>
      <c r="R9" s="132">
        <v>223263.09</v>
      </c>
      <c r="T9" s="222">
        <v>223260.83</v>
      </c>
      <c r="U9" s="224"/>
      <c r="V9" s="105">
        <f>+R9+R10-T9</f>
        <v>67.540000000008149</v>
      </c>
      <c r="W9" s="209"/>
      <c r="X9" s="105"/>
      <c r="Y9" s="132">
        <v>228823.7</v>
      </c>
      <c r="AA9" s="222">
        <v>228881.27</v>
      </c>
      <c r="AB9" s="224"/>
      <c r="AC9" s="105">
        <f>+Y9+Y10-AA9</f>
        <v>10.410000000032596</v>
      </c>
      <c r="AD9" s="209"/>
      <c r="AF9" s="132">
        <v>232612.5</v>
      </c>
      <c r="AH9" s="222">
        <v>232681.97</v>
      </c>
      <c r="AI9" s="224"/>
      <c r="AJ9" s="105">
        <f>+AF9+AF10-AH9</f>
        <v>14.529999999998836</v>
      </c>
      <c r="AL9" s="132">
        <v>233977.9</v>
      </c>
      <c r="AN9" s="222">
        <v>234048.35</v>
      </c>
      <c r="AO9" s="224"/>
      <c r="AP9" s="105">
        <f>+AL9+AL10-AN9</f>
        <v>9.9499999999825377</v>
      </c>
      <c r="AR9" s="132">
        <v>230328.8</v>
      </c>
      <c r="AT9" s="222">
        <v>230380.52</v>
      </c>
      <c r="AU9" s="224"/>
      <c r="AV9" s="105">
        <f>+AR9+AR10-AT9</f>
        <v>11.350000000005821</v>
      </c>
      <c r="AX9" s="132">
        <v>226586.77</v>
      </c>
      <c r="AZ9" s="222">
        <v>226676.31</v>
      </c>
      <c r="BA9" s="224"/>
      <c r="BB9" s="105">
        <f>+AX9+AX10-AZ9</f>
        <v>15.380000000004657</v>
      </c>
      <c r="BD9" s="132">
        <v>223229.5</v>
      </c>
      <c r="BF9" s="222">
        <v>223339.72</v>
      </c>
      <c r="BG9" s="224"/>
      <c r="BH9" s="105">
        <f>+BD9+BD10-BF9</f>
        <v>18.089999999996508</v>
      </c>
      <c r="BJ9" s="132">
        <v>220047.26</v>
      </c>
      <c r="BL9" s="222">
        <v>220127.92</v>
      </c>
      <c r="BM9" s="224"/>
      <c r="BN9" s="105">
        <f>+BJ9+BJ10-BL9</f>
        <v>14.970000000001164</v>
      </c>
      <c r="BP9" s="132">
        <v>220768.17</v>
      </c>
      <c r="BR9" s="222">
        <v>220856.73</v>
      </c>
      <c r="BS9" s="224"/>
      <c r="BT9" s="105">
        <f>+BP9+BP10-BR9</f>
        <v>13.899999999994179</v>
      </c>
      <c r="BV9" s="132">
        <v>222197.84</v>
      </c>
      <c r="BX9" s="222">
        <v>222285.78</v>
      </c>
      <c r="BY9" s="224"/>
      <c r="BZ9" s="105">
        <f>+BV9+BV10-BX9</f>
        <v>14.980000000010477</v>
      </c>
      <c r="CB9" s="132">
        <v>225963.47</v>
      </c>
      <c r="CD9" s="222">
        <v>226034.2</v>
      </c>
      <c r="CE9" s="224"/>
      <c r="CF9" s="105">
        <f>+CB9+CB10-CD9</f>
        <v>8.5899999999965075</v>
      </c>
      <c r="CH9" s="132">
        <v>228248.29</v>
      </c>
      <c r="CJ9" s="222">
        <v>228330.5</v>
      </c>
      <c r="CK9" s="224"/>
      <c r="CL9" s="105">
        <f>+CH9+CH10-CJ9</f>
        <v>10.300000000017462</v>
      </c>
      <c r="CN9" s="132">
        <v>230063.1</v>
      </c>
      <c r="CP9" s="222">
        <v>230162.81</v>
      </c>
      <c r="CQ9" s="224"/>
      <c r="CR9" s="105">
        <f>+CN9+CN10-CP9</f>
        <v>12.240000000019791</v>
      </c>
      <c r="CT9" s="132">
        <v>231038.51</v>
      </c>
      <c r="CV9" s="222">
        <v>231176.43</v>
      </c>
      <c r="CW9" s="224"/>
      <c r="CX9" s="105">
        <f>+CT9+CT10-CV9</f>
        <v>17.220000000030268</v>
      </c>
      <c r="CZ9" s="132">
        <v>232155.32</v>
      </c>
      <c r="DB9" s="222">
        <v>232333.37</v>
      </c>
      <c r="DC9" s="224"/>
      <c r="DD9" s="105">
        <f>+CZ9+CZ10-DB9</f>
        <v>33.14000000001397</v>
      </c>
      <c r="DF9" s="132">
        <v>233771.61</v>
      </c>
      <c r="DH9" s="222">
        <v>233899.26</v>
      </c>
      <c r="DI9" s="224"/>
      <c r="DJ9" s="105">
        <f>+DF9+DF10-DH9</f>
        <v>15.679999999963911</v>
      </c>
      <c r="DL9" s="132">
        <v>235798.42</v>
      </c>
      <c r="DN9" s="222">
        <v>235803.74</v>
      </c>
      <c r="DO9" s="105">
        <f>+DL9+DL10-DN9</f>
        <v>2.9100000000325963</v>
      </c>
      <c r="DQ9" s="132">
        <v>238390.76</v>
      </c>
      <c r="DS9" s="222">
        <v>238395.66</v>
      </c>
      <c r="DT9" s="105">
        <f>+DQ9+DQ10-DS9</f>
        <v>1.0400000000081491</v>
      </c>
      <c r="DV9" s="132">
        <v>239673.18</v>
      </c>
      <c r="DX9" s="222">
        <v>243401.72</v>
      </c>
      <c r="DY9" s="105">
        <f>+DV9+DV10-DX9</f>
        <v>-3712.7600000000093</v>
      </c>
      <c r="EA9" s="132">
        <f>246522.93</f>
        <v>246522.93</v>
      </c>
      <c r="EC9" s="222">
        <v>250092.76</v>
      </c>
      <c r="ED9" s="105">
        <f>+EA9+EA10-EC9</f>
        <v>-3550.0400000000081</v>
      </c>
      <c r="EF9" s="132">
        <v>251155.57</v>
      </c>
      <c r="EH9" s="222">
        <v>254801.01</v>
      </c>
      <c r="EI9" s="105">
        <f>+EF9+EF10-EH9</f>
        <v>-3626.8800000000047</v>
      </c>
      <c r="EK9" s="132">
        <v>250708.38</v>
      </c>
      <c r="EM9" s="222">
        <v>253835.84</v>
      </c>
      <c r="EN9" s="105">
        <f>+EK9+EK10-EM9</f>
        <v>-3108.5499999999884</v>
      </c>
      <c r="EP9" s="132">
        <v>248632.77</v>
      </c>
      <c r="ER9" s="222">
        <v>252407.79</v>
      </c>
      <c r="ES9" s="105">
        <f>+EP9+EP10-ER9</f>
        <v>-3758.0200000000186</v>
      </c>
      <c r="EU9" s="132">
        <v>246586.53</v>
      </c>
      <c r="EW9" s="222">
        <v>250302.37</v>
      </c>
      <c r="EX9" s="105">
        <f>+EU9+EU10-EW9</f>
        <v>-3700.8800000000047</v>
      </c>
      <c r="EZ9" s="132">
        <v>247736.35</v>
      </c>
      <c r="FB9" s="222">
        <v>251495.04000000001</v>
      </c>
      <c r="FC9" s="105">
        <f>+EZ9+EZ10-FB9</f>
        <v>-3758.6900000000023</v>
      </c>
    </row>
    <row r="10" spans="1:159" x14ac:dyDescent="0.15">
      <c r="A10" s="11" t="s">
        <v>89</v>
      </c>
      <c r="B10" s="209"/>
      <c r="D10" s="132">
        <v>65.86</v>
      </c>
      <c r="F10" s="222"/>
      <c r="H10" s="105">
        <f t="shared" si="0"/>
        <v>65.86</v>
      </c>
      <c r="I10" s="209"/>
      <c r="J10" s="38"/>
      <c r="K10" s="132">
        <v>65.228888888888889</v>
      </c>
      <c r="M10" s="222"/>
      <c r="N10" s="132"/>
      <c r="O10" s="105"/>
      <c r="P10" s="209"/>
      <c r="R10" s="132">
        <v>65.28</v>
      </c>
      <c r="T10" s="222"/>
      <c r="U10" s="224"/>
      <c r="V10" s="105"/>
      <c r="W10" s="209"/>
      <c r="Y10" s="132">
        <v>67.98</v>
      </c>
      <c r="AA10" s="222"/>
      <c r="AB10" s="224"/>
      <c r="AC10" s="105"/>
      <c r="AD10" s="209"/>
      <c r="AF10" s="132">
        <v>84</v>
      </c>
      <c r="AH10" s="222"/>
      <c r="AI10" s="224"/>
      <c r="AJ10" s="105"/>
      <c r="AL10" s="132">
        <v>80.400000000000006</v>
      </c>
      <c r="AN10" s="222"/>
      <c r="AO10" s="224"/>
      <c r="AP10" s="105"/>
      <c r="AR10" s="132">
        <v>63.07</v>
      </c>
      <c r="AT10" s="222"/>
      <c r="AU10" s="224"/>
      <c r="AV10" s="105"/>
      <c r="AX10" s="132">
        <v>104.92</v>
      </c>
      <c r="AZ10" s="222"/>
      <c r="BA10" s="224"/>
      <c r="BB10" s="105"/>
      <c r="BD10" s="132">
        <v>128.31</v>
      </c>
      <c r="BF10" s="222"/>
      <c r="BG10" s="224"/>
      <c r="BH10" s="105"/>
      <c r="BJ10" s="132">
        <v>95.63</v>
      </c>
      <c r="BL10" s="222"/>
      <c r="BM10" s="224"/>
      <c r="BN10" s="105"/>
      <c r="BP10" s="132">
        <v>102.46</v>
      </c>
      <c r="BR10" s="222"/>
      <c r="BS10" s="224"/>
      <c r="BT10" s="105"/>
      <c r="BV10" s="132">
        <v>102.92</v>
      </c>
      <c r="BX10" s="222"/>
      <c r="BY10" s="224"/>
      <c r="BZ10" s="105"/>
      <c r="CB10" s="132">
        <v>79.319999999999993</v>
      </c>
      <c r="CD10" s="222"/>
      <c r="CE10" s="224"/>
      <c r="CF10" s="105"/>
      <c r="CH10" s="132">
        <v>92.51</v>
      </c>
      <c r="CJ10" s="222"/>
      <c r="CK10" s="224"/>
      <c r="CL10" s="105"/>
      <c r="CN10" s="132">
        <v>111.95</v>
      </c>
      <c r="CP10" s="222"/>
      <c r="CQ10" s="224"/>
      <c r="CR10" s="105"/>
      <c r="CT10" s="132">
        <v>155.13999999999999</v>
      </c>
      <c r="CV10" s="222"/>
      <c r="CW10" s="224"/>
      <c r="CX10" s="105"/>
      <c r="CZ10" s="132">
        <v>211.19</v>
      </c>
      <c r="DB10" s="222"/>
      <c r="DC10" s="224"/>
      <c r="DD10" s="105"/>
      <c r="DF10" s="132">
        <v>143.33000000000001</v>
      </c>
      <c r="DH10" s="222"/>
      <c r="DI10" s="224"/>
      <c r="DJ10" s="105"/>
      <c r="DL10" s="132">
        <v>8.23</v>
      </c>
      <c r="DN10" s="222"/>
      <c r="DO10" s="105"/>
      <c r="DQ10" s="132">
        <v>5.94</v>
      </c>
      <c r="DS10" s="222"/>
      <c r="DT10" s="105"/>
      <c r="DV10" s="132">
        <v>15.78</v>
      </c>
      <c r="DX10" s="222"/>
      <c r="DY10" s="105"/>
      <c r="EA10" s="132">
        <v>19.79</v>
      </c>
      <c r="EC10" s="222"/>
      <c r="ED10" s="105"/>
      <c r="EF10" s="132">
        <v>18.559999999999999</v>
      </c>
      <c r="EH10" s="222"/>
      <c r="EI10" s="105"/>
      <c r="EK10" s="132">
        <v>18.91</v>
      </c>
      <c r="EM10" s="222"/>
      <c r="EN10" s="105"/>
      <c r="EP10" s="132">
        <v>17</v>
      </c>
      <c r="ER10" s="222"/>
      <c r="ES10" s="105"/>
      <c r="EU10" s="132">
        <v>14.96</v>
      </c>
      <c r="EW10" s="222"/>
      <c r="EX10" s="105"/>
      <c r="EZ10" s="132">
        <v>0</v>
      </c>
      <c r="FB10" s="222"/>
      <c r="FC10" s="105"/>
    </row>
    <row r="11" spans="1:159" x14ac:dyDescent="0.15">
      <c r="A11" s="11" t="s">
        <v>209</v>
      </c>
      <c r="B11" s="209">
        <f>7395.1+0.268</f>
        <v>7395.3680000000004</v>
      </c>
      <c r="D11" s="132"/>
      <c r="F11" s="222"/>
      <c r="H11" s="105"/>
      <c r="I11" s="209"/>
      <c r="J11" s="38"/>
      <c r="K11" s="132"/>
      <c r="M11" s="222"/>
      <c r="N11" s="132"/>
      <c r="O11" s="105"/>
      <c r="P11" s="209"/>
      <c r="R11" s="132"/>
      <c r="T11" s="222"/>
      <c r="U11" s="224"/>
      <c r="V11" s="105"/>
      <c r="W11" s="209"/>
      <c r="Y11" s="132"/>
      <c r="AA11" s="222"/>
      <c r="AB11" s="224"/>
      <c r="AC11" s="105"/>
      <c r="AD11" s="209"/>
      <c r="AF11" s="132"/>
      <c r="AH11" s="222"/>
      <c r="AI11" s="224"/>
      <c r="AJ11" s="105"/>
      <c r="AL11" s="132"/>
      <c r="AN11" s="222"/>
      <c r="AO11" s="224"/>
      <c r="AP11" s="105"/>
      <c r="AR11" s="132">
        <v>78857</v>
      </c>
      <c r="AT11" s="222">
        <v>78883.67</v>
      </c>
      <c r="AU11" s="224"/>
      <c r="AV11" s="105">
        <f>+AR11+AR12-AT11</f>
        <v>-0.11999999999534339</v>
      </c>
      <c r="AX11" s="132">
        <v>78288.45</v>
      </c>
      <c r="AZ11" s="222">
        <v>78310.98</v>
      </c>
      <c r="BA11" s="224"/>
      <c r="BB11" s="105">
        <f>+AX11+AX12-AZ11</f>
        <v>-9.9999999947613105E-3</v>
      </c>
      <c r="BD11" s="132">
        <v>78325.100000000006</v>
      </c>
      <c r="BF11" s="222">
        <v>78360.34</v>
      </c>
      <c r="BG11" s="224"/>
      <c r="BH11" s="105">
        <f>+BD11+BD12-BF11</f>
        <v>0</v>
      </c>
      <c r="BJ11" s="132">
        <v>77003.839999999997</v>
      </c>
      <c r="BL11" s="222">
        <v>77031.92</v>
      </c>
      <c r="BM11" s="224"/>
      <c r="BN11" s="105">
        <f>+BJ11+BJ12-BL11</f>
        <v>-4.0000000008149073E-2</v>
      </c>
      <c r="BP11" s="132">
        <v>74942.899999999994</v>
      </c>
      <c r="BR11" s="222">
        <v>74970.11</v>
      </c>
      <c r="BS11" s="224"/>
      <c r="BT11" s="105">
        <f>+BP11+BP12-BR11</f>
        <v>3.9999999993597157E-2</v>
      </c>
      <c r="BV11" s="132">
        <v>75233.47</v>
      </c>
      <c r="BX11" s="222">
        <v>75262.31</v>
      </c>
      <c r="BY11" s="224"/>
      <c r="BZ11" s="105">
        <f>+BV11+BV12-BX11</f>
        <v>5.9999999997671694E-2</v>
      </c>
      <c r="CB11" s="132">
        <v>74336.460000000006</v>
      </c>
      <c r="CD11" s="222">
        <v>74360.59</v>
      </c>
      <c r="CE11" s="224"/>
      <c r="CF11" s="105">
        <f>+CB11+CB12-CD11</f>
        <v>-2.9999999984283932E-2</v>
      </c>
      <c r="CH11" s="132">
        <v>75653.899999999994</v>
      </c>
      <c r="CJ11" s="222">
        <v>75678.16</v>
      </c>
      <c r="CK11" s="224"/>
      <c r="CL11" s="105">
        <f>+CH11+CH12-CJ11</f>
        <v>-8.0000000016298145E-2</v>
      </c>
      <c r="CN11" s="132">
        <v>76617.83</v>
      </c>
      <c r="CP11" s="222">
        <v>76650.179999999993</v>
      </c>
      <c r="CQ11" s="224"/>
      <c r="CR11" s="105">
        <f>+CN11+CN12-CP11</f>
        <v>0.76000000000931323</v>
      </c>
      <c r="CT11" s="132">
        <v>77833.740000000005</v>
      </c>
      <c r="CV11" s="222">
        <v>77874.789999999994</v>
      </c>
      <c r="CW11" s="224"/>
      <c r="CX11" s="105">
        <f>+CT11+CT12-CV11</f>
        <v>3.0000000013387762E-2</v>
      </c>
      <c r="CZ11" s="132">
        <v>78579.789999999994</v>
      </c>
      <c r="DB11" s="222">
        <v>78633.36</v>
      </c>
      <c r="DC11" s="224"/>
      <c r="DD11" s="105">
        <f>+CZ11+CZ12-DB11</f>
        <v>-4.0000000008149073E-2</v>
      </c>
      <c r="DF11" s="132">
        <v>78778.289999999994</v>
      </c>
      <c r="DH11" s="222">
        <v>78817.87</v>
      </c>
      <c r="DI11" s="224"/>
      <c r="DJ11" s="105">
        <f>+DF11+DF12-DH11</f>
        <v>0.41999999999825377</v>
      </c>
      <c r="DL11" s="132">
        <v>77188.89</v>
      </c>
      <c r="DN11" s="222">
        <v>77189.7</v>
      </c>
      <c r="DO11" s="105">
        <f>+DL11+DL12-DN11</f>
        <v>0.38999999999941792</v>
      </c>
      <c r="DQ11" s="132">
        <v>78333.460000000006</v>
      </c>
      <c r="DS11" s="222">
        <v>78335.12</v>
      </c>
      <c r="DT11" s="105">
        <f>+DQ11+DQ12-DS11</f>
        <v>1.0000000009313226E-2</v>
      </c>
      <c r="DV11" s="132">
        <v>77648.28</v>
      </c>
      <c r="DX11" s="222">
        <v>79011.92</v>
      </c>
      <c r="DY11" s="105">
        <f>+DV11+DV12-DX11</f>
        <v>-1359.2700000000041</v>
      </c>
      <c r="EA11" s="132">
        <f>78517.16</f>
        <v>78517.16</v>
      </c>
      <c r="EC11" s="222">
        <v>79852.52</v>
      </c>
      <c r="ED11" s="105">
        <f>+EA11+EA12-EC11</f>
        <v>-1332.3899999999994</v>
      </c>
      <c r="EF11" s="132">
        <v>81310.720000000001</v>
      </c>
      <c r="EH11" s="222">
        <v>82595.78</v>
      </c>
      <c r="EI11" s="105">
        <f>+EF11+EF12-EH11</f>
        <v>-1283.0800000000017</v>
      </c>
      <c r="EK11" s="132">
        <v>84855.32</v>
      </c>
      <c r="EM11" s="222">
        <v>86085.1</v>
      </c>
      <c r="EN11" s="105">
        <f>+EK11+EK12-EM11</f>
        <v>-1225.9400000000023</v>
      </c>
      <c r="EP11" s="132">
        <v>86314.04</v>
      </c>
      <c r="ER11" s="222">
        <v>87653.72</v>
      </c>
      <c r="ES11" s="105">
        <f>+EP11+EP12-ER11</f>
        <v>-1336.9800000000105</v>
      </c>
      <c r="EU11" s="132">
        <v>84982.54</v>
      </c>
      <c r="EW11" s="222">
        <v>86396.82</v>
      </c>
      <c r="EX11" s="105">
        <f>+EU11+EU12-EW11</f>
        <v>-1410.5900000000111</v>
      </c>
      <c r="EZ11" s="132">
        <v>83136.36</v>
      </c>
      <c r="FB11" s="222">
        <v>84479.66</v>
      </c>
      <c r="FC11" s="105">
        <f>+EZ11+EZ12-FB11</f>
        <v>-1343.3000000000029</v>
      </c>
    </row>
    <row r="12" spans="1:159" x14ac:dyDescent="0.15">
      <c r="A12" s="11" t="s">
        <v>89</v>
      </c>
      <c r="B12" s="209"/>
      <c r="D12" s="132"/>
      <c r="F12" s="222"/>
      <c r="H12" s="105"/>
      <c r="I12" s="209"/>
      <c r="J12" s="38"/>
      <c r="K12" s="132"/>
      <c r="M12" s="222"/>
      <c r="N12" s="132"/>
      <c r="O12" s="105"/>
      <c r="P12" s="209"/>
      <c r="R12" s="132"/>
      <c r="T12" s="222"/>
      <c r="U12" s="224"/>
      <c r="V12" s="105"/>
      <c r="W12" s="209"/>
      <c r="Y12" s="132"/>
      <c r="AA12" s="222"/>
      <c r="AB12" s="224"/>
      <c r="AC12" s="105"/>
      <c r="AD12" s="209"/>
      <c r="AF12" s="132"/>
      <c r="AH12" s="222"/>
      <c r="AI12" s="224"/>
      <c r="AJ12" s="105"/>
      <c r="AL12" s="132"/>
      <c r="AN12" s="222"/>
      <c r="AO12" s="224"/>
      <c r="AP12" s="105"/>
      <c r="AR12" s="132">
        <v>26.55</v>
      </c>
      <c r="AT12" s="222"/>
      <c r="AU12" s="224"/>
      <c r="AV12" s="105"/>
      <c r="AX12" s="132">
        <v>22.52</v>
      </c>
      <c r="AZ12" s="222"/>
      <c r="BA12" s="224"/>
      <c r="BB12" s="105"/>
      <c r="BD12" s="132">
        <v>35.24</v>
      </c>
      <c r="BF12" s="222"/>
      <c r="BG12" s="224"/>
      <c r="BH12" s="105"/>
      <c r="BJ12" s="132">
        <v>28.04</v>
      </c>
      <c r="BL12" s="222"/>
      <c r="BM12" s="224"/>
      <c r="BN12" s="105"/>
      <c r="BP12" s="132">
        <v>27.25</v>
      </c>
      <c r="BR12" s="222"/>
      <c r="BS12" s="224"/>
      <c r="BT12" s="105"/>
      <c r="BV12" s="132">
        <v>28.9</v>
      </c>
      <c r="BX12" s="222"/>
      <c r="BY12" s="224"/>
      <c r="BZ12" s="105"/>
      <c r="CB12" s="132">
        <v>24.1</v>
      </c>
      <c r="CD12" s="222"/>
      <c r="CE12" s="224"/>
      <c r="CF12" s="105"/>
      <c r="CH12" s="132">
        <v>24.18</v>
      </c>
      <c r="CJ12" s="222"/>
      <c r="CK12" s="224"/>
      <c r="CL12" s="105"/>
      <c r="CN12" s="132">
        <v>33.11</v>
      </c>
      <c r="CP12" s="222"/>
      <c r="CQ12" s="224"/>
      <c r="CR12" s="105"/>
      <c r="CT12" s="132">
        <v>41.08</v>
      </c>
      <c r="CV12" s="222"/>
      <c r="CW12" s="224"/>
      <c r="CX12" s="105"/>
      <c r="CZ12" s="132">
        <v>53.53</v>
      </c>
      <c r="DB12" s="222"/>
      <c r="DC12" s="224"/>
      <c r="DD12" s="105"/>
      <c r="DF12" s="132">
        <v>40</v>
      </c>
      <c r="DH12" s="222"/>
      <c r="DI12" s="224"/>
      <c r="DJ12" s="105"/>
      <c r="DL12" s="132">
        <v>1.2</v>
      </c>
      <c r="DN12" s="222"/>
      <c r="DO12" s="105"/>
      <c r="DQ12" s="132">
        <v>1.67</v>
      </c>
      <c r="DS12" s="222"/>
      <c r="DT12" s="105"/>
      <c r="DV12" s="132">
        <v>4.37</v>
      </c>
      <c r="DX12" s="222"/>
      <c r="DY12" s="105"/>
      <c r="EA12" s="132">
        <v>2.97</v>
      </c>
      <c r="EC12" s="222"/>
      <c r="ED12" s="105"/>
      <c r="EF12" s="132">
        <v>1.98</v>
      </c>
      <c r="EH12" s="222"/>
      <c r="EI12" s="105"/>
      <c r="EK12" s="132">
        <v>3.84</v>
      </c>
      <c r="EM12" s="222"/>
      <c r="EN12" s="105"/>
      <c r="EP12" s="132">
        <v>2.7</v>
      </c>
      <c r="ER12" s="222"/>
      <c r="ES12" s="105"/>
      <c r="EU12" s="132">
        <v>3.69</v>
      </c>
      <c r="EW12" s="222"/>
      <c r="EX12" s="105"/>
      <c r="EZ12" s="132">
        <v>0</v>
      </c>
      <c r="FB12" s="222"/>
      <c r="FC12" s="105"/>
    </row>
    <row r="13" spans="1:159" x14ac:dyDescent="0.15">
      <c r="A13" s="11" t="s">
        <v>291</v>
      </c>
      <c r="B13" s="209"/>
      <c r="D13" s="132">
        <v>223369.59</v>
      </c>
      <c r="F13" s="222">
        <v>223371.43</v>
      </c>
      <c r="H13" s="105">
        <f t="shared" si="0"/>
        <v>-1.8399999999965075</v>
      </c>
      <c r="I13" s="209"/>
      <c r="J13" s="38"/>
      <c r="K13" s="132">
        <v>224935.73</v>
      </c>
      <c r="M13" s="222">
        <v>224935.88</v>
      </c>
      <c r="N13" s="132"/>
      <c r="O13" s="105">
        <f>+K13+K14-M13</f>
        <v>66.034444444463588</v>
      </c>
      <c r="P13" s="209"/>
      <c r="R13" s="132">
        <v>226014.57</v>
      </c>
      <c r="T13" s="222">
        <v>226012.18</v>
      </c>
      <c r="U13" s="224"/>
      <c r="V13" s="105">
        <f>+R13+R14-T13</f>
        <v>67.340000000025611</v>
      </c>
      <c r="W13" s="209"/>
      <c r="Y13" s="132">
        <v>226918.85</v>
      </c>
      <c r="AA13" s="222">
        <v>226973.05</v>
      </c>
      <c r="AB13" s="224"/>
      <c r="AC13" s="105">
        <f>+Y13+Y14-AA13</f>
        <v>1.0000000009313226E-2</v>
      </c>
      <c r="AD13" s="209"/>
      <c r="AF13" s="132">
        <v>226996.82</v>
      </c>
      <c r="AH13" s="222">
        <v>227076.99</v>
      </c>
      <c r="AI13" s="224"/>
      <c r="AJ13" s="105">
        <f>+AF13+AF14-AH13</f>
        <v>3.0000000027939677E-2</v>
      </c>
      <c r="AL13" s="132">
        <v>228883.5</v>
      </c>
      <c r="AN13" s="222">
        <v>228944.67</v>
      </c>
      <c r="AO13" s="224"/>
      <c r="AP13" s="105">
        <f>+AL13+AL14-AN13</f>
        <v>-7.0000000006984919E-2</v>
      </c>
      <c r="AR13" s="132">
        <v>153648</v>
      </c>
      <c r="AT13" s="222">
        <v>153680.67000000001</v>
      </c>
      <c r="AU13" s="224"/>
      <c r="AV13" s="105">
        <f>+AR13+AR14-AT13</f>
        <v>9.9999999802093953E-3</v>
      </c>
      <c r="AX13" s="132">
        <v>157923.51</v>
      </c>
      <c r="AZ13" s="222">
        <v>157986.88</v>
      </c>
      <c r="BA13" s="224"/>
      <c r="BB13" s="105">
        <f>+AX13+AX14-AZ13</f>
        <v>8.0000000016298145E-2</v>
      </c>
      <c r="BD13" s="132">
        <v>159621.69</v>
      </c>
      <c r="BF13" s="222">
        <v>159687.74</v>
      </c>
      <c r="BG13" s="224"/>
      <c r="BH13" s="105">
        <f>+BD13+BD14-BF13</f>
        <v>-9.9999999802093953E-3</v>
      </c>
      <c r="BJ13" s="132">
        <v>158549.56</v>
      </c>
      <c r="BL13" s="222">
        <v>158596.92000000001</v>
      </c>
      <c r="BM13" s="224"/>
      <c r="BN13" s="105">
        <f>+BJ13+BJ14-BL13</f>
        <v>2.9999999998835847E-2</v>
      </c>
      <c r="BP13" s="132">
        <v>157402.26999999999</v>
      </c>
      <c r="BR13" s="222">
        <v>157456.82</v>
      </c>
      <c r="BS13" s="224"/>
      <c r="BT13" s="105">
        <f>+BP13+BP14-BR13</f>
        <v>-5.0000000017462298E-2</v>
      </c>
      <c r="BV13" s="132">
        <v>154039.07999999999</v>
      </c>
      <c r="BX13" s="222">
        <v>154094.76</v>
      </c>
      <c r="BY13" s="224"/>
      <c r="BZ13" s="105">
        <f>+BV13+BV14-BX13</f>
        <v>-5.0000000017462298E-2</v>
      </c>
      <c r="CB13" s="132">
        <v>152730.18</v>
      </c>
      <c r="CD13" s="222">
        <v>152776.94</v>
      </c>
      <c r="CE13" s="224"/>
      <c r="CF13" s="105">
        <f>+CB13+CB14-CD13</f>
        <v>2.9999999998835847E-2</v>
      </c>
      <c r="CH13" s="132">
        <v>151728.41</v>
      </c>
      <c r="CJ13" s="222">
        <v>151780.59</v>
      </c>
      <c r="CK13" s="224"/>
      <c r="CL13" s="105">
        <f>+CH13+CH14-CJ13</f>
        <v>1.0000000009313226E-2</v>
      </c>
      <c r="CN13" s="132">
        <v>152179.6</v>
      </c>
      <c r="CP13" s="222">
        <v>152239.81</v>
      </c>
      <c r="CQ13" s="224"/>
      <c r="CR13" s="105">
        <f>+CN13+CN14-CP13</f>
        <v>-0.10999999998603016</v>
      </c>
      <c r="CT13" s="132">
        <v>154555.35999999999</v>
      </c>
      <c r="CV13" s="222">
        <v>154630.9</v>
      </c>
      <c r="CW13" s="224"/>
      <c r="CX13" s="105">
        <f>+CT13+CT14-CV13</f>
        <v>0</v>
      </c>
      <c r="CZ13" s="132">
        <v>156567.4</v>
      </c>
      <c r="DB13" s="222">
        <v>156665.38</v>
      </c>
      <c r="DC13" s="224"/>
      <c r="DD13" s="105">
        <f>+CZ13+CZ14-DB13</f>
        <v>-0.12000000002444722</v>
      </c>
      <c r="DF13" s="132">
        <v>157964.06</v>
      </c>
      <c r="DH13" s="222">
        <v>158041.87</v>
      </c>
      <c r="DI13" s="224"/>
      <c r="DJ13" s="105">
        <f>+DF13+DF14-DH13</f>
        <v>0.76999999998952262</v>
      </c>
      <c r="DL13" s="132">
        <v>158212.73000000001</v>
      </c>
      <c r="DN13" s="222">
        <v>158215.69</v>
      </c>
      <c r="DO13" s="105">
        <f>+DL13+DL14-DN13</f>
        <v>7.0000000006984919E-2</v>
      </c>
      <c r="DQ13" s="132">
        <v>156266.29</v>
      </c>
      <c r="DS13" s="222">
        <v>156270.01</v>
      </c>
      <c r="DT13" s="105">
        <f>+DQ13+DQ14-DS13</f>
        <v>0.26000000000931323</v>
      </c>
      <c r="DV13" s="132">
        <v>153129.26999999999</v>
      </c>
      <c r="DX13" s="222">
        <v>156104.75</v>
      </c>
      <c r="DY13" s="105">
        <f>+DV13+DV14-DX13</f>
        <v>-2972.4700000000012</v>
      </c>
      <c r="EA13" s="132">
        <f>155698.77</f>
        <v>155698.76999999999</v>
      </c>
      <c r="EC13" s="222">
        <v>158543.67999999999</v>
      </c>
      <c r="ED13" s="105">
        <f>+EA13+EA14-EC13</f>
        <v>-2840.8999999999942</v>
      </c>
      <c r="EF13" s="132">
        <v>158281.56</v>
      </c>
      <c r="EH13" s="222">
        <v>161106.49</v>
      </c>
      <c r="EI13" s="105">
        <f>+EF13+EF14-EH13</f>
        <v>-2821.4700000000012</v>
      </c>
      <c r="EK13" s="132">
        <v>162261.79</v>
      </c>
      <c r="EM13" s="222">
        <v>164985.91</v>
      </c>
      <c r="EN13" s="105">
        <f>+EK13+EK14-EM13</f>
        <v>-2721.7200000000012</v>
      </c>
      <c r="EP13" s="132">
        <v>168193.82</v>
      </c>
      <c r="ER13" s="222">
        <v>171161.34</v>
      </c>
      <c r="ES13" s="105">
        <f>+EP13+EP14-ER13</f>
        <v>-2964.1199999999953</v>
      </c>
      <c r="EU13" s="132">
        <v>172139.43</v>
      </c>
      <c r="EW13" s="222">
        <v>175341.2</v>
      </c>
      <c r="EX13" s="105">
        <f>+EU13+EU14-EW13</f>
        <v>-3199.3400000000256</v>
      </c>
      <c r="EZ13" s="132">
        <v>172022.46</v>
      </c>
      <c r="FB13" s="222">
        <v>175274.58</v>
      </c>
      <c r="FC13" s="105">
        <f>+EZ13+EZ14-FB13</f>
        <v>-3252.1199999999953</v>
      </c>
    </row>
    <row r="14" spans="1:159" x14ac:dyDescent="0.15">
      <c r="A14" s="11" t="s">
        <v>89</v>
      </c>
      <c r="B14" s="209"/>
      <c r="D14" s="132">
        <v>57.47</v>
      </c>
      <c r="F14" s="222"/>
      <c r="H14" s="105">
        <f t="shared" si="0"/>
        <v>57.47</v>
      </c>
      <c r="I14" s="209"/>
      <c r="J14" s="38"/>
      <c r="K14" s="132">
        <v>66.184444444444438</v>
      </c>
      <c r="M14" s="222"/>
      <c r="N14" s="132"/>
      <c r="O14" s="105"/>
      <c r="P14" s="209"/>
      <c r="R14" s="132">
        <v>64.95</v>
      </c>
      <c r="T14" s="222"/>
      <c r="U14" s="224"/>
      <c r="V14" s="105"/>
      <c r="W14" s="209"/>
      <c r="Y14" s="132">
        <v>54.21</v>
      </c>
      <c r="AA14" s="222"/>
      <c r="AB14" s="224"/>
      <c r="AC14" s="105"/>
      <c r="AD14" s="209"/>
      <c r="AF14" s="132">
        <v>80.2</v>
      </c>
      <c r="AH14" s="222"/>
      <c r="AI14" s="224"/>
      <c r="AJ14" s="105"/>
      <c r="AL14" s="132">
        <v>61.1</v>
      </c>
      <c r="AN14" s="222"/>
      <c r="AO14" s="224"/>
      <c r="AP14" s="105"/>
      <c r="AR14" s="132">
        <v>32.68</v>
      </c>
      <c r="AT14" s="222"/>
      <c r="AU14" s="224"/>
      <c r="AV14" s="105"/>
      <c r="AX14" s="132">
        <v>63.45</v>
      </c>
      <c r="AZ14" s="222"/>
      <c r="BA14" s="224"/>
      <c r="BB14" s="105"/>
      <c r="BD14" s="132">
        <v>66.040000000000006</v>
      </c>
      <c r="BF14" s="222"/>
      <c r="BG14" s="224"/>
      <c r="BH14" s="105"/>
      <c r="BJ14" s="132">
        <v>47.39</v>
      </c>
      <c r="BL14" s="222"/>
      <c r="BM14" s="224"/>
      <c r="BN14" s="105"/>
      <c r="BP14" s="132">
        <v>54.5</v>
      </c>
      <c r="BR14" s="222"/>
      <c r="BS14" s="224"/>
      <c r="BT14" s="105"/>
      <c r="BV14" s="132">
        <v>55.63</v>
      </c>
      <c r="BX14" s="222"/>
      <c r="BY14" s="224"/>
      <c r="BZ14" s="105"/>
      <c r="CB14" s="132">
        <v>46.79</v>
      </c>
      <c r="CD14" s="222"/>
      <c r="CE14" s="224"/>
      <c r="CF14" s="105"/>
      <c r="CH14" s="132">
        <v>52.19</v>
      </c>
      <c r="CJ14" s="222"/>
      <c r="CK14" s="224"/>
      <c r="CL14" s="105"/>
      <c r="CN14" s="132">
        <v>60.1</v>
      </c>
      <c r="CP14" s="222"/>
      <c r="CQ14" s="224"/>
      <c r="CR14" s="105"/>
      <c r="CT14" s="132">
        <v>75.540000000000006</v>
      </c>
      <c r="CV14" s="222"/>
      <c r="CW14" s="224"/>
      <c r="CX14" s="105"/>
      <c r="CZ14" s="132">
        <v>97.86</v>
      </c>
      <c r="DB14" s="222"/>
      <c r="DC14" s="224"/>
      <c r="DD14" s="105"/>
      <c r="DF14" s="132">
        <v>78.58</v>
      </c>
      <c r="DH14" s="222"/>
      <c r="DI14" s="224"/>
      <c r="DJ14" s="105"/>
      <c r="DL14" s="132">
        <v>3.03</v>
      </c>
      <c r="DN14" s="222"/>
      <c r="DO14" s="105"/>
      <c r="DQ14" s="132">
        <v>3.98</v>
      </c>
      <c r="DS14" s="222"/>
      <c r="DT14" s="105"/>
      <c r="DV14" s="132">
        <v>3.01</v>
      </c>
      <c r="DX14" s="222"/>
      <c r="DY14" s="105"/>
      <c r="EA14" s="132">
        <v>4.01</v>
      </c>
      <c r="EC14" s="222"/>
      <c r="ED14" s="105"/>
      <c r="EF14" s="132">
        <v>3.46</v>
      </c>
      <c r="EH14" s="222"/>
      <c r="EI14" s="105"/>
      <c r="EK14" s="132">
        <v>2.4</v>
      </c>
      <c r="EM14" s="222"/>
      <c r="EN14" s="105"/>
      <c r="EP14" s="132">
        <v>3.4</v>
      </c>
      <c r="ER14" s="222"/>
      <c r="ES14" s="105"/>
      <c r="EU14" s="132">
        <v>2.4300000000000002</v>
      </c>
      <c r="EW14" s="222"/>
      <c r="EX14" s="105"/>
      <c r="EZ14" s="132">
        <v>0</v>
      </c>
      <c r="FB14" s="222"/>
      <c r="FC14" s="105"/>
    </row>
    <row r="15" spans="1:159" x14ac:dyDescent="0.15">
      <c r="A15" s="11" t="s">
        <v>90</v>
      </c>
      <c r="B15" s="209"/>
      <c r="D15" s="132">
        <v>142201.01</v>
      </c>
      <c r="F15" s="222">
        <v>142206.66</v>
      </c>
      <c r="H15" s="105">
        <f t="shared" si="0"/>
        <v>-5.6499999999941792</v>
      </c>
      <c r="I15" s="209"/>
      <c r="J15" s="38"/>
      <c r="K15" s="132">
        <v>146505.76</v>
      </c>
      <c r="M15" s="222">
        <v>146510.29999999999</v>
      </c>
      <c r="N15" s="132"/>
      <c r="O15" s="105">
        <f>+K15+K16-M15</f>
        <v>67.544444444472902</v>
      </c>
      <c r="P15" s="209"/>
      <c r="R15" s="132">
        <v>149827.04</v>
      </c>
      <c r="T15" s="222">
        <v>149822.24</v>
      </c>
      <c r="U15" s="224"/>
      <c r="V15" s="105">
        <f>+R15+R16-T15</f>
        <v>60.650000000023283</v>
      </c>
      <c r="W15" s="209"/>
      <c r="Y15" s="132">
        <v>151189.65</v>
      </c>
      <c r="AA15" s="222">
        <v>151240.87</v>
      </c>
      <c r="AB15" s="224"/>
      <c r="AC15" s="105">
        <f>+Y15+Y16-AA15</f>
        <v>-2.6799999999930151</v>
      </c>
      <c r="AD15" s="209"/>
      <c r="AF15" s="132">
        <v>152707.25</v>
      </c>
      <c r="AH15" s="222">
        <v>152758.57999999999</v>
      </c>
      <c r="AI15" s="224"/>
      <c r="AJ15" s="105">
        <f>+AF15+AF16-AH15</f>
        <v>-3.9999999979045242E-2</v>
      </c>
      <c r="AL15" s="132">
        <v>154046.29999999999</v>
      </c>
      <c r="AN15" s="222">
        <v>154071.24</v>
      </c>
      <c r="AO15" s="224"/>
      <c r="AP15" s="105">
        <f>+AL15+AL16-AN15</f>
        <v>-0.14000000001396984</v>
      </c>
      <c r="AR15" s="132">
        <v>152935.37</v>
      </c>
      <c r="AT15" s="222">
        <v>152978.26999999999</v>
      </c>
      <c r="AU15" s="224"/>
      <c r="AV15" s="105">
        <f>+AR15+AR16-AT15</f>
        <v>2.9999999998835847E-2</v>
      </c>
      <c r="AX15" s="132">
        <v>153119.79999999999</v>
      </c>
      <c r="AZ15" s="222">
        <v>153166.21</v>
      </c>
      <c r="BA15" s="224"/>
      <c r="BB15" s="105">
        <f>+AX15+AX16-AZ15</f>
        <v>-5.0000000017462298E-2</v>
      </c>
      <c r="BD15" s="132">
        <v>156352.95000000001</v>
      </c>
      <c r="BF15" s="222">
        <v>156405.35</v>
      </c>
      <c r="BG15" s="224"/>
      <c r="BH15" s="105">
        <f>+BD15+BD16-BF15</f>
        <v>-4.9999999988358468E-2</v>
      </c>
      <c r="BJ15" s="132">
        <v>160311.42000000001</v>
      </c>
      <c r="BL15" s="222">
        <v>160349.03</v>
      </c>
      <c r="BM15" s="224"/>
      <c r="BN15" s="105">
        <f>+BJ15+BJ16-BL15</f>
        <v>-8.999999999650754E-2</v>
      </c>
      <c r="BP15" s="132">
        <v>161890.69</v>
      </c>
      <c r="BR15" s="222">
        <v>161936.47</v>
      </c>
      <c r="BS15" s="224"/>
      <c r="BT15" s="105">
        <f>+BP15+BP16-BR15</f>
        <v>1.9999999989522621E-2</v>
      </c>
      <c r="BV15" s="132">
        <v>161268.19</v>
      </c>
      <c r="BX15" s="222">
        <v>161315.12</v>
      </c>
      <c r="BY15" s="224"/>
      <c r="BZ15" s="105">
        <f>+BV15+BV16-BX15</f>
        <v>0.13000000000465661</v>
      </c>
      <c r="CB15" s="132">
        <v>160290.18</v>
      </c>
      <c r="CD15" s="222">
        <v>160331.71</v>
      </c>
      <c r="CE15" s="224"/>
      <c r="CF15" s="105">
        <f>+CB15+CB16-CD15</f>
        <v>5.9999999997671694E-2</v>
      </c>
      <c r="CH15" s="132">
        <v>156941.42000000001</v>
      </c>
      <c r="CJ15" s="222">
        <v>156988.51999999999</v>
      </c>
      <c r="CK15" s="224"/>
      <c r="CL15" s="105">
        <f>+CH15+CH16-CJ15</f>
        <v>-3.9999999979045242E-2</v>
      </c>
      <c r="CN15" s="132">
        <v>155179.47</v>
      </c>
      <c r="CP15" s="222">
        <v>155236.79</v>
      </c>
      <c r="CQ15" s="224"/>
      <c r="CR15" s="105">
        <f>+CN15+CN16-CP15</f>
        <v>-1.0400000000081491</v>
      </c>
      <c r="CT15" s="132">
        <v>155036.04</v>
      </c>
      <c r="CV15" s="222">
        <v>155109.64000000001</v>
      </c>
      <c r="CW15" s="224"/>
      <c r="CX15" s="105">
        <f>+CT15+CT16-CV15</f>
        <v>-8.999999999650754E-2</v>
      </c>
      <c r="CZ15" s="132">
        <v>155150.67000000001</v>
      </c>
      <c r="DB15" s="222">
        <v>155244.06</v>
      </c>
      <c r="DC15" s="224"/>
      <c r="DD15" s="105">
        <f>+CZ15+CZ16-DB15</f>
        <v>8.0000000016298145E-2</v>
      </c>
      <c r="DF15" s="132">
        <v>156891.03</v>
      </c>
      <c r="DH15" s="222">
        <v>156973.97</v>
      </c>
      <c r="DI15" s="224"/>
      <c r="DJ15" s="105">
        <f>+DF15+DF16-DH15</f>
        <v>2.9999999998835847E-2</v>
      </c>
      <c r="DL15" s="132">
        <v>157531.94</v>
      </c>
      <c r="DN15" s="222">
        <v>157540.85999999999</v>
      </c>
      <c r="DO15" s="105">
        <f>+DL15+DL16-DN15</f>
        <v>-7.0899999999965075</v>
      </c>
      <c r="DQ15" s="132">
        <v>158267.32999999999</v>
      </c>
      <c r="DS15" s="222">
        <v>158288.59</v>
      </c>
      <c r="DT15" s="105">
        <f>+DQ15+DQ16-DS15</f>
        <v>0.45999999999185093</v>
      </c>
      <c r="DV15" s="132">
        <v>155153.98000000001</v>
      </c>
      <c r="DX15" s="222">
        <v>159024.45000000001</v>
      </c>
      <c r="DY15" s="105">
        <f>+DV15+DV16-DX15</f>
        <v>-3842.1700000000128</v>
      </c>
      <c r="EA15" s="132">
        <f>154673.3</f>
        <v>154673.29999999999</v>
      </c>
      <c r="EC15" s="222">
        <v>158353.43</v>
      </c>
      <c r="ED15" s="105">
        <f>+EA15+EA16-EC15</f>
        <v>-3626.929999999993</v>
      </c>
      <c r="EF15" s="132">
        <v>155487.26</v>
      </c>
      <c r="EH15" s="222">
        <v>159054</v>
      </c>
      <c r="EI15" s="105">
        <f>+EF15+EF16-EH15</f>
        <v>-3521.9100000000035</v>
      </c>
      <c r="EK15" s="132">
        <v>158367.99</v>
      </c>
      <c r="EM15" s="222">
        <v>161978.48000000001</v>
      </c>
      <c r="EN15" s="105">
        <f>+EK15+EK16-EM15</f>
        <v>-3589.5600000000268</v>
      </c>
      <c r="EP15" s="132">
        <v>160181.32999999999</v>
      </c>
      <c r="ER15" s="222">
        <v>164061.10999999999</v>
      </c>
      <c r="ES15" s="105">
        <f>+EP15+EP16-ER15</f>
        <v>-3863.3399999999965</v>
      </c>
      <c r="EU15" s="132">
        <v>162956.51</v>
      </c>
      <c r="EW15" s="222">
        <v>167217.19</v>
      </c>
      <c r="EX15" s="105">
        <f>+EU15+EU16-EW15</f>
        <v>-4258.070000000007</v>
      </c>
      <c r="EZ15" s="132">
        <v>168409.31</v>
      </c>
      <c r="FB15" s="222">
        <v>172976.27</v>
      </c>
      <c r="FC15" s="105">
        <f>+EZ15+EZ16-FB15</f>
        <v>-3782.5799999999872</v>
      </c>
    </row>
    <row r="16" spans="1:159" x14ac:dyDescent="0.15">
      <c r="A16" s="11" t="s">
        <v>89</v>
      </c>
      <c r="B16" s="209"/>
      <c r="D16" s="132">
        <v>60.13</v>
      </c>
      <c r="F16" s="222"/>
      <c r="H16" s="105">
        <f t="shared" si="0"/>
        <v>60.13</v>
      </c>
      <c r="I16" s="209"/>
      <c r="J16" s="38"/>
      <c r="K16" s="132">
        <v>72.084444444444443</v>
      </c>
      <c r="M16" s="222"/>
      <c r="N16" s="132"/>
      <c r="O16" s="105"/>
      <c r="P16" s="209"/>
      <c r="R16" s="132">
        <v>55.85</v>
      </c>
      <c r="T16" s="222"/>
      <c r="U16" s="224"/>
      <c r="V16" s="105"/>
      <c r="W16" s="209"/>
      <c r="Y16" s="132">
        <v>48.54</v>
      </c>
      <c r="AA16" s="222"/>
      <c r="AB16" s="224"/>
      <c r="AC16" s="105"/>
      <c r="AD16" s="209"/>
      <c r="AF16" s="132">
        <v>51.29</v>
      </c>
      <c r="AH16" s="222"/>
      <c r="AI16" s="224"/>
      <c r="AJ16" s="105"/>
      <c r="AL16" s="132">
        <v>24.8</v>
      </c>
      <c r="AN16" s="222"/>
      <c r="AO16" s="224"/>
      <c r="AP16" s="105"/>
      <c r="AR16" s="132">
        <v>42.93</v>
      </c>
      <c r="AT16" s="222"/>
      <c r="AU16" s="224"/>
      <c r="AV16" s="105"/>
      <c r="AX16" s="132">
        <v>46.36</v>
      </c>
      <c r="AZ16" s="222"/>
      <c r="BA16" s="224"/>
      <c r="BB16" s="105"/>
      <c r="BD16" s="132">
        <v>52.35</v>
      </c>
      <c r="BF16" s="222"/>
      <c r="BG16" s="224"/>
      <c r="BH16" s="105"/>
      <c r="BJ16" s="132">
        <v>37.520000000000003</v>
      </c>
      <c r="BL16" s="222"/>
      <c r="BM16" s="224"/>
      <c r="BN16" s="105"/>
      <c r="BP16" s="132">
        <v>45.8</v>
      </c>
      <c r="BR16" s="222"/>
      <c r="BS16" s="224"/>
      <c r="BT16" s="105"/>
      <c r="BV16" s="132">
        <v>47.06</v>
      </c>
      <c r="BX16" s="222"/>
      <c r="BY16" s="224"/>
      <c r="BZ16" s="105"/>
      <c r="CB16" s="132">
        <v>41.59</v>
      </c>
      <c r="CD16" s="222"/>
      <c r="CE16" s="224"/>
      <c r="CF16" s="105"/>
      <c r="CH16" s="132">
        <v>47.06</v>
      </c>
      <c r="CJ16" s="222"/>
      <c r="CK16" s="224"/>
      <c r="CL16" s="105"/>
      <c r="CN16" s="132">
        <v>56.28</v>
      </c>
      <c r="CP16" s="222"/>
      <c r="CQ16" s="224"/>
      <c r="CR16" s="105"/>
      <c r="CT16" s="132">
        <v>73.510000000000005</v>
      </c>
      <c r="CV16" s="222"/>
      <c r="CW16" s="224"/>
      <c r="CX16" s="105"/>
      <c r="CZ16" s="132">
        <v>93.47</v>
      </c>
      <c r="DB16" s="222"/>
      <c r="DC16" s="224"/>
      <c r="DD16" s="105"/>
      <c r="DF16" s="132">
        <v>82.97</v>
      </c>
      <c r="DH16" s="222"/>
      <c r="DI16" s="224"/>
      <c r="DJ16" s="105"/>
      <c r="DL16" s="132">
        <v>1.83</v>
      </c>
      <c r="DN16" s="222"/>
      <c r="DO16" s="105"/>
      <c r="DQ16" s="132">
        <v>21.72</v>
      </c>
      <c r="DS16" s="222"/>
      <c r="DT16" s="105"/>
      <c r="DV16" s="132">
        <v>28.3</v>
      </c>
      <c r="DX16" s="222"/>
      <c r="DY16" s="105"/>
      <c r="EA16" s="132">
        <v>53.2</v>
      </c>
      <c r="EC16" s="222"/>
      <c r="ED16" s="105"/>
      <c r="EF16" s="132">
        <v>44.83</v>
      </c>
      <c r="EH16" s="222"/>
      <c r="EI16" s="105"/>
      <c r="EK16" s="132">
        <v>20.93</v>
      </c>
      <c r="EM16" s="222"/>
      <c r="EN16" s="105"/>
      <c r="EP16" s="132">
        <v>16.440000000000001</v>
      </c>
      <c r="ER16" s="222"/>
      <c r="ES16" s="105"/>
      <c r="EU16" s="132">
        <v>2.61</v>
      </c>
      <c r="EW16" s="222"/>
      <c r="EX16" s="105"/>
      <c r="EZ16" s="132">
        <v>784.38</v>
      </c>
      <c r="FB16" s="222"/>
      <c r="FC16" s="105"/>
    </row>
    <row r="17" spans="1:160" x14ac:dyDescent="0.15">
      <c r="A17" s="11" t="s">
        <v>91</v>
      </c>
      <c r="B17" s="209"/>
      <c r="D17" s="132">
        <v>198821.74</v>
      </c>
      <c r="F17" s="222">
        <v>244193.06</v>
      </c>
      <c r="I17" s="209"/>
      <c r="J17" s="38"/>
      <c r="K17" s="132">
        <v>205249.06</v>
      </c>
      <c r="M17" s="222">
        <v>253382.48</v>
      </c>
      <c r="N17" s="132"/>
      <c r="O17" s="105">
        <f>+K17+K18+K19+K20-M17</f>
        <v>465.0711111111159</v>
      </c>
      <c r="P17" s="209"/>
      <c r="R17" s="132">
        <v>214190.77</v>
      </c>
      <c r="T17" s="222">
        <v>262916.26</v>
      </c>
      <c r="U17" s="224"/>
      <c r="V17" s="105">
        <f>+R17+R18+R19+R20-T17</f>
        <v>30.440000000002328</v>
      </c>
      <c r="W17" s="209"/>
      <c r="Y17" s="132">
        <v>221618.04</v>
      </c>
      <c r="AA17" s="222">
        <v>273895.86</v>
      </c>
      <c r="AB17" s="224"/>
      <c r="AC17" s="105">
        <f>+Y17+Y18+Y19+Y20-AA17</f>
        <v>-241.52999999991152</v>
      </c>
      <c r="AD17" s="209"/>
      <c r="AF17" s="132">
        <v>225764.06</v>
      </c>
      <c r="AH17" s="222">
        <v>281172.49</v>
      </c>
      <c r="AI17" s="224"/>
      <c r="AJ17" s="105">
        <f>+AF17+AF18+AF19+AF20-AH17</f>
        <v>-220.89000000001397</v>
      </c>
      <c r="AL17" s="132">
        <v>286087.3</v>
      </c>
      <c r="AN17" s="222">
        <v>286515.78000000003</v>
      </c>
      <c r="AO17" s="224"/>
      <c r="AP17" s="105">
        <f>+AL17+AL18-AN17</f>
        <v>-230.18000000005122</v>
      </c>
      <c r="AR17" s="132">
        <v>290068.78000000003</v>
      </c>
      <c r="AT17" s="222">
        <v>290473.73</v>
      </c>
      <c r="AU17" s="224"/>
      <c r="AV17" s="105">
        <f>+AR17+AR18-AT17</f>
        <v>-252.84999999997672</v>
      </c>
      <c r="AX17" s="132">
        <v>291708.21000000002</v>
      </c>
      <c r="AZ17" s="222">
        <v>292550.90000000002</v>
      </c>
      <c r="BA17" s="224"/>
      <c r="BB17" s="105">
        <f>+AX17+AX18-AZ17</f>
        <v>-596.10999999998603</v>
      </c>
      <c r="BD17" s="132">
        <v>295293.37</v>
      </c>
      <c r="BF17" s="222">
        <v>296244</v>
      </c>
      <c r="BG17" s="224"/>
      <c r="BH17" s="105">
        <f>+BD17+BD18-BF17</f>
        <v>-596.4100000000326</v>
      </c>
      <c r="BJ17" s="132">
        <v>298303.84000000003</v>
      </c>
      <c r="BL17" s="222">
        <v>299078.84999999998</v>
      </c>
      <c r="BM17" s="224"/>
      <c r="BN17" s="105">
        <f>+BJ17+BJ18-BL17</f>
        <v>-594.23999999993248</v>
      </c>
      <c r="BP17" s="132">
        <v>301474.7</v>
      </c>
      <c r="BR17" s="222">
        <v>302291.89</v>
      </c>
      <c r="BS17" s="224"/>
      <c r="BT17" s="105">
        <f>+BP17+BP18-BR17</f>
        <v>-694.47000000003027</v>
      </c>
      <c r="BV17" s="132">
        <v>306635.8</v>
      </c>
      <c r="BX17" s="222">
        <v>307642.33</v>
      </c>
      <c r="BY17" s="224"/>
      <c r="BZ17" s="105">
        <f>+BV17+BV18-BX17</f>
        <v>-798.32000000000698</v>
      </c>
      <c r="CB17" s="132">
        <v>310583.69</v>
      </c>
      <c r="CD17" s="222">
        <v>311846.17</v>
      </c>
      <c r="CE17" s="224"/>
      <c r="CF17" s="105">
        <f>+CB17+CB18-CD17</f>
        <v>-1100.3099999999977</v>
      </c>
      <c r="CH17" s="132">
        <v>312436.67</v>
      </c>
      <c r="CJ17" s="222">
        <v>313539.78999999998</v>
      </c>
      <c r="CK17" s="224"/>
      <c r="CL17" s="105">
        <f>+CH17+CH18-CJ17</f>
        <v>-972.15999999997439</v>
      </c>
      <c r="CN17" s="132">
        <v>312844.59000000003</v>
      </c>
      <c r="CP17" s="222">
        <v>313939.37</v>
      </c>
      <c r="CQ17" s="224"/>
      <c r="CR17" s="105">
        <f>+CN17+CN18-CP17</f>
        <v>-880.87999999994645</v>
      </c>
      <c r="CT17" s="132">
        <v>312215.98</v>
      </c>
      <c r="CV17" s="222">
        <v>313168.40000000002</v>
      </c>
      <c r="CW17" s="224"/>
      <c r="CX17" s="105">
        <f>+CT17+CT18-CV17</f>
        <v>-728.1600000000326</v>
      </c>
      <c r="CZ17" s="132">
        <v>313525.37</v>
      </c>
      <c r="DB17" s="222">
        <v>315006.52</v>
      </c>
      <c r="DC17" s="224"/>
      <c r="DD17" s="105">
        <f>+CZ17+CZ18-DB17</f>
        <v>-791.5</v>
      </c>
      <c r="DF17" s="132">
        <v>312043.32</v>
      </c>
      <c r="DH17" s="222">
        <v>313510.27</v>
      </c>
      <c r="DI17" s="224"/>
      <c r="DJ17" s="105">
        <f>+DF17+DF18-DH17</f>
        <v>-912.89000000001397</v>
      </c>
      <c r="DL17" s="132">
        <v>307302.49</v>
      </c>
      <c r="DN17" s="222">
        <v>308727.46000000002</v>
      </c>
      <c r="DO17" s="105">
        <f>+DL17+DL18-DN17</f>
        <v>-1006.070000000007</v>
      </c>
      <c r="DQ17" s="132">
        <v>306210.46000000002</v>
      </c>
      <c r="DS17" s="222">
        <v>307650.45</v>
      </c>
      <c r="DT17" s="105">
        <f>+DQ17+DQ18-DS17</f>
        <v>-623.64000000001397</v>
      </c>
      <c r="DV17" s="132">
        <v>289991.40000000002</v>
      </c>
      <c r="DX17" s="222">
        <v>306775.55</v>
      </c>
      <c r="DY17" s="105">
        <f>+DV17+DV18-DX17</f>
        <v>-16075.799999999988</v>
      </c>
      <c r="EA17" s="132">
        <f>291991.05</f>
        <v>291991.05</v>
      </c>
      <c r="EC17" s="222">
        <v>308269.95</v>
      </c>
      <c r="ED17" s="105">
        <f>+EA17+EA18-EC17</f>
        <v>-15491.320000000007</v>
      </c>
      <c r="EF17" s="132">
        <v>292761.26</v>
      </c>
      <c r="EH17" s="222">
        <v>308471.44</v>
      </c>
      <c r="EI17" s="105">
        <f>+EF17+EF18-EH17</f>
        <v>-14897.080000000016</v>
      </c>
      <c r="EK17" s="132">
        <v>292791.96000000002</v>
      </c>
      <c r="EM17" s="222">
        <v>311156.09000000003</v>
      </c>
      <c r="EN17" s="105">
        <f>+EK17+EK18-EM17</f>
        <v>-17546.119999999995</v>
      </c>
      <c r="EP17" s="132">
        <v>292193.21000000002</v>
      </c>
      <c r="ER17" s="222">
        <v>307362.19</v>
      </c>
      <c r="ES17" s="105">
        <f>+EP17+EP18-ER17</f>
        <v>-14383.52999999997</v>
      </c>
      <c r="EU17" s="132">
        <v>287827.46000000002</v>
      </c>
      <c r="EW17" s="222">
        <v>304445.21999999997</v>
      </c>
      <c r="EX17" s="105">
        <f>+EU17+EU18-EW17</f>
        <v>-15943.29999999993</v>
      </c>
      <c r="EZ17" s="132">
        <v>288199.32</v>
      </c>
      <c r="FB17" s="222">
        <v>306798.53000000003</v>
      </c>
      <c r="FC17" s="105">
        <f>+EZ17+EZ18-FB17</f>
        <v>-18599.210000000021</v>
      </c>
    </row>
    <row r="18" spans="1:160" x14ac:dyDescent="0.15">
      <c r="A18" s="11" t="s">
        <v>89</v>
      </c>
      <c r="B18" s="209"/>
      <c r="D18" s="132">
        <v>277.43</v>
      </c>
      <c r="F18" s="222"/>
      <c r="H18" s="105">
        <f>SUM(D17:D20)-F17</f>
        <v>258.27999999999884</v>
      </c>
      <c r="I18" s="209"/>
      <c r="J18" s="38"/>
      <c r="K18" s="132">
        <v>387.14111111111112</v>
      </c>
      <c r="M18" s="222"/>
      <c r="N18" s="132"/>
      <c r="O18" s="105"/>
      <c r="P18" s="209"/>
      <c r="R18" s="132">
        <v>189.69</v>
      </c>
      <c r="T18" s="222"/>
      <c r="U18" s="224"/>
      <c r="V18" s="105"/>
      <c r="W18" s="209"/>
      <c r="Y18" s="132">
        <v>98.48</v>
      </c>
      <c r="AA18" s="222"/>
      <c r="AB18" s="224"/>
      <c r="AC18" s="105"/>
      <c r="AD18" s="209"/>
      <c r="AF18" s="132">
        <v>320.23</v>
      </c>
      <c r="AH18" s="222"/>
      <c r="AI18" s="224"/>
      <c r="AJ18" s="105"/>
      <c r="AL18" s="132">
        <v>198.3</v>
      </c>
      <c r="AN18" s="222"/>
      <c r="AO18" s="224"/>
      <c r="AP18" s="105"/>
      <c r="AR18" s="132">
        <v>152.1</v>
      </c>
      <c r="AT18" s="222"/>
      <c r="AU18" s="224"/>
      <c r="AV18" s="105"/>
      <c r="AX18" s="132">
        <v>246.58</v>
      </c>
      <c r="AZ18" s="222"/>
      <c r="BA18" s="224"/>
      <c r="BB18" s="105"/>
      <c r="BD18" s="132">
        <v>354.22</v>
      </c>
      <c r="BF18" s="222"/>
      <c r="BG18" s="224"/>
      <c r="BH18" s="105"/>
      <c r="BJ18" s="132">
        <v>180.77</v>
      </c>
      <c r="BL18" s="222"/>
      <c r="BM18" s="224"/>
      <c r="BN18" s="105"/>
      <c r="BP18" s="132">
        <v>122.72</v>
      </c>
      <c r="BR18" s="222"/>
      <c r="BS18" s="224"/>
      <c r="BT18" s="105"/>
      <c r="BV18" s="132">
        <v>208.21</v>
      </c>
      <c r="BX18" s="222"/>
      <c r="BY18" s="224"/>
      <c r="BZ18" s="105"/>
      <c r="CB18" s="132">
        <v>162.16999999999999</v>
      </c>
      <c r="CD18" s="222"/>
      <c r="CE18" s="224"/>
      <c r="CF18" s="105"/>
      <c r="CH18" s="132">
        <v>130.96</v>
      </c>
      <c r="CJ18" s="222"/>
      <c r="CK18" s="224"/>
      <c r="CL18" s="105"/>
      <c r="CN18" s="132">
        <v>213.9</v>
      </c>
      <c r="CP18" s="222"/>
      <c r="CQ18" s="224"/>
      <c r="CR18" s="105"/>
      <c r="CT18" s="132">
        <v>224.26</v>
      </c>
      <c r="CV18" s="222"/>
      <c r="CW18" s="224"/>
      <c r="CX18" s="105"/>
      <c r="CZ18" s="132">
        <v>689.65</v>
      </c>
      <c r="DB18" s="222"/>
      <c r="DC18" s="224"/>
      <c r="DD18" s="105"/>
      <c r="DF18" s="132">
        <v>554.05999999999995</v>
      </c>
      <c r="DH18" s="222"/>
      <c r="DI18" s="224"/>
      <c r="DJ18" s="105"/>
      <c r="DL18" s="132">
        <v>418.9</v>
      </c>
      <c r="DN18" s="222"/>
      <c r="DO18" s="105"/>
      <c r="DQ18" s="132">
        <v>816.35</v>
      </c>
      <c r="DS18" s="222"/>
      <c r="DT18" s="105"/>
      <c r="DV18" s="132">
        <v>708.35</v>
      </c>
      <c r="DX18" s="222"/>
      <c r="DY18" s="105"/>
      <c r="EA18" s="132">
        <v>787.58</v>
      </c>
      <c r="EC18" s="222"/>
      <c r="ED18" s="105"/>
      <c r="EF18" s="132">
        <v>813.1</v>
      </c>
      <c r="EH18" s="222"/>
      <c r="EI18" s="105"/>
      <c r="EK18" s="132">
        <v>818.01</v>
      </c>
      <c r="EM18" s="222"/>
      <c r="EN18" s="105"/>
      <c r="EP18" s="132">
        <v>785.45</v>
      </c>
      <c r="ER18" s="222"/>
      <c r="ES18" s="105"/>
      <c r="EU18" s="132">
        <v>674.46</v>
      </c>
      <c r="EW18" s="222"/>
      <c r="EX18" s="105"/>
      <c r="EZ18" s="132">
        <v>0</v>
      </c>
      <c r="FB18" s="222"/>
      <c r="FC18" s="105"/>
    </row>
    <row r="19" spans="1:160" x14ac:dyDescent="0.15">
      <c r="A19" s="11" t="s">
        <v>495</v>
      </c>
      <c r="B19" s="209"/>
      <c r="D19" s="132">
        <f>42622.61+8.36</f>
        <v>42630.97</v>
      </c>
      <c r="F19" s="222"/>
      <c r="H19" s="105"/>
      <c r="I19" s="209"/>
      <c r="K19" s="132">
        <v>45208.29</v>
      </c>
      <c r="M19" s="222"/>
      <c r="N19" s="132"/>
      <c r="O19" s="105"/>
      <c r="P19" s="209"/>
      <c r="R19" s="132">
        <v>45542</v>
      </c>
      <c r="T19" s="41"/>
      <c r="U19" s="124"/>
      <c r="V19" s="105"/>
      <c r="W19" s="209"/>
      <c r="Y19" s="132">
        <v>48566.41</v>
      </c>
      <c r="AA19" s="41"/>
      <c r="AB19" s="124"/>
      <c r="AC19" s="105"/>
      <c r="AD19" s="209"/>
      <c r="AF19" s="132">
        <v>51396.2</v>
      </c>
      <c r="AH19" s="41"/>
      <c r="AI19" s="124"/>
      <c r="AJ19" s="105"/>
      <c r="AL19" s="225"/>
      <c r="AN19" s="41"/>
      <c r="AO19" s="124"/>
      <c r="AP19" s="105"/>
      <c r="AR19" s="225"/>
      <c r="AT19" s="41"/>
      <c r="AU19" s="124"/>
      <c r="AV19" s="105"/>
      <c r="AX19" s="225"/>
      <c r="AZ19" s="41"/>
      <c r="BA19" s="124"/>
      <c r="BB19" s="105"/>
      <c r="BD19" s="225"/>
      <c r="BF19" s="41"/>
      <c r="BG19" s="124"/>
      <c r="BH19" s="105"/>
      <c r="BJ19" s="225"/>
      <c r="BL19" s="41"/>
      <c r="BM19" s="124"/>
      <c r="BN19" s="105"/>
      <c r="BP19" s="225"/>
      <c r="BR19" s="41"/>
      <c r="BS19" s="124"/>
      <c r="BT19" s="105"/>
      <c r="BV19" s="225"/>
      <c r="BX19" s="41"/>
      <c r="BY19" s="124"/>
      <c r="BZ19" s="105"/>
      <c r="CB19" s="225"/>
      <c r="CD19" s="41"/>
      <c r="CE19" s="124"/>
      <c r="CF19" s="105"/>
      <c r="CH19" s="225"/>
      <c r="CJ19" s="41"/>
      <c r="CK19" s="124"/>
      <c r="CL19" s="105"/>
      <c r="CN19" s="225"/>
      <c r="CP19" s="41"/>
      <c r="CQ19" s="124"/>
      <c r="CR19" s="105"/>
      <c r="CT19" s="225"/>
      <c r="CV19" s="41"/>
      <c r="CW19" s="124"/>
      <c r="CX19" s="105"/>
      <c r="CZ19" s="225"/>
      <c r="DB19" s="41"/>
      <c r="DC19" s="124"/>
      <c r="DD19" s="105"/>
      <c r="DF19" s="225"/>
      <c r="DH19" s="41"/>
      <c r="DI19" s="124"/>
      <c r="DJ19" s="105"/>
      <c r="DL19" s="225"/>
      <c r="DN19" s="41"/>
      <c r="DO19" s="105"/>
      <c r="DQ19" s="225"/>
      <c r="DS19" s="41"/>
      <c r="DT19" s="105"/>
      <c r="DV19" s="225">
        <f>1740.48+97.87</f>
        <v>1838.35</v>
      </c>
      <c r="DX19" s="41">
        <v>2060.6</v>
      </c>
      <c r="DY19" s="105"/>
      <c r="EA19" s="132">
        <f>2492.53+42.7</f>
        <v>2535.23</v>
      </c>
      <c r="EC19" s="222">
        <v>2921.32</v>
      </c>
      <c r="ED19" s="105"/>
      <c r="EF19" s="226">
        <v>3172.69</v>
      </c>
      <c r="EG19" s="227"/>
      <c r="EH19" s="228">
        <v>3550</v>
      </c>
      <c r="EI19" s="229"/>
      <c r="EJ19" s="230"/>
      <c r="EK19" s="226">
        <f>3606.52+56.21</f>
        <v>3662.73</v>
      </c>
      <c r="EL19" s="227"/>
      <c r="EM19" s="228">
        <v>3657.89</v>
      </c>
      <c r="EN19" s="105"/>
      <c r="EO19" s="230"/>
      <c r="EP19" s="226">
        <f>4244.75+67.04</f>
        <v>4311.79</v>
      </c>
      <c r="EQ19" s="227"/>
      <c r="ER19" s="228">
        <f>4679.71+101.65</f>
        <v>4781.3599999999997</v>
      </c>
      <c r="ES19" s="105"/>
      <c r="ET19" s="230"/>
      <c r="EU19" s="226">
        <f>4964.4+86.6</f>
        <v>5051</v>
      </c>
      <c r="EV19" s="227"/>
      <c r="EW19" s="228">
        <v>5553</v>
      </c>
      <c r="EX19" s="105"/>
      <c r="EY19" s="230"/>
      <c r="EZ19" s="226">
        <f>5401.04+72.17</f>
        <v>5473.21</v>
      </c>
      <c r="FA19" s="227"/>
      <c r="FB19" s="228">
        <v>5577.56</v>
      </c>
      <c r="FC19" s="105"/>
      <c r="FD19" s="39"/>
    </row>
    <row r="20" spans="1:160" ht="11.25" thickBot="1" x14ac:dyDescent="0.2">
      <c r="A20" s="11" t="s">
        <v>496</v>
      </c>
      <c r="B20" s="209"/>
      <c r="D20" s="146">
        <f>2706.92+14.28</f>
        <v>2721.2000000000003</v>
      </c>
      <c r="F20" s="231"/>
      <c r="H20" s="232"/>
      <c r="I20" s="209"/>
      <c r="K20" s="146">
        <v>3003.06</v>
      </c>
      <c r="M20" s="231"/>
      <c r="N20" s="132"/>
      <c r="O20" s="232"/>
      <c r="P20" s="209"/>
      <c r="R20" s="146">
        <v>3024.24</v>
      </c>
      <c r="T20" s="231"/>
      <c r="U20" s="224"/>
      <c r="V20" s="232"/>
      <c r="W20" s="209"/>
      <c r="Y20" s="146">
        <v>3371.4</v>
      </c>
      <c r="AA20" s="231"/>
      <c r="AB20" s="224"/>
      <c r="AC20" s="232"/>
      <c r="AD20" s="209"/>
      <c r="AF20" s="146">
        <v>3471.11</v>
      </c>
      <c r="AH20" s="231"/>
      <c r="AI20" s="224"/>
      <c r="AJ20" s="232"/>
      <c r="AL20" s="233"/>
      <c r="AN20" s="231"/>
      <c r="AO20" s="224"/>
      <c r="AP20" s="232"/>
      <c r="AR20" s="233"/>
      <c r="AT20" s="222"/>
      <c r="AU20" s="224"/>
      <c r="AV20" s="232"/>
      <c r="AX20" s="233"/>
      <c r="AZ20" s="222"/>
      <c r="BA20" s="224"/>
      <c r="BB20" s="232"/>
      <c r="BD20" s="233"/>
      <c r="BF20" s="222"/>
      <c r="BG20" s="224"/>
      <c r="BH20" s="232"/>
      <c r="BJ20" s="233"/>
      <c r="BL20" s="222"/>
      <c r="BM20" s="224"/>
      <c r="BN20" s="232"/>
      <c r="BP20" s="233"/>
      <c r="BR20" s="222"/>
      <c r="BS20" s="224"/>
      <c r="BT20" s="232"/>
      <c r="BV20" s="233"/>
      <c r="BX20" s="222"/>
      <c r="BY20" s="224"/>
      <c r="BZ20" s="232"/>
      <c r="CB20" s="233"/>
      <c r="CD20" s="222"/>
      <c r="CE20" s="224"/>
      <c r="CF20" s="232"/>
      <c r="CH20" s="233"/>
      <c r="CJ20" s="222"/>
      <c r="CK20" s="224"/>
      <c r="CL20" s="232"/>
      <c r="CN20" s="233"/>
      <c r="CP20" s="222"/>
      <c r="CQ20" s="224"/>
      <c r="CR20" s="232"/>
      <c r="CT20" s="233"/>
      <c r="CV20" s="222"/>
      <c r="CW20" s="224"/>
      <c r="CX20" s="232"/>
      <c r="CZ20" s="233"/>
      <c r="DB20" s="222"/>
      <c r="DC20" s="224"/>
      <c r="DD20" s="232"/>
      <c r="DF20" s="233"/>
      <c r="DH20" s="222"/>
      <c r="DI20" s="224"/>
      <c r="DJ20" s="232"/>
      <c r="DL20" s="233"/>
      <c r="DN20" s="222"/>
      <c r="DO20" s="232"/>
      <c r="DQ20" s="233"/>
      <c r="DS20" s="222"/>
      <c r="DT20" s="232"/>
      <c r="DV20" s="233">
        <f>8565.51+3842.24+15467.39</f>
        <v>27875.14</v>
      </c>
      <c r="DX20" s="222"/>
      <c r="DY20" s="232"/>
      <c r="EA20" s="146">
        <f>8285.44+3627.04+14862.93</f>
        <v>26775.41</v>
      </c>
      <c r="EC20" s="222"/>
      <c r="ED20" s="232"/>
      <c r="EF20" s="234">
        <f>8782.83+3630.49+14398.87</f>
        <v>26812.190000000002</v>
      </c>
      <c r="EG20" s="227"/>
      <c r="EH20" s="228"/>
      <c r="EI20" s="235"/>
      <c r="EJ20" s="230"/>
      <c r="EK20" s="234">
        <f>8653.45+3662.25+14447.21</f>
        <v>26762.91</v>
      </c>
      <c r="EL20" s="227"/>
      <c r="EM20" s="228"/>
      <c r="EN20" s="232"/>
      <c r="EO20" s="230"/>
      <c r="EP20" s="234">
        <f>8781.55+3886.02+14654.86</f>
        <v>27322.43</v>
      </c>
      <c r="EQ20" s="227"/>
      <c r="ER20" s="228"/>
      <c r="ES20" s="232"/>
      <c r="ET20" s="230"/>
      <c r="EU20" s="234">
        <f>9076.52+4255.26+15179.77</f>
        <v>28511.550000000003</v>
      </c>
      <c r="EV20" s="227"/>
      <c r="EW20" s="228"/>
      <c r="EX20" s="232"/>
      <c r="EY20" s="230"/>
      <c r="EZ20" s="234">
        <f>9507.83+4529.84+16100.54</f>
        <v>30138.21</v>
      </c>
      <c r="FA20" s="227"/>
      <c r="FB20" s="228"/>
      <c r="FC20" s="232"/>
    </row>
    <row r="21" spans="1:160" x14ac:dyDescent="0.15">
      <c r="A21" s="236" t="s">
        <v>92</v>
      </c>
      <c r="B21" s="209"/>
      <c r="D21" s="237">
        <f>SUM(D7:D20)</f>
        <v>866235.3899999999</v>
      </c>
      <c r="F21" s="238">
        <f>SUM(F7:F20)</f>
        <v>865795.56</v>
      </c>
      <c r="H21" s="105">
        <f>+D21-F21</f>
        <v>439.82999999984168</v>
      </c>
      <c r="I21" s="209"/>
      <c r="K21" s="237">
        <f>SUM(K7:K20)</f>
        <v>882580.52888888901</v>
      </c>
      <c r="M21" s="238">
        <f>SUM(M7:M20)</f>
        <v>881914.28</v>
      </c>
      <c r="N21" s="237"/>
      <c r="O21" s="105">
        <f>+K21-M21</f>
        <v>666.2488888889784</v>
      </c>
      <c r="P21" s="209"/>
      <c r="R21" s="239">
        <f>SUM(R7:R20)</f>
        <v>899082.95</v>
      </c>
      <c r="S21" s="237"/>
      <c r="T21" s="238">
        <f>SUM(T7:T18)</f>
        <v>898853.12</v>
      </c>
      <c r="U21" s="240"/>
      <c r="V21" s="105">
        <f>+R21-T21</f>
        <v>229.82999999995809</v>
      </c>
      <c r="W21" s="209"/>
      <c r="Y21" s="239">
        <f>SUM(Y7:Y20)</f>
        <v>917503.67</v>
      </c>
      <c r="Z21" s="237"/>
      <c r="AA21" s="238">
        <f>SUM(AA7:AA18)</f>
        <v>917747.84</v>
      </c>
      <c r="AB21" s="240"/>
      <c r="AC21" s="105">
        <f>+Y21-AA21</f>
        <v>-244.16999999992549</v>
      </c>
      <c r="AD21" s="209"/>
      <c r="AF21" s="239">
        <f>SUM(AF7:AF20)</f>
        <v>929913.67</v>
      </c>
      <c r="AG21" s="237"/>
      <c r="AH21" s="238">
        <f>SUM(AH7:AH18)</f>
        <v>930134.55999999994</v>
      </c>
      <c r="AI21" s="240"/>
      <c r="AJ21" s="105">
        <f>+AF21-AH21</f>
        <v>-220.88999999989755</v>
      </c>
      <c r="AL21" s="239">
        <f>SUM(AL7:AL18)</f>
        <v>938973.90000000014</v>
      </c>
      <c r="AM21" s="237"/>
      <c r="AN21" s="238">
        <f>SUM(AN7:AN18)</f>
        <v>939204.63</v>
      </c>
      <c r="AO21" s="240"/>
      <c r="AP21" s="105">
        <f>+AL21-AN21</f>
        <v>-230.72999999986496</v>
      </c>
      <c r="AR21" s="239">
        <f>SUM(AR7:AR18)</f>
        <v>940394.71</v>
      </c>
      <c r="AS21" s="237"/>
      <c r="AT21" s="238">
        <f>SUM(AT7:AT20)</f>
        <v>940647.55999999994</v>
      </c>
      <c r="AU21" s="240"/>
      <c r="AV21" s="105">
        <f>+AR21-AT21</f>
        <v>-252.84999999997672</v>
      </c>
      <c r="AX21" s="239">
        <f>SUM(AX7:AX18)</f>
        <v>942322.9</v>
      </c>
      <c r="AY21" s="237"/>
      <c r="AZ21" s="238">
        <f>SUM(AZ7:AZ20)</f>
        <v>942918.92</v>
      </c>
      <c r="BA21" s="240"/>
      <c r="BB21" s="105">
        <f>+AX21-AZ21</f>
        <v>-596.02000000001863</v>
      </c>
      <c r="BD21" s="239">
        <f>SUM(BD7:BD18)</f>
        <v>947621.96</v>
      </c>
      <c r="BE21" s="237"/>
      <c r="BF21" s="238">
        <f>SUM(BF7:BF20)</f>
        <v>948218.39</v>
      </c>
      <c r="BG21" s="240"/>
      <c r="BH21" s="105">
        <f>+BD21-BF21</f>
        <v>-596.43000000005122</v>
      </c>
      <c r="BJ21" s="239">
        <f>SUM(BJ7:BJ18)</f>
        <v>949293.4700000002</v>
      </c>
      <c r="BK21" s="237"/>
      <c r="BL21" s="238">
        <f>SUM(BL7:BL20)</f>
        <v>949887.84</v>
      </c>
      <c r="BM21" s="240"/>
      <c r="BN21" s="105">
        <f>+BJ21-BL21</f>
        <v>-594.36999999976251</v>
      </c>
      <c r="BP21" s="239">
        <f>SUM(BP7:BP18)</f>
        <v>952113.10999999987</v>
      </c>
      <c r="BQ21" s="237"/>
      <c r="BR21" s="238">
        <f>SUM(BR7:BR20)</f>
        <v>952807.63</v>
      </c>
      <c r="BS21" s="240"/>
      <c r="BT21" s="105">
        <f>+BP21-BR21</f>
        <v>-694.52000000013504</v>
      </c>
      <c r="BV21" s="239">
        <f>SUM(BV7:BV18)</f>
        <v>955613.73</v>
      </c>
      <c r="BW21" s="237"/>
      <c r="BX21" s="238">
        <f>SUM(BX7:BX20)</f>
        <v>956411.78</v>
      </c>
      <c r="BY21" s="240"/>
      <c r="BZ21" s="105">
        <f>+BV21-BX21</f>
        <v>-798.05000000004657</v>
      </c>
      <c r="CB21" s="239">
        <f>SUM(CB7:CB18)</f>
        <v>960592.45000000007</v>
      </c>
      <c r="CC21" s="237"/>
      <c r="CD21" s="238">
        <f>SUM(CD7:CD20)</f>
        <v>961692.74</v>
      </c>
      <c r="CE21" s="240"/>
      <c r="CF21" s="105">
        <f>+CB21-CD21</f>
        <v>-1100.2899999999208</v>
      </c>
      <c r="CH21" s="239">
        <f>SUM(CH7:CH18)</f>
        <v>961749.04</v>
      </c>
      <c r="CI21" s="237"/>
      <c r="CJ21" s="238">
        <f>SUM(CJ7:CJ20)</f>
        <v>962721.34000000008</v>
      </c>
      <c r="CK21" s="240"/>
      <c r="CL21" s="105">
        <f>+CH21-CJ21</f>
        <v>-972.30000000004657</v>
      </c>
      <c r="CN21" s="241">
        <f>SUM(CN7:CN18)</f>
        <v>963432.93</v>
      </c>
      <c r="CO21" s="237"/>
      <c r="CP21" s="241">
        <f>SUM(CP7:CP20)</f>
        <v>968069.95</v>
      </c>
      <c r="CQ21" s="240"/>
      <c r="CR21" s="105">
        <f>+CN21-CP21</f>
        <v>-4637.0199999999022</v>
      </c>
      <c r="CT21" s="241">
        <f>SUM(CT7:CT18)</f>
        <v>968266.08</v>
      </c>
      <c r="CU21" s="237"/>
      <c r="CV21" s="241">
        <f>SUM(CV7:CV20)</f>
        <v>976648.98</v>
      </c>
      <c r="CW21" s="240"/>
      <c r="CX21" s="105">
        <f>+CT21-CV21</f>
        <v>-8382.9000000000233</v>
      </c>
      <c r="CZ21" s="241">
        <f>SUM(CZ7:CZ18)</f>
        <v>974747.82000000007</v>
      </c>
      <c r="DA21" s="237"/>
      <c r="DB21" s="241">
        <f>SUM(DB7:DB20)</f>
        <v>983524.47</v>
      </c>
      <c r="DC21" s="240"/>
      <c r="DD21" s="105">
        <f>+CZ21-DB21</f>
        <v>-8776.6499999999069</v>
      </c>
      <c r="DF21" s="241">
        <f>SUM(DF7:DF18)</f>
        <v>978626.10000000009</v>
      </c>
      <c r="DG21" s="237"/>
      <c r="DH21" s="241">
        <f>SUM(DH7:DH20)</f>
        <v>987495.47</v>
      </c>
      <c r="DI21" s="240"/>
      <c r="DJ21" s="105">
        <f>+DF21-DH21</f>
        <v>-8869.3699999998789</v>
      </c>
      <c r="DL21" s="242">
        <f>SUM(DL7:DL18)</f>
        <v>984285.3600000001</v>
      </c>
      <c r="DM21" s="237"/>
      <c r="DN21" s="241">
        <f>SUM(DN7:DN20)</f>
        <v>985296.84000000008</v>
      </c>
      <c r="DO21" s="105">
        <f>+DL21-DN21</f>
        <v>-1011.4799999999814</v>
      </c>
      <c r="DQ21" s="242">
        <f>SUM(DQ7:DQ18)</f>
        <v>987757.43999999983</v>
      </c>
      <c r="DR21" s="237"/>
      <c r="DS21" s="241">
        <f>SUM(DS7:DS20)</f>
        <v>988380.16999999993</v>
      </c>
      <c r="DT21" s="105">
        <f>+DQ21-DS21</f>
        <v>-622.73000000009779</v>
      </c>
      <c r="DV21" s="242">
        <f>SUM(DV7:DV18,DV20)</f>
        <v>1002609.2500000001</v>
      </c>
      <c r="DW21" s="237"/>
      <c r="DX21" s="241">
        <f>SUM(DX8:DX18)</f>
        <v>1003217.3200000001</v>
      </c>
      <c r="DY21" s="105">
        <f>+DV21-DX21</f>
        <v>-608.06999999994878</v>
      </c>
      <c r="EA21" s="243">
        <f>SUM(EA7:EA18,EA20)</f>
        <v>1012915.3</v>
      </c>
      <c r="EB21" s="237"/>
      <c r="EC21" s="241">
        <f>SUM(EC8:EC18)</f>
        <v>1013528.4199999999</v>
      </c>
      <c r="ED21" s="105">
        <f>+EA21-EC21</f>
        <v>-613.11999999987893</v>
      </c>
      <c r="EF21" s="243">
        <f>SUM(EF8:EF18)</f>
        <v>1008007.6199999999</v>
      </c>
      <c r="EG21" s="105"/>
      <c r="EH21" s="229">
        <f>SUM(EH8:EH18)</f>
        <v>1034684.1100000001</v>
      </c>
      <c r="EI21" s="105">
        <f>+EF21-EH21</f>
        <v>-26676.490000000224</v>
      </c>
      <c r="EK21" s="243">
        <f>SUM(EK8:EK18)</f>
        <v>1028912.3800000001</v>
      </c>
      <c r="EL21" s="105"/>
      <c r="EM21" s="229">
        <f>SUM(EM8:EM18)</f>
        <v>1057458.1300000001</v>
      </c>
      <c r="EN21" s="105">
        <f>+EK21-EM21</f>
        <v>-28545.75</v>
      </c>
      <c r="EP21" s="243">
        <f>SUM(EP8:EP18)</f>
        <v>1036805.2399999998</v>
      </c>
      <c r="EQ21" s="105"/>
      <c r="ER21" s="229">
        <f>SUM(ER8:ER18)</f>
        <v>1063767.8399999999</v>
      </c>
      <c r="ES21" s="105">
        <f>+EP21-ER21</f>
        <v>-26962.600000000093</v>
      </c>
      <c r="EU21" s="243">
        <f>SUM(EU8:EU18)</f>
        <v>1036301.6399999999</v>
      </c>
      <c r="EV21" s="105"/>
      <c r="EW21" s="229">
        <f>SUM(EW8:EW18)</f>
        <v>1065581.03</v>
      </c>
      <c r="EX21" s="105">
        <f>+EU21-EW21</f>
        <v>-29279.39000000013</v>
      </c>
      <c r="EZ21" s="243">
        <f>SUM(EZ8:EZ18)</f>
        <v>1042351.44</v>
      </c>
      <c r="FA21" s="105"/>
      <c r="FB21" s="229">
        <f>SUM(FB8:FB18)</f>
        <v>1073663.03</v>
      </c>
      <c r="FC21" s="105">
        <f>+EZ21-FB21</f>
        <v>-31311.590000000084</v>
      </c>
    </row>
    <row r="22" spans="1:160" x14ac:dyDescent="0.15">
      <c r="B22" s="209"/>
      <c r="F22" s="244"/>
      <c r="H22" s="105"/>
      <c r="I22" s="209"/>
      <c r="J22" s="175"/>
      <c r="K22" s="245"/>
      <c r="M22" s="244"/>
      <c r="N22" s="132"/>
      <c r="O22" s="105"/>
      <c r="P22" s="209"/>
      <c r="R22" s="245"/>
      <c r="S22" s="245"/>
      <c r="T22" s="244"/>
      <c r="U22" s="124"/>
      <c r="V22" s="105"/>
      <c r="W22" s="209"/>
      <c r="X22" s="11" t="s">
        <v>176</v>
      </c>
      <c r="Y22" s="245">
        <v>5521.43</v>
      </c>
      <c r="Z22" s="245"/>
      <c r="AA22" s="244">
        <v>5513.97</v>
      </c>
      <c r="AB22" s="124"/>
      <c r="AC22" s="105"/>
      <c r="AD22" s="209"/>
      <c r="AE22" s="11" t="s">
        <v>176</v>
      </c>
      <c r="AF22" s="245">
        <f>5536.44+714.55</f>
        <v>6250.99</v>
      </c>
      <c r="AG22" s="245"/>
      <c r="AH22" s="244">
        <f>6250.85+43.47</f>
        <v>6294.3200000000006</v>
      </c>
      <c r="AI22" s="124"/>
      <c r="AJ22" s="105"/>
      <c r="AK22" s="210" t="s">
        <v>176</v>
      </c>
      <c r="AL22" s="245">
        <f>6170.6+818.9</f>
        <v>6989.5</v>
      </c>
      <c r="AM22" s="245"/>
      <c r="AN22" s="244">
        <f>6989.66+40.52</f>
        <v>7030.18</v>
      </c>
      <c r="AO22" s="124"/>
      <c r="AP22" s="105"/>
      <c r="AQ22" s="210" t="s">
        <v>176</v>
      </c>
      <c r="AR22" s="245">
        <f>6535+884.68</f>
        <v>7419.68</v>
      </c>
      <c r="AS22" s="245"/>
      <c r="AT22" s="244">
        <f>7419.62+38.45</f>
        <v>7458.07</v>
      </c>
      <c r="AU22" s="124"/>
      <c r="AV22" s="105"/>
      <c r="AW22" s="210" t="s">
        <v>176</v>
      </c>
      <c r="AX22" s="245">
        <f>6993.85+931.92</f>
        <v>7925.77</v>
      </c>
      <c r="AY22" s="245"/>
      <c r="AZ22" s="244">
        <f>7925.77+39.56</f>
        <v>7965.3300000000008</v>
      </c>
      <c r="BA22" s="124"/>
      <c r="BB22" s="105"/>
      <c r="BC22" s="210" t="s">
        <v>176</v>
      </c>
      <c r="BD22" s="245">
        <f>7367.97+937.72</f>
        <v>8305.69</v>
      </c>
      <c r="BE22" s="245"/>
      <c r="BF22" s="244">
        <f>8346.96+43.48</f>
        <v>8390.4399999999987</v>
      </c>
      <c r="BG22" s="124"/>
      <c r="BH22" s="105"/>
      <c r="BI22" s="210" t="s">
        <v>176</v>
      </c>
      <c r="BJ22" s="245">
        <f>7855.39+945.22</f>
        <v>8800.61</v>
      </c>
      <c r="BK22" s="245"/>
      <c r="BL22" s="244">
        <f>8808.86+70.52</f>
        <v>8879.380000000001</v>
      </c>
      <c r="BM22" s="124"/>
      <c r="BN22" s="105"/>
      <c r="BO22" s="210" t="s">
        <v>176</v>
      </c>
      <c r="BP22" s="245">
        <f>8455.72+886.05</f>
        <v>9341.7699999999986</v>
      </c>
      <c r="BQ22" s="245"/>
      <c r="BR22" s="244">
        <f>9341.73+104.6</f>
        <v>9446.33</v>
      </c>
      <c r="BS22" s="124"/>
      <c r="BT22" s="105"/>
      <c r="BU22" s="210" t="s">
        <v>176</v>
      </c>
      <c r="BV22" s="245">
        <f>8847.01+913.62</f>
        <v>9760.630000000001</v>
      </c>
      <c r="BW22" s="245"/>
      <c r="BX22" s="244">
        <f>9816.6+109.05</f>
        <v>9925.65</v>
      </c>
      <c r="BY22" s="124"/>
      <c r="BZ22" s="105"/>
      <c r="CA22" s="210" t="s">
        <v>176</v>
      </c>
      <c r="CB22" s="245">
        <f>9251.06+1004.68</f>
        <v>10255.74</v>
      </c>
      <c r="CC22" s="245"/>
      <c r="CD22" s="244">
        <f>10255.76+109.16</f>
        <v>10364.92</v>
      </c>
      <c r="CE22" s="124"/>
      <c r="CF22" s="105"/>
      <c r="CG22" s="210" t="s">
        <v>176</v>
      </c>
      <c r="CH22" s="245">
        <f>9790.99+1020.27</f>
        <v>10811.26</v>
      </c>
      <c r="CI22" s="245"/>
      <c r="CJ22" s="244">
        <f>10877.61+100.34</f>
        <v>10977.95</v>
      </c>
      <c r="CK22" s="124"/>
      <c r="CL22" s="105"/>
      <c r="CM22" s="210" t="s">
        <v>176</v>
      </c>
      <c r="CN22" s="245">
        <f>10152.22+1029.6</f>
        <v>11181.82</v>
      </c>
      <c r="CO22" s="245"/>
      <c r="CP22" s="244">
        <f>11181.56+103.41</f>
        <v>11284.97</v>
      </c>
      <c r="CQ22" s="124"/>
      <c r="CR22" s="105"/>
      <c r="CS22" s="210" t="s">
        <v>176</v>
      </c>
      <c r="CT22" s="245">
        <f>10788.27+1036.46</f>
        <v>11824.73</v>
      </c>
      <c r="CU22" s="245"/>
      <c r="CV22" s="244">
        <f>11824.55+102.39</f>
        <v>11926.939999999999</v>
      </c>
      <c r="CW22" s="124"/>
      <c r="CX22" s="105"/>
      <c r="CY22" s="210" t="s">
        <v>176</v>
      </c>
      <c r="CZ22" s="245">
        <f>11458.86+1022.37</f>
        <v>12481.230000000001</v>
      </c>
      <c r="DA22" s="245"/>
      <c r="DB22" s="244">
        <f>12481.37+103.59</f>
        <v>12584.960000000001</v>
      </c>
      <c r="DC22" s="124"/>
      <c r="DD22" s="105"/>
      <c r="DE22" s="210" t="s">
        <v>176</v>
      </c>
      <c r="DF22" s="245">
        <f>11772.11+1004.21</f>
        <v>12776.32</v>
      </c>
      <c r="DG22" s="245"/>
      <c r="DH22" s="244">
        <f>12776.54+108.02</f>
        <v>12884.560000000001</v>
      </c>
      <c r="DI22" s="124"/>
      <c r="DJ22" s="105"/>
      <c r="DK22" s="210" t="s">
        <v>176</v>
      </c>
      <c r="DL22" s="245">
        <f>11839.44+939.18</f>
        <v>12778.62</v>
      </c>
      <c r="DM22" s="245"/>
      <c r="DN22" s="244">
        <f>12766.45+112.57</f>
        <v>12879.02</v>
      </c>
      <c r="DO22" s="105"/>
      <c r="DP22" s="210" t="s">
        <v>176</v>
      </c>
      <c r="DQ22" s="245">
        <f>12642.59+978.14</f>
        <v>13620.73</v>
      </c>
      <c r="DR22" s="245"/>
      <c r="DS22" s="244">
        <f>13620.7+113.72</f>
        <v>13734.42</v>
      </c>
      <c r="DT22" s="105"/>
      <c r="DU22" s="210" t="s">
        <v>176</v>
      </c>
      <c r="DV22" s="245">
        <f>13986.8+1099.04</f>
        <v>15085.84</v>
      </c>
      <c r="DW22" s="245"/>
      <c r="DX22" s="244">
        <f>15085.85</f>
        <v>15085.85</v>
      </c>
      <c r="DY22" s="105"/>
      <c r="DZ22" s="210" t="s">
        <v>176</v>
      </c>
      <c r="EA22" s="245">
        <f>15811.1+1260.59</f>
        <v>17071.689999999999</v>
      </c>
      <c r="EB22" s="245"/>
      <c r="EC22" s="244">
        <f>17071.68+107.95</f>
        <v>17179.63</v>
      </c>
      <c r="ED22" s="105"/>
      <c r="EE22" s="210" t="s">
        <v>176</v>
      </c>
      <c r="EF22" s="246">
        <f>17226.81+1326.21</f>
        <v>18553.02</v>
      </c>
      <c r="EG22" s="224"/>
      <c r="EH22" s="247">
        <f>18552.97+115.71</f>
        <v>18668.68</v>
      </c>
      <c r="EI22" s="105"/>
      <c r="EJ22" s="210" t="s">
        <v>176</v>
      </c>
      <c r="EK22" s="246">
        <f>19056.43+1465.12</f>
        <v>20521.55</v>
      </c>
      <c r="EL22" s="224"/>
      <c r="EM22" s="247">
        <f>21150.24+113.87</f>
        <v>21264.11</v>
      </c>
      <c r="EN22" s="105"/>
      <c r="EO22" s="210" t="s">
        <v>176</v>
      </c>
      <c r="EP22" s="246">
        <f>20924.14+1558.23</f>
        <v>22482.37</v>
      </c>
      <c r="EQ22" s="224"/>
      <c r="ER22" s="247">
        <f>20924.17+1558.21</f>
        <v>22482.379999999997</v>
      </c>
      <c r="ES22" s="105"/>
      <c r="ET22" s="210" t="s">
        <v>176</v>
      </c>
      <c r="EU22" s="246">
        <f>22305.08+1718.34</f>
        <v>24023.420000000002</v>
      </c>
      <c r="EV22" s="224"/>
      <c r="EW22" s="247">
        <f>22305.14+1718.25</f>
        <v>24023.39</v>
      </c>
      <c r="EX22" s="105"/>
      <c r="EY22" s="210" t="s">
        <v>176</v>
      </c>
      <c r="EZ22" s="246">
        <f>23380.84+1824.14</f>
        <v>25204.98</v>
      </c>
      <c r="FA22" s="224"/>
      <c r="FB22" s="247">
        <f>23983.78+1665.89</f>
        <v>25649.67</v>
      </c>
      <c r="FC22" s="105"/>
      <c r="FD22" s="39"/>
    </row>
    <row r="23" spans="1:160" x14ac:dyDescent="0.15">
      <c r="A23" s="124"/>
      <c r="B23" s="209"/>
      <c r="D23" s="248">
        <v>865796</v>
      </c>
      <c r="F23" s="248">
        <f>+D23</f>
        <v>865796</v>
      </c>
      <c r="H23" s="249">
        <f>+D23-F23</f>
        <v>0</v>
      </c>
      <c r="I23" s="209"/>
      <c r="K23" s="248">
        <v>882097</v>
      </c>
      <c r="M23" s="248">
        <f>+K23</f>
        <v>882097</v>
      </c>
      <c r="O23" s="249">
        <f>+K23-M23</f>
        <v>0</v>
      </c>
      <c r="P23" s="209"/>
      <c r="R23" s="248">
        <v>898853.12</v>
      </c>
      <c r="T23" s="248">
        <v>898853.12</v>
      </c>
      <c r="U23" s="124"/>
      <c r="V23" s="249">
        <f>+R23-T23</f>
        <v>0</v>
      </c>
      <c r="W23" s="209"/>
      <c r="Y23" s="248">
        <f>+Y21+Y22</f>
        <v>923025.10000000009</v>
      </c>
      <c r="AA23" s="248">
        <f>+AA21+AA22</f>
        <v>923261.80999999994</v>
      </c>
      <c r="AB23" s="124"/>
      <c r="AC23" s="249">
        <f>+Y23-AA23</f>
        <v>-236.70999999984633</v>
      </c>
      <c r="AD23" s="209"/>
      <c r="AF23" s="248">
        <f>+AF21+AF22</f>
        <v>936164.66</v>
      </c>
      <c r="AH23" s="248">
        <f>+AH21+AH22</f>
        <v>936428.87999999989</v>
      </c>
      <c r="AI23" s="124"/>
      <c r="AJ23" s="249">
        <f>+AF23-AH23</f>
        <v>-264.21999999985565</v>
      </c>
      <c r="AL23" s="248">
        <f>+AL21+AL22</f>
        <v>945963.40000000014</v>
      </c>
      <c r="AN23" s="248">
        <f>+AN21+AN22</f>
        <v>946234.81</v>
      </c>
      <c r="AO23" s="124"/>
      <c r="AP23" s="249">
        <f>+AL23-AN23</f>
        <v>-271.40999999991618</v>
      </c>
      <c r="AR23" s="248">
        <f>+AR21+AR22</f>
        <v>947814.39</v>
      </c>
      <c r="AT23" s="248">
        <f>+AT21+AT22</f>
        <v>948105.62999999989</v>
      </c>
      <c r="AU23" s="124"/>
      <c r="AV23" s="250">
        <f>+AR23-AT23</f>
        <v>-291.23999999987427</v>
      </c>
      <c r="AX23" s="248">
        <f>+AX21+AX22</f>
        <v>950248.67</v>
      </c>
      <c r="AZ23" s="248">
        <f>+AZ21+AZ22</f>
        <v>950884.25</v>
      </c>
      <c r="BA23" s="124"/>
      <c r="BB23" s="249">
        <f>+AX23-AZ23</f>
        <v>-635.57999999995809</v>
      </c>
      <c r="BD23" s="248">
        <f>+BD21+BD22</f>
        <v>955927.64999999991</v>
      </c>
      <c r="BF23" s="248">
        <f>+BF21+BF22</f>
        <v>956608.83</v>
      </c>
      <c r="BG23" s="124"/>
      <c r="BH23" s="249">
        <f>+BD23-BF23</f>
        <v>-681.18000000005122</v>
      </c>
      <c r="BJ23" s="248">
        <f>+BJ21+BJ22</f>
        <v>958094.08000000019</v>
      </c>
      <c r="BL23" s="248">
        <f>+BL21+BL22</f>
        <v>958767.22</v>
      </c>
      <c r="BM23" s="124"/>
      <c r="BN23" s="249">
        <f>+BJ23-BL23</f>
        <v>-673.13999999978114</v>
      </c>
      <c r="BP23" s="248">
        <f>+BP21+BP22</f>
        <v>961454.87999999989</v>
      </c>
      <c r="BR23" s="248">
        <f>+BR21+BR22</f>
        <v>962253.96</v>
      </c>
      <c r="BS23" s="124"/>
      <c r="BT23" s="249">
        <f>+BP23-BR23</f>
        <v>-799.08000000007451</v>
      </c>
      <c r="BV23" s="248">
        <f>+BV21+BV22</f>
        <v>965374.36</v>
      </c>
      <c r="BX23" s="248">
        <f>+BX21+BX22</f>
        <v>966337.43</v>
      </c>
      <c r="BY23" s="124"/>
      <c r="BZ23" s="249">
        <f>+BV23-BX23</f>
        <v>-963.07000000006519</v>
      </c>
      <c r="CB23" s="248">
        <f>+CB21+CB22</f>
        <v>970848.19000000006</v>
      </c>
      <c r="CD23" s="248">
        <f>+CD21+CD22</f>
        <v>972057.66</v>
      </c>
      <c r="CE23" s="124"/>
      <c r="CF23" s="249">
        <f>+CB23-CD23</f>
        <v>-1209.4699999999721</v>
      </c>
      <c r="CH23" s="248">
        <f>+CH21+CH22</f>
        <v>972560.3</v>
      </c>
      <c r="CJ23" s="248">
        <f>+CJ21+CJ22</f>
        <v>973699.29</v>
      </c>
      <c r="CK23" s="124"/>
      <c r="CL23" s="249">
        <f>+CH23-CJ23</f>
        <v>-1138.9899999999907</v>
      </c>
      <c r="CN23" s="248">
        <f>+CN21+CN22</f>
        <v>974614.75</v>
      </c>
      <c r="CP23" s="248">
        <f>+CP21+CP22</f>
        <v>979354.91999999993</v>
      </c>
      <c r="CQ23" s="124"/>
      <c r="CR23" s="249">
        <f>+CN23-CP23</f>
        <v>-4740.1699999999255</v>
      </c>
      <c r="CT23" s="248">
        <f>+CT21+CT22</f>
        <v>980090.80999999994</v>
      </c>
      <c r="CV23" s="248">
        <f>+CV21+CV22</f>
        <v>988575.91999999993</v>
      </c>
      <c r="CW23" s="124"/>
      <c r="CX23" s="249">
        <f>+CT23-CV23</f>
        <v>-8485.109999999986</v>
      </c>
      <c r="CZ23" s="248">
        <f>+CZ21+CZ22</f>
        <v>987229.05</v>
      </c>
      <c r="DB23" s="248">
        <f>+DB21+DB22</f>
        <v>996109.42999999993</v>
      </c>
      <c r="DC23" s="124"/>
      <c r="DD23" s="249">
        <f>+CZ23-DB23</f>
        <v>-8880.3799999998882</v>
      </c>
      <c r="DF23" s="248">
        <f>+DF21+DF22</f>
        <v>991402.42</v>
      </c>
      <c r="DH23" s="248">
        <f>+DH21+DH22</f>
        <v>1000380.03</v>
      </c>
      <c r="DI23" s="124"/>
      <c r="DJ23" s="249">
        <f>+DF23-DH23</f>
        <v>-8977.609999999986</v>
      </c>
      <c r="DL23" s="248">
        <f>+DL21+DL22</f>
        <v>997063.9800000001</v>
      </c>
      <c r="DN23" s="248">
        <f>+DN21+DN22</f>
        <v>998175.8600000001</v>
      </c>
      <c r="DO23" s="249">
        <f>+DL23-DN23</f>
        <v>-1111.8800000000047</v>
      </c>
      <c r="DQ23" s="248">
        <f>+DQ21+DQ22</f>
        <v>1001378.1699999998</v>
      </c>
      <c r="DS23" s="248">
        <f>+DS21+DS22</f>
        <v>1002114.59</v>
      </c>
      <c r="DT23" s="249">
        <f>+DQ23-DS23</f>
        <v>-736.42000000015832</v>
      </c>
      <c r="DV23" s="248">
        <f>+DV19+DV21+DV22</f>
        <v>1019533.4400000001</v>
      </c>
      <c r="DX23" s="248">
        <f>+DX21+DX22</f>
        <v>1018303.17</v>
      </c>
      <c r="DY23" s="249">
        <f>+DV23-DX23</f>
        <v>1230.2700000000186</v>
      </c>
      <c r="EA23" s="248">
        <f>+EA21+EA22+EA19</f>
        <v>1032522.22</v>
      </c>
      <c r="EC23" s="248">
        <f>+EC21+EC22+EC19</f>
        <v>1033629.3699999999</v>
      </c>
      <c r="ED23" s="249">
        <f>+EA23-EC23</f>
        <v>-1107.1499999999069</v>
      </c>
      <c r="EF23" s="251">
        <f>+EF21+EF19+EF20+EF22</f>
        <v>1056545.5199999998</v>
      </c>
      <c r="EH23" s="251">
        <f>+EH21+EH22+EH19</f>
        <v>1056902.79</v>
      </c>
      <c r="EI23" s="249">
        <f>+EF23-EH23</f>
        <v>-357.27000000025146</v>
      </c>
      <c r="EK23" s="251">
        <f>+EK21+EK19+EK20+EK22</f>
        <v>1079859.57</v>
      </c>
      <c r="EM23" s="251">
        <f>+EM21+EM22+EM19</f>
        <v>1082380.1300000001</v>
      </c>
      <c r="EN23" s="249">
        <f>+EK23-EM23</f>
        <v>-2520.5600000000559</v>
      </c>
      <c r="EP23" s="251">
        <f>+EP21+EP19+EP20+EP22</f>
        <v>1090921.8299999998</v>
      </c>
      <c r="ER23" s="251">
        <f>+ER21+ER22+ER19</f>
        <v>1091031.5799999998</v>
      </c>
      <c r="ES23" s="249">
        <f>+EP23-ER23</f>
        <v>-109.75</v>
      </c>
      <c r="EU23" s="251">
        <f>+EU21+EU19+EU20+EU22</f>
        <v>1093887.6099999999</v>
      </c>
      <c r="EW23" s="251">
        <f>+EW21+EW22+EW19</f>
        <v>1095157.42</v>
      </c>
      <c r="EX23" s="249">
        <f>+EU23-EW23</f>
        <v>-1269.8100000000559</v>
      </c>
      <c r="EZ23" s="251">
        <f>+EZ21+EZ19+EZ20+EZ22</f>
        <v>1103167.8399999999</v>
      </c>
      <c r="FB23" s="251">
        <f>+FB21+FB22+FB19</f>
        <v>1104890.26</v>
      </c>
      <c r="FC23" s="249">
        <f>+EZ23-FB23</f>
        <v>-1722.4200000001583</v>
      </c>
      <c r="FD23" s="39"/>
    </row>
    <row r="24" spans="1:160" ht="11.25" thickBot="1" x14ac:dyDescent="0.2">
      <c r="B24" s="209"/>
      <c r="F24" s="41"/>
      <c r="I24" s="209"/>
      <c r="K24" s="105"/>
      <c r="M24" s="42"/>
      <c r="N24" s="105"/>
      <c r="P24" s="209"/>
      <c r="T24" s="41"/>
      <c r="U24" s="124"/>
      <c r="W24" s="209"/>
      <c r="AA24" s="41"/>
      <c r="AB24" s="124"/>
      <c r="AD24" s="209"/>
      <c r="AH24" s="41"/>
      <c r="AI24" s="124"/>
      <c r="AN24" s="41"/>
      <c r="AO24" s="124"/>
      <c r="AT24" s="41"/>
      <c r="AU24" s="124"/>
      <c r="AZ24" s="41"/>
      <c r="BA24" s="124"/>
      <c r="BF24" s="41"/>
      <c r="BG24" s="124"/>
      <c r="BL24" s="41"/>
      <c r="BM24" s="124"/>
      <c r="BR24" s="41"/>
      <c r="BS24" s="124"/>
      <c r="BX24" s="41"/>
      <c r="BY24" s="124"/>
      <c r="CD24" s="41"/>
      <c r="CE24" s="124"/>
      <c r="CJ24" s="41"/>
      <c r="CK24" s="124"/>
      <c r="CP24" s="41"/>
      <c r="CQ24" s="124"/>
      <c r="CV24" s="41"/>
      <c r="CW24" s="124"/>
      <c r="DB24" s="41"/>
      <c r="DC24" s="124"/>
      <c r="DH24" s="41"/>
      <c r="DI24" s="124"/>
      <c r="DN24" s="41"/>
      <c r="DS24" s="41"/>
      <c r="DX24" s="41"/>
      <c r="EA24" s="11">
        <v>624.73</v>
      </c>
      <c r="EC24" s="41">
        <v>624.73</v>
      </c>
      <c r="ED24" s="11" t="s">
        <v>514</v>
      </c>
      <c r="EF24" s="252"/>
      <c r="EH24" s="223"/>
      <c r="EK24" s="252"/>
      <c r="EM24" s="223"/>
      <c r="EP24" s="252"/>
      <c r="ER24" s="223"/>
      <c r="EU24" s="252"/>
      <c r="EW24" s="223"/>
      <c r="EZ24" s="252"/>
      <c r="FB24" s="223"/>
    </row>
    <row r="25" spans="1:160" ht="11.25" thickBot="1" x14ac:dyDescent="0.2">
      <c r="B25" s="209"/>
      <c r="F25" s="253"/>
      <c r="I25" s="209"/>
      <c r="J25" s="11" t="s">
        <v>197</v>
      </c>
      <c r="M25" s="253">
        <f>+M23-F23</f>
        <v>16301</v>
      </c>
      <c r="P25" s="209"/>
      <c r="Q25" s="11" t="s">
        <v>197</v>
      </c>
      <c r="T25" s="253">
        <f>+T23-M23</f>
        <v>16756.119999999995</v>
      </c>
      <c r="U25" s="124"/>
      <c r="V25" s="105"/>
      <c r="W25" s="209"/>
      <c r="X25" s="11" t="s">
        <v>197</v>
      </c>
      <c r="AA25" s="253">
        <f>+AA23-T23</f>
        <v>24408.689999999944</v>
      </c>
      <c r="AB25" s="124"/>
      <c r="AC25" s="105"/>
      <c r="AD25" s="209"/>
      <c r="AE25" s="11" t="s">
        <v>197</v>
      </c>
      <c r="AH25" s="253">
        <f>+AH23-AA23</f>
        <v>13167.069999999949</v>
      </c>
      <c r="AI25" s="124"/>
      <c r="AJ25" s="105"/>
      <c r="AK25" s="210" t="s">
        <v>197</v>
      </c>
      <c r="AN25" s="253">
        <f>+AN23-AH23</f>
        <v>9805.9300000001676</v>
      </c>
      <c r="AO25" s="124"/>
      <c r="AP25" s="105"/>
      <c r="AQ25" s="210" t="s">
        <v>197</v>
      </c>
      <c r="AT25" s="253">
        <f>+AT23-AN23</f>
        <v>1870.8199999998324</v>
      </c>
      <c r="AU25" s="124"/>
      <c r="AV25" s="105"/>
      <c r="AW25" s="210" t="s">
        <v>197</v>
      </c>
      <c r="AZ25" s="253">
        <f>+AZ23-AT23</f>
        <v>2778.6200000001118</v>
      </c>
      <c r="BA25" s="124"/>
      <c r="BB25" s="105"/>
      <c r="BC25" s="210" t="s">
        <v>197</v>
      </c>
      <c r="BF25" s="253">
        <f>+BF23-AZ23</f>
        <v>5724.5799999999581</v>
      </c>
      <c r="BG25" s="124"/>
      <c r="BH25" s="105"/>
      <c r="BI25" s="210" t="s">
        <v>197</v>
      </c>
      <c r="BL25" s="253">
        <f>+BL23-BF23</f>
        <v>2158.390000000014</v>
      </c>
      <c r="BM25" s="124"/>
      <c r="BN25" s="105"/>
      <c r="BO25" s="210" t="s">
        <v>197</v>
      </c>
      <c r="BR25" s="253">
        <f>+BR23-BL23</f>
        <v>3486.7399999999907</v>
      </c>
      <c r="BS25" s="124"/>
      <c r="BT25" s="105"/>
      <c r="BU25" s="210" t="s">
        <v>197</v>
      </c>
      <c r="BX25" s="253">
        <f>+BX23-BR23</f>
        <v>4083.4700000000885</v>
      </c>
      <c r="BY25" s="124"/>
      <c r="BZ25" s="105"/>
      <c r="CA25" s="210" t="s">
        <v>197</v>
      </c>
      <c r="CD25" s="253">
        <f>+CD23-BX23</f>
        <v>5720.2299999999814</v>
      </c>
      <c r="CE25" s="124"/>
      <c r="CF25" s="105"/>
      <c r="CG25" s="210" t="s">
        <v>197</v>
      </c>
      <c r="CJ25" s="253">
        <f>+CJ23-CD23</f>
        <v>1641.6300000000047</v>
      </c>
      <c r="CK25" s="124"/>
      <c r="CL25" s="105"/>
      <c r="CM25" s="210" t="s">
        <v>197</v>
      </c>
      <c r="CP25" s="253">
        <f>+CP23-CJ23</f>
        <v>5655.6299999998882</v>
      </c>
      <c r="CQ25" s="124"/>
      <c r="CR25" s="105"/>
      <c r="CS25" s="210" t="s">
        <v>197</v>
      </c>
      <c r="CV25" s="253">
        <f>+CV23-CP23</f>
        <v>9221</v>
      </c>
      <c r="CW25" s="124"/>
      <c r="CX25" s="105"/>
      <c r="CY25" s="210" t="s">
        <v>197</v>
      </c>
      <c r="DB25" s="253">
        <f>+DB23-CV23</f>
        <v>7533.5100000000093</v>
      </c>
      <c r="DC25" s="124"/>
      <c r="DD25" s="105"/>
      <c r="DE25" s="210" t="s">
        <v>197</v>
      </c>
      <c r="DH25" s="253">
        <f>+DH23-DB23</f>
        <v>4270.6000000000931</v>
      </c>
      <c r="DI25" s="124"/>
      <c r="DJ25" s="105"/>
      <c r="DK25" s="210" t="s">
        <v>197</v>
      </c>
      <c r="DN25" s="253">
        <f>+DN23-DH23</f>
        <v>-2204.1699999999255</v>
      </c>
      <c r="DO25" s="105"/>
      <c r="DP25" s="210" t="s">
        <v>197</v>
      </c>
      <c r="DS25" s="253">
        <f>+DS23-DN23</f>
        <v>3938.729999999865</v>
      </c>
      <c r="DT25" s="105"/>
      <c r="DU25" s="210" t="s">
        <v>197</v>
      </c>
      <c r="DX25" s="253">
        <f>+DX23-DS23</f>
        <v>16188.580000000075</v>
      </c>
      <c r="DY25" s="105"/>
      <c r="DZ25" s="210" t="s">
        <v>197</v>
      </c>
      <c r="EC25" s="253">
        <f>+EC23-DX23</f>
        <v>15326.199999999837</v>
      </c>
      <c r="ED25" s="105"/>
      <c r="EH25" s="253">
        <f>+EH23-EC23</f>
        <v>23273.420000000158</v>
      </c>
      <c r="EI25" s="105"/>
      <c r="EM25" s="253">
        <f>+EM23-EH23</f>
        <v>25477.340000000084</v>
      </c>
      <c r="EN25" s="105"/>
      <c r="ER25" s="253">
        <f>+ER23-EM23</f>
        <v>8651.4499999997206</v>
      </c>
      <c r="ES25" s="105"/>
      <c r="EW25" s="253">
        <f>+EW23-ER23</f>
        <v>4125.8400000000838</v>
      </c>
      <c r="EX25" s="105"/>
      <c r="FB25" s="253">
        <f>+FB23-EW23</f>
        <v>9732.8400000000838</v>
      </c>
      <c r="FC25" s="105"/>
    </row>
    <row r="26" spans="1:160" x14ac:dyDescent="0.15">
      <c r="A26" s="64" t="s">
        <v>94</v>
      </c>
      <c r="B26" s="209"/>
      <c r="D26" s="105">
        <f>+D21-D23</f>
        <v>439.38999999989755</v>
      </c>
      <c r="F26" s="42">
        <f>+F21-F23</f>
        <v>-0.43999999994412065</v>
      </c>
      <c r="H26" s="105">
        <f>+D26-F26</f>
        <v>439.82999999984168</v>
      </c>
      <c r="I26" s="209"/>
      <c r="K26" s="105">
        <f>+K21-K23</f>
        <v>483.52888888900634</v>
      </c>
      <c r="M26" s="42">
        <f>+M21-M23</f>
        <v>-182.71999999997206</v>
      </c>
      <c r="O26" s="105">
        <f>+K26-M26</f>
        <v>666.2488888889784</v>
      </c>
      <c r="P26" s="209"/>
      <c r="W26" s="209"/>
      <c r="AD26" s="209"/>
      <c r="EF26" s="254">
        <v>-776.65</v>
      </c>
      <c r="EI26" s="11" t="s">
        <v>523</v>
      </c>
      <c r="EK26" s="254">
        <v>-183.85</v>
      </c>
      <c r="EN26" s="11" t="s">
        <v>523</v>
      </c>
      <c r="EP26" s="254"/>
      <c r="ES26" s="11" t="s">
        <v>523</v>
      </c>
      <c r="EU26" s="254"/>
      <c r="EZ26" s="254"/>
    </row>
    <row r="27" spans="1:160" x14ac:dyDescent="0.15">
      <c r="B27" s="209"/>
      <c r="I27" s="209"/>
      <c r="P27" s="209"/>
      <c r="W27" s="209"/>
      <c r="AD27" s="209"/>
      <c r="AF27" s="255">
        <f>+AF7+AF8+AF9+AF10</f>
        <v>269126.51</v>
      </c>
      <c r="AG27" s="256"/>
      <c r="AH27" s="255">
        <f>+AH8+AH9</f>
        <v>269126.5</v>
      </c>
      <c r="AI27" s="257" t="s">
        <v>186</v>
      </c>
      <c r="AL27" s="255">
        <f>+AL7+AL8+AL9+AL10</f>
        <v>269672.60000000003</v>
      </c>
      <c r="AM27" s="256"/>
      <c r="AN27" s="255">
        <f>+AN8+AN9</f>
        <v>269672.94</v>
      </c>
      <c r="AO27" s="257" t="s">
        <v>186</v>
      </c>
      <c r="AR27" s="255">
        <f>SUM(AR7:AR12)</f>
        <v>343514.85</v>
      </c>
      <c r="AS27" s="256"/>
      <c r="AT27" s="255">
        <f>SUM(AT7:AT12)</f>
        <v>343514.88999999996</v>
      </c>
      <c r="AU27" s="257" t="s">
        <v>276</v>
      </c>
      <c r="AX27" s="255">
        <f>SUM(AX7:AX12)</f>
        <v>339214.99</v>
      </c>
      <c r="AY27" s="256"/>
      <c r="AZ27" s="255">
        <f>SUM(AZ7:AZ12)</f>
        <v>339214.93</v>
      </c>
      <c r="BA27" s="257" t="s">
        <v>276</v>
      </c>
      <c r="BD27" s="255">
        <f>SUM(BD7:BD12)</f>
        <v>335881.33999999997</v>
      </c>
      <c r="BE27" s="256"/>
      <c r="BF27" s="255">
        <f>SUM(BF7:BF12)</f>
        <v>335881.3</v>
      </c>
      <c r="BG27" s="257" t="s">
        <v>276</v>
      </c>
      <c r="BJ27" s="255">
        <f>SUM(BJ7:BJ12)</f>
        <v>331862.97000000003</v>
      </c>
      <c r="BK27" s="256"/>
      <c r="BL27" s="255">
        <f>SUM(BL7:BL12)</f>
        <v>331863.03999999998</v>
      </c>
      <c r="BM27" s="257" t="s">
        <v>276</v>
      </c>
      <c r="BP27" s="255">
        <f>SUM(BP7:BP12)</f>
        <v>331122.43</v>
      </c>
      <c r="BQ27" s="256"/>
      <c r="BR27" s="255">
        <f>SUM(BR7:BR12)</f>
        <v>331122.45</v>
      </c>
      <c r="BS27" s="257" t="s">
        <v>276</v>
      </c>
      <c r="BV27" s="255">
        <f>SUM(BV7:BV12)</f>
        <v>333359.76</v>
      </c>
      <c r="BW27" s="256"/>
      <c r="BX27" s="255">
        <f>SUM(BX7:BX12)</f>
        <v>333359.57</v>
      </c>
      <c r="BY27" s="257" t="s">
        <v>276</v>
      </c>
      <c r="CB27" s="255">
        <f>SUM(CB7:CB12)</f>
        <v>336737.85</v>
      </c>
      <c r="CC27" s="256"/>
      <c r="CD27" s="255">
        <f>SUM(CD7:CD12)</f>
        <v>336737.92000000004</v>
      </c>
      <c r="CE27" s="257" t="s">
        <v>276</v>
      </c>
      <c r="CH27" s="255">
        <f>SUM(CH7:CH12)</f>
        <v>340412.33</v>
      </c>
      <c r="CI27" s="256"/>
      <c r="CJ27" s="255">
        <f>SUM(CJ7:CJ12)</f>
        <v>340412.44000000006</v>
      </c>
      <c r="CK27" s="257" t="s">
        <v>276</v>
      </c>
      <c r="CN27" s="255">
        <f>(SUM(CN7:CN12)-CR8)-CR9</f>
        <v>346654.74</v>
      </c>
      <c r="CO27" s="256"/>
      <c r="CP27" s="255">
        <f>SUM(CP7:CP12)</f>
        <v>346653.98</v>
      </c>
      <c r="CQ27" s="257" t="s">
        <v>276</v>
      </c>
      <c r="CT27" s="255">
        <f>(SUM(CT7:CT12)-CX8)-CX9</f>
        <v>353740.07</v>
      </c>
      <c r="CU27" s="256"/>
      <c r="CV27" s="255">
        <f>SUM(CV7:CV12)</f>
        <v>353740.04</v>
      </c>
      <c r="CW27" s="257" t="s">
        <v>276</v>
      </c>
      <c r="CZ27" s="255">
        <f>(SUM(CZ7:CZ12)-DD8)-DD9</f>
        <v>356608.47000000003</v>
      </c>
      <c r="DA27" s="256"/>
      <c r="DB27" s="255">
        <f>SUM(DB7:DB12)</f>
        <v>356608.51</v>
      </c>
      <c r="DC27" s="257" t="s">
        <v>276</v>
      </c>
      <c r="DF27" s="255">
        <f>(SUM(DF7:DF12)-DJ8)-DJ9-DJ11</f>
        <v>358969.36000000004</v>
      </c>
      <c r="DG27" s="256"/>
      <c r="DH27" s="255">
        <f>SUM(DH7:DH12)</f>
        <v>358969.36</v>
      </c>
      <c r="DI27" s="257" t="s">
        <v>276</v>
      </c>
      <c r="EW27" s="260">
        <v>777.53</v>
      </c>
      <c r="EX27" s="11" t="s">
        <v>556</v>
      </c>
      <c r="FB27" s="260"/>
      <c r="FC27" s="11" t="s">
        <v>556</v>
      </c>
    </row>
    <row r="28" spans="1:160" x14ac:dyDescent="0.15">
      <c r="A28" s="11" t="s">
        <v>95</v>
      </c>
      <c r="B28" s="209"/>
      <c r="D28" s="132">
        <v>833854.2</v>
      </c>
      <c r="I28" s="209"/>
      <c r="K28" s="132">
        <v>847966.3</v>
      </c>
      <c r="P28" s="209"/>
      <c r="R28" s="132">
        <v>899082.95</v>
      </c>
      <c r="T28" s="11">
        <v>899082.95</v>
      </c>
      <c r="W28" s="209"/>
      <c r="Y28" s="132">
        <v>917503.66999999934</v>
      </c>
      <c r="AA28" s="39"/>
      <c r="AD28" s="209"/>
      <c r="AF28" s="132">
        <v>933836.54</v>
      </c>
      <c r="AH28" s="258">
        <v>267840.86</v>
      </c>
      <c r="AI28" s="259" t="s">
        <v>191</v>
      </c>
      <c r="AJ28" s="259"/>
      <c r="AL28" s="132">
        <v>943631.69</v>
      </c>
      <c r="AN28" s="258">
        <v>268575.08</v>
      </c>
      <c r="AO28" s="259" t="s">
        <v>191</v>
      </c>
      <c r="AP28" s="259"/>
      <c r="AR28" s="132">
        <v>942605.34</v>
      </c>
      <c r="AT28" s="258">
        <v>341411.7</v>
      </c>
      <c r="AU28" s="259" t="s">
        <v>210</v>
      </c>
      <c r="AV28" s="259"/>
      <c r="AX28" s="132">
        <v>940367.21</v>
      </c>
      <c r="AZ28" s="258">
        <v>335784.71</v>
      </c>
      <c r="BA28" s="259" t="s">
        <v>210</v>
      </c>
      <c r="BB28" s="259"/>
      <c r="BD28" s="132">
        <v>945605.33</v>
      </c>
      <c r="BF28" s="258">
        <v>332837.98</v>
      </c>
      <c r="BG28" s="259" t="s">
        <v>210</v>
      </c>
      <c r="BH28" s="259"/>
      <c r="BJ28" s="132">
        <v>950337.37</v>
      </c>
      <c r="BL28" s="258">
        <v>329698.28999999998</v>
      </c>
      <c r="BM28" s="259" t="s">
        <v>210</v>
      </c>
      <c r="BN28" s="259"/>
      <c r="BP28" s="132">
        <v>953183.12</v>
      </c>
      <c r="BR28" s="258">
        <v>328751.90000000002</v>
      </c>
      <c r="BS28" s="259" t="s">
        <v>210</v>
      </c>
      <c r="BT28" s="259"/>
      <c r="BV28" s="132">
        <v>956799.11</v>
      </c>
      <c r="BX28" s="258">
        <v>331202.78000000003</v>
      </c>
      <c r="BY28" s="259" t="s">
        <v>210</v>
      </c>
      <c r="BZ28" s="259"/>
      <c r="CB28" s="132">
        <v>962136.45</v>
      </c>
      <c r="CD28" s="258">
        <v>334514.99</v>
      </c>
      <c r="CE28" s="259" t="s">
        <v>210</v>
      </c>
      <c r="CF28" s="259"/>
      <c r="CH28" s="132">
        <v>963299.5299999998</v>
      </c>
      <c r="CJ28" s="258">
        <v>337797.39</v>
      </c>
      <c r="CK28" s="259" t="s">
        <v>210</v>
      </c>
      <c r="CL28" s="259"/>
      <c r="CN28" s="132">
        <v>967648.24</v>
      </c>
      <c r="CP28" s="258">
        <v>344043.8</v>
      </c>
      <c r="CQ28" s="259" t="s">
        <v>210</v>
      </c>
      <c r="CR28" s="259"/>
      <c r="CT28" s="132">
        <v>973952.18</v>
      </c>
      <c r="CV28" s="258">
        <v>350434.45</v>
      </c>
      <c r="CW28" s="259" t="s">
        <v>210</v>
      </c>
      <c r="CX28" s="259"/>
      <c r="CZ28" s="132">
        <v>980552.15</v>
      </c>
      <c r="DB28" s="258">
        <v>353829.32</v>
      </c>
      <c r="DC28" s="259" t="s">
        <v>210</v>
      </c>
      <c r="DD28" s="259"/>
      <c r="DF28" s="132">
        <v>987732.97</v>
      </c>
      <c r="DH28" s="258">
        <f>279038.07+78504.52</f>
        <v>357542.59</v>
      </c>
      <c r="DI28" s="259" t="s">
        <v>210</v>
      </c>
      <c r="DJ28" s="259"/>
      <c r="DL28" s="132"/>
      <c r="DQ28" s="132"/>
      <c r="DV28" s="132"/>
      <c r="EA28" s="132"/>
      <c r="EF28" s="132"/>
      <c r="EK28" s="132"/>
      <c r="EP28" s="132"/>
      <c r="EU28" s="132"/>
      <c r="EW28" s="260">
        <f>114.78+329.75</f>
        <v>444.53</v>
      </c>
      <c r="EX28" s="11" t="s">
        <v>557</v>
      </c>
      <c r="EZ28" s="132"/>
      <c r="FB28" s="260">
        <f>120.21+337.96</f>
        <v>458.16999999999996</v>
      </c>
      <c r="FC28" s="11" t="s">
        <v>557</v>
      </c>
    </row>
    <row r="29" spans="1:160" x14ac:dyDescent="0.15">
      <c r="A29" s="11" t="s">
        <v>96</v>
      </c>
      <c r="B29" s="209"/>
      <c r="I29" s="209"/>
      <c r="P29" s="209"/>
      <c r="T29" s="105">
        <f>+T23-T28</f>
        <v>-229.82999999995809</v>
      </c>
      <c r="W29" s="209"/>
      <c r="AD29" s="209"/>
      <c r="EH29" s="260">
        <v>376.33</v>
      </c>
      <c r="EI29" s="11" t="s">
        <v>524</v>
      </c>
      <c r="EM29" s="260">
        <v>397.35</v>
      </c>
      <c r="EN29" s="11" t="s">
        <v>524</v>
      </c>
      <c r="ER29" s="260">
        <f>423.67+34.62+11.3</f>
        <v>469.59000000000003</v>
      </c>
      <c r="ES29" s="11" t="s">
        <v>546</v>
      </c>
      <c r="EW29" s="260">
        <f>469.82+32.2</f>
        <v>502.02</v>
      </c>
      <c r="EX29" s="11" t="s">
        <v>546</v>
      </c>
      <c r="FB29" s="260">
        <f>497.23+1.4+34.8</f>
        <v>533.42999999999995</v>
      </c>
      <c r="FC29" s="11" t="s">
        <v>579</v>
      </c>
    </row>
    <row r="30" spans="1:160" x14ac:dyDescent="0.15">
      <c r="A30" s="11" t="s">
        <v>97</v>
      </c>
      <c r="B30" s="209"/>
      <c r="D30" s="132">
        <v>31970.82</v>
      </c>
      <c r="I30" s="209"/>
      <c r="K30" s="132">
        <v>34202.53</v>
      </c>
      <c r="P30" s="209"/>
      <c r="R30" s="11" t="s">
        <v>98</v>
      </c>
      <c r="W30" s="209"/>
      <c r="Y30" s="11" t="s">
        <v>98</v>
      </c>
      <c r="AD30" s="209"/>
      <c r="AF30" s="11" t="s">
        <v>98</v>
      </c>
      <c r="AH30" s="105">
        <f>AH21</f>
        <v>930134.55999999994</v>
      </c>
      <c r="AI30" s="11" t="s">
        <v>194</v>
      </c>
      <c r="AL30" s="11" t="s">
        <v>98</v>
      </c>
      <c r="AN30" s="105">
        <f>AN21</f>
        <v>939204.63</v>
      </c>
      <c r="AO30" s="11" t="s">
        <v>194</v>
      </c>
      <c r="AR30" s="11" t="s">
        <v>98</v>
      </c>
      <c r="AT30" s="105">
        <f>AT21</f>
        <v>940647.55999999994</v>
      </c>
      <c r="AU30" s="11" t="s">
        <v>194</v>
      </c>
      <c r="AX30" s="11" t="s">
        <v>98</v>
      </c>
      <c r="AZ30" s="105">
        <f>AZ21</f>
        <v>942918.92</v>
      </c>
      <c r="BA30" s="11" t="s">
        <v>194</v>
      </c>
      <c r="BD30" s="11" t="s">
        <v>98</v>
      </c>
      <c r="BF30" s="105">
        <f>BF21</f>
        <v>948218.39</v>
      </c>
      <c r="BG30" s="11" t="s">
        <v>194</v>
      </c>
      <c r="BJ30" s="11" t="s">
        <v>98</v>
      </c>
      <c r="BL30" s="105">
        <f>BL21</f>
        <v>949887.84</v>
      </c>
      <c r="BM30" s="11" t="s">
        <v>194</v>
      </c>
      <c r="BP30" s="11" t="s">
        <v>98</v>
      </c>
      <c r="BR30" s="105">
        <f>BR21</f>
        <v>952807.63</v>
      </c>
      <c r="BS30" s="11" t="s">
        <v>194</v>
      </c>
      <c r="BV30" s="11" t="s">
        <v>98</v>
      </c>
      <c r="BX30" s="105">
        <f>BX21</f>
        <v>956411.78</v>
      </c>
      <c r="BY30" s="11" t="s">
        <v>194</v>
      </c>
      <c r="CB30" s="11" t="s">
        <v>98</v>
      </c>
      <c r="CD30" s="105">
        <f>CD21</f>
        <v>961692.74</v>
      </c>
      <c r="CE30" s="11" t="s">
        <v>194</v>
      </c>
      <c r="CH30" s="11" t="s">
        <v>98</v>
      </c>
      <c r="CJ30" s="105">
        <f>CJ21</f>
        <v>962721.34000000008</v>
      </c>
      <c r="CK30" s="11" t="s">
        <v>194</v>
      </c>
      <c r="CN30" s="11" t="s">
        <v>98</v>
      </c>
      <c r="CP30" s="105">
        <f>CP21</f>
        <v>968069.95</v>
      </c>
      <c r="CQ30" s="11" t="s">
        <v>194</v>
      </c>
      <c r="CT30" s="11" t="s">
        <v>98</v>
      </c>
      <c r="CV30" s="105">
        <f>CV21</f>
        <v>976648.98</v>
      </c>
      <c r="CW30" s="11" t="s">
        <v>194</v>
      </c>
      <c r="CZ30" s="11" t="s">
        <v>98</v>
      </c>
      <c r="DB30" s="105">
        <f>DB21</f>
        <v>983524.47</v>
      </c>
      <c r="DC30" s="11" t="s">
        <v>194</v>
      </c>
      <c r="DF30" s="11" t="s">
        <v>98</v>
      </c>
      <c r="DH30" s="105">
        <f>DH21</f>
        <v>987495.47</v>
      </c>
      <c r="DI30" s="11" t="s">
        <v>194</v>
      </c>
      <c r="DN30" s="105">
        <f>DN21</f>
        <v>985296.84000000008</v>
      </c>
      <c r="DO30" s="11" t="s">
        <v>194</v>
      </c>
      <c r="DS30" s="105">
        <f>DS21</f>
        <v>988380.16999999993</v>
      </c>
      <c r="DT30" s="11" t="s">
        <v>194</v>
      </c>
      <c r="DX30" s="105">
        <f>DX21</f>
        <v>1003217.3200000001</v>
      </c>
      <c r="DY30" s="11" t="s">
        <v>194</v>
      </c>
      <c r="EC30" s="105">
        <f>EC21</f>
        <v>1013528.4199999999</v>
      </c>
      <c r="ED30" s="11" t="s">
        <v>194</v>
      </c>
      <c r="EH30" s="105"/>
      <c r="EM30" s="105"/>
      <c r="ER30" s="105"/>
      <c r="EW30" s="105"/>
      <c r="FB30" s="105"/>
    </row>
    <row r="31" spans="1:160" ht="11.25" thickBot="1" x14ac:dyDescent="0.2">
      <c r="A31" s="11" t="s">
        <v>375</v>
      </c>
      <c r="B31" s="209"/>
      <c r="D31" s="127"/>
      <c r="I31" s="209"/>
      <c r="K31" s="127"/>
      <c r="P31" s="209"/>
      <c r="R31" s="127"/>
      <c r="W31" s="209"/>
      <c r="Y31" s="127"/>
      <c r="AD31" s="209"/>
      <c r="AF31" s="127"/>
      <c r="AH31" s="11">
        <f>167.62+53.33</f>
        <v>220.95</v>
      </c>
      <c r="AI31" s="11" t="s">
        <v>195</v>
      </c>
      <c r="AL31" s="127"/>
      <c r="AN31" s="11">
        <f>170.98+59.07</f>
        <v>230.04999999999998</v>
      </c>
      <c r="AO31" s="11" t="s">
        <v>195</v>
      </c>
      <c r="AR31" s="127"/>
      <c r="AT31" s="39">
        <f>208.67+44.16</f>
        <v>252.82999999999998</v>
      </c>
      <c r="AU31" s="11" t="s">
        <v>195</v>
      </c>
      <c r="AX31" s="127"/>
      <c r="AZ31" s="39">
        <f>328.51+36.29+231.33</f>
        <v>596.13</v>
      </c>
      <c r="BA31" s="11" t="s">
        <v>285</v>
      </c>
      <c r="BD31" s="127"/>
      <c r="BF31" s="39">
        <f>218.22+340.97+37.2</f>
        <v>596.3900000000001</v>
      </c>
      <c r="BG31" s="11" t="s">
        <v>285</v>
      </c>
      <c r="BJ31" s="127"/>
      <c r="BL31" s="39">
        <v>594.21</v>
      </c>
      <c r="BM31" s="11" t="s">
        <v>285</v>
      </c>
      <c r="BP31" s="127"/>
      <c r="BR31" s="39">
        <f>243.06+384.42+67.04</f>
        <v>694.52</v>
      </c>
      <c r="BS31" s="11" t="s">
        <v>285</v>
      </c>
      <c r="BV31" s="127"/>
      <c r="BX31" s="39">
        <f>303.59+14.4+380.94+99.38</f>
        <v>798.31</v>
      </c>
      <c r="BY31" s="11" t="s">
        <v>338</v>
      </c>
      <c r="CB31" s="127"/>
      <c r="CD31" s="39">
        <f>307.3+309.57+385.24+98.22</f>
        <v>1100.33</v>
      </c>
      <c r="CE31" s="11" t="s">
        <v>338</v>
      </c>
      <c r="CH31" s="127"/>
      <c r="CJ31" s="39">
        <f>284.65+239.14+349.74+98.67</f>
        <v>972.19999999999993</v>
      </c>
      <c r="CK31" s="11" t="s">
        <v>338</v>
      </c>
      <c r="CN31" s="127"/>
      <c r="CP31" s="39">
        <f>361.88+340.67+130.41</f>
        <v>832.95999999999992</v>
      </c>
      <c r="CQ31" s="11" t="s">
        <v>359</v>
      </c>
      <c r="CT31" s="127"/>
      <c r="CV31" s="39">
        <f>321.31+324.88+131.29</f>
        <v>777.48</v>
      </c>
      <c r="CW31" s="11" t="s">
        <v>285</v>
      </c>
      <c r="CZ31" s="127"/>
      <c r="DB31" s="39">
        <f>288.62+357.54+130.53</f>
        <v>776.69</v>
      </c>
      <c r="DC31" s="11" t="s">
        <v>285</v>
      </c>
      <c r="DF31" s="127"/>
      <c r="DH31" s="39">
        <f>287.42+338.91+141.27</f>
        <v>767.6</v>
      </c>
      <c r="DI31" s="11" t="s">
        <v>285</v>
      </c>
      <c r="DN31" s="39">
        <f>203.76+281.68+155.46</f>
        <v>640.9</v>
      </c>
      <c r="DO31" s="11" t="s">
        <v>285</v>
      </c>
      <c r="DS31" s="39">
        <f>155.99+303.18+157.1</f>
        <v>616.27</v>
      </c>
      <c r="DT31" s="11" t="s">
        <v>285</v>
      </c>
      <c r="DX31" s="39">
        <f>142.09+300.3+166.3</f>
        <v>608.69000000000005</v>
      </c>
      <c r="DY31" s="11" t="s">
        <v>285</v>
      </c>
      <c r="EC31" s="39">
        <f>132.94+315.57+180.19</f>
        <v>628.70000000000005</v>
      </c>
      <c r="ED31" s="11" t="s">
        <v>285</v>
      </c>
      <c r="EH31" s="261">
        <f>149.86+334.68+157.34</f>
        <v>641.88</v>
      </c>
      <c r="EI31" s="11" t="s">
        <v>285</v>
      </c>
      <c r="EM31" s="261">
        <f>131.78+337.75+149.71</f>
        <v>619.24</v>
      </c>
      <c r="EN31" s="11" t="s">
        <v>285</v>
      </c>
      <c r="ER31" s="261">
        <f>116.04+336.81+157.49</f>
        <v>610.34</v>
      </c>
      <c r="ES31" s="11" t="s">
        <v>285</v>
      </c>
      <c r="EW31" s="261">
        <f>111+382.05+194.33</f>
        <v>687.38</v>
      </c>
      <c r="EX31" s="11" t="s">
        <v>285</v>
      </c>
      <c r="FB31" s="261">
        <f>142.7+1.11+373.47+238.58</f>
        <v>755.86</v>
      </c>
      <c r="FC31" s="11" t="s">
        <v>578</v>
      </c>
    </row>
    <row r="32" spans="1:160" x14ac:dyDescent="0.15">
      <c r="A32" s="241"/>
      <c r="B32" s="209"/>
      <c r="D32" s="105">
        <f>SUM(D28:D31)</f>
        <v>865825.0199999999</v>
      </c>
      <c r="I32" s="209"/>
      <c r="K32" s="105">
        <f>SUM(K28:K31)</f>
        <v>882168.83000000007</v>
      </c>
      <c r="P32" s="209"/>
      <c r="R32" s="105">
        <f>SUM(R28:R31)</f>
        <v>899082.95</v>
      </c>
      <c r="W32" s="209"/>
      <c r="Y32" s="105">
        <f>SUM(Y28:Y31)</f>
        <v>917503.66999999934</v>
      </c>
      <c r="AD32" s="209"/>
      <c r="AF32" s="105">
        <f>SUM(AF28:AF31)</f>
        <v>933836.54</v>
      </c>
      <c r="AH32" s="262">
        <f>AH30-AH31</f>
        <v>929913.61</v>
      </c>
      <c r="AI32" s="263" t="s">
        <v>282</v>
      </c>
      <c r="AJ32" s="263"/>
      <c r="AL32" s="105">
        <f>SUM(AL28:AL31)</f>
        <v>943631.69</v>
      </c>
      <c r="AN32" s="262">
        <f>AN30-AN31</f>
        <v>938974.58</v>
      </c>
      <c r="AO32" s="263" t="s">
        <v>282</v>
      </c>
      <c r="AP32" s="263"/>
      <c r="AR32" s="105">
        <f>SUM(AR28:AR31)</f>
        <v>942605.34</v>
      </c>
      <c r="AT32" s="262">
        <f>AT30-AT31</f>
        <v>940394.73</v>
      </c>
      <c r="AU32" s="263" t="s">
        <v>282</v>
      </c>
      <c r="AV32" s="263"/>
      <c r="AX32" s="105">
        <f>SUM(AX28:AX31)</f>
        <v>940367.21</v>
      </c>
      <c r="AZ32" s="262">
        <f>AZ30-AZ31</f>
        <v>942322.79</v>
      </c>
      <c r="BA32" s="263" t="s">
        <v>282</v>
      </c>
      <c r="BB32" s="263"/>
      <c r="BD32" s="105">
        <f>SUM(BD28:BD31)</f>
        <v>945605.33</v>
      </c>
      <c r="BF32" s="262">
        <f>BF30-BF31</f>
        <v>947622</v>
      </c>
      <c r="BG32" s="263" t="s">
        <v>282</v>
      </c>
      <c r="BH32" s="263"/>
      <c r="BJ32" s="105">
        <f>SUM(BJ28:BJ31)</f>
        <v>950337.37</v>
      </c>
      <c r="BL32" s="262">
        <f>BL30-BL31</f>
        <v>949293.63</v>
      </c>
      <c r="BM32" s="263" t="s">
        <v>282</v>
      </c>
      <c r="BN32" s="263"/>
      <c r="BP32" s="105">
        <f>SUM(BP28:BP31)</f>
        <v>953183.12</v>
      </c>
      <c r="BR32" s="262">
        <f>BR30-BR31</f>
        <v>952113.11</v>
      </c>
      <c r="BS32" s="263" t="s">
        <v>282</v>
      </c>
      <c r="BT32" s="263"/>
      <c r="BV32" s="105">
        <f>SUM(BV28:BV31)</f>
        <v>956799.11</v>
      </c>
      <c r="BX32" s="262">
        <f>BX30-BX31</f>
        <v>955613.47</v>
      </c>
      <c r="BY32" s="263" t="s">
        <v>282</v>
      </c>
      <c r="BZ32" s="263"/>
      <c r="CB32" s="105">
        <f>SUM(CB28:CB31)</f>
        <v>962136.45</v>
      </c>
      <c r="CD32" s="262">
        <f>CD30-CD31</f>
        <v>960592.41</v>
      </c>
      <c r="CE32" s="263" t="s">
        <v>282</v>
      </c>
      <c r="CF32" s="263"/>
      <c r="CH32" s="105">
        <f>SUM(CH28:CH31)</f>
        <v>963299.5299999998</v>
      </c>
      <c r="CJ32" s="262">
        <f>CJ30-CJ31</f>
        <v>961749.14000000013</v>
      </c>
      <c r="CK32" s="263" t="s">
        <v>282</v>
      </c>
      <c r="CL32" s="263"/>
      <c r="CN32" s="105">
        <f>SUM(CN28:CN31)</f>
        <v>967648.24</v>
      </c>
      <c r="CP32" s="239">
        <f>CP30-CP31</f>
        <v>967236.99</v>
      </c>
      <c r="CQ32" s="239" t="s">
        <v>282</v>
      </c>
      <c r="CR32" s="239"/>
      <c r="CT32" s="105">
        <f>SUM(CT28:CT31)</f>
        <v>973952.18</v>
      </c>
      <c r="CV32" s="262">
        <f>CV30-CV31</f>
        <v>975871.5</v>
      </c>
      <c r="CW32" s="239" t="s">
        <v>282</v>
      </c>
      <c r="CX32" s="239"/>
      <c r="CZ32" s="105">
        <f>SUM(CZ28:CZ31)</f>
        <v>980552.15</v>
      </c>
      <c r="DB32" s="262">
        <f>DB30-DB31</f>
        <v>982747.78</v>
      </c>
      <c r="DC32" s="239" t="s">
        <v>282</v>
      </c>
      <c r="DD32" s="239"/>
      <c r="DF32" s="105">
        <f>SUM(DF28:DF31)</f>
        <v>987732.97</v>
      </c>
      <c r="DH32" s="105">
        <f>DH30-DH31</f>
        <v>986727.87</v>
      </c>
      <c r="DN32" s="105">
        <f>DN30-DN31</f>
        <v>984655.94000000006</v>
      </c>
      <c r="DS32" s="105">
        <f>DS30-DS31</f>
        <v>987763.89999999991</v>
      </c>
      <c r="DX32" s="105">
        <f>DX30-DX31</f>
        <v>1002608.6300000001</v>
      </c>
      <c r="EC32" s="105">
        <f>EC30-EC31+EC24</f>
        <v>1013524.45</v>
      </c>
      <c r="EH32" s="229">
        <f>EF23+EF26-EF22-915.5-167.82</f>
        <v>1036132.5299999999</v>
      </c>
      <c r="EI32" s="229"/>
      <c r="EM32" s="229">
        <f>EK23+EK26-EK22</f>
        <v>1059154.17</v>
      </c>
      <c r="EN32" s="229"/>
      <c r="ER32" s="229"/>
      <c r="ES32" s="229"/>
      <c r="EU32" s="252"/>
      <c r="EW32" s="229"/>
      <c r="EX32" s="229"/>
      <c r="EZ32" s="252"/>
      <c r="FB32" s="229"/>
      <c r="FC32" s="229"/>
    </row>
    <row r="33" spans="1:159" x14ac:dyDescent="0.15">
      <c r="A33" s="239" t="s">
        <v>93</v>
      </c>
      <c r="B33" s="209"/>
      <c r="I33" s="209"/>
      <c r="P33" s="209"/>
      <c r="W33" s="209"/>
      <c r="AD33" s="209"/>
      <c r="DH33" s="262">
        <v>986583.79</v>
      </c>
      <c r="DI33" s="239" t="s">
        <v>282</v>
      </c>
      <c r="DJ33" s="239"/>
      <c r="DN33" s="262">
        <f>DL21</f>
        <v>984285.3600000001</v>
      </c>
      <c r="DO33" s="239" t="s">
        <v>282</v>
      </c>
      <c r="DS33" s="262">
        <f>DQ21</f>
        <v>987757.43999999983</v>
      </c>
      <c r="DT33" s="239" t="s">
        <v>282</v>
      </c>
      <c r="DX33" s="262">
        <f>DV21</f>
        <v>1002609.2500000001</v>
      </c>
      <c r="DY33" s="239" t="s">
        <v>502</v>
      </c>
      <c r="EC33" s="229">
        <f>EA21+EA24+82.9-98</f>
        <v>1013524.93</v>
      </c>
      <c r="ED33" s="239" t="s">
        <v>502</v>
      </c>
      <c r="EH33" s="262">
        <f>EH21+EH19-EH31-EH29-915.5-167.82</f>
        <v>1036132.5800000002</v>
      </c>
      <c r="EI33" s="262" t="s">
        <v>502</v>
      </c>
      <c r="EK33" s="262">
        <f>EM23-EM22-EM31-EM29</f>
        <v>1060099.43</v>
      </c>
      <c r="EM33" s="262">
        <v>1058218.01</v>
      </c>
      <c r="EN33" s="262" t="s">
        <v>502</v>
      </c>
      <c r="EP33" s="262">
        <f>EP23-EP22-ER31-ER29</f>
        <v>1067359.5299999996</v>
      </c>
      <c r="ER33" s="262">
        <v>1067358.1280000005</v>
      </c>
      <c r="ES33" s="262" t="s">
        <v>502</v>
      </c>
      <c r="EU33" s="262">
        <f>EU23-EU22-EW31-EW29-EW28-EW27</f>
        <v>1067452.73</v>
      </c>
      <c r="EW33" s="262">
        <v>1069087.27</v>
      </c>
      <c r="EX33" s="262" t="s">
        <v>502</v>
      </c>
      <c r="EZ33" s="262">
        <f>EZ23-EZ22-FB31-FB29-FB28-FB27</f>
        <v>1076215.3999999999</v>
      </c>
      <c r="FB33" s="262">
        <v>1076932.5420000004</v>
      </c>
      <c r="FC33" s="262" t="s">
        <v>502</v>
      </c>
    </row>
    <row r="34" spans="1:159" x14ac:dyDescent="0.15">
      <c r="B34" s="209"/>
      <c r="D34" s="105">
        <f>+D23-D32</f>
        <v>-29.019999999902211</v>
      </c>
      <c r="I34" s="209"/>
      <c r="K34" s="105">
        <f>+K23-K32</f>
        <v>-71.830000000074506</v>
      </c>
      <c r="P34" s="209"/>
      <c r="R34" s="105">
        <f>+R23-R32</f>
        <v>-229.82999999995809</v>
      </c>
      <c r="W34" s="209"/>
      <c r="Y34" s="105">
        <f>+Y23-Y32</f>
        <v>5521.4300000007497</v>
      </c>
      <c r="AD34" s="209"/>
      <c r="AF34" s="105">
        <f>+AF23-AF32</f>
        <v>2328.1199999999953</v>
      </c>
      <c r="AL34" s="105">
        <f>+AL23-AL32</f>
        <v>2331.7100000001956</v>
      </c>
      <c r="AR34" s="105">
        <f>+AR23-AR32</f>
        <v>5209.0500000000466</v>
      </c>
      <c r="AX34" s="105">
        <f>+AX23-AX32</f>
        <v>9881.4600000000792</v>
      </c>
      <c r="BD34" s="105">
        <f>+BD23-BD32</f>
        <v>10322.319999999949</v>
      </c>
      <c r="BJ34" s="105">
        <f>+BJ23-BJ32</f>
        <v>7756.7100000001956</v>
      </c>
      <c r="BP34" s="105">
        <f>+BP23-BP32</f>
        <v>8271.7599999998929</v>
      </c>
      <c r="BV34" s="105">
        <f>+BV23-BV32</f>
        <v>8575.25</v>
      </c>
      <c r="CB34" s="105">
        <f>+CB23-CB32</f>
        <v>8711.7400000001071</v>
      </c>
      <c r="CH34" s="105">
        <f>+CH23-CH32</f>
        <v>9260.7700000002515</v>
      </c>
      <c r="CN34" s="105">
        <f>+CN23-CN32</f>
        <v>6966.5100000000093</v>
      </c>
      <c r="CT34" s="105">
        <f>+CT23-CT32</f>
        <v>6138.6299999998882</v>
      </c>
      <c r="CZ34" s="105">
        <f>+CZ23-CZ32</f>
        <v>6676.9000000000233</v>
      </c>
      <c r="DF34" s="105">
        <f>+DF23-DF32</f>
        <v>3669.4500000000698</v>
      </c>
      <c r="DH34" s="262" t="s">
        <v>447</v>
      </c>
      <c r="DI34" s="262"/>
      <c r="DJ34" s="262"/>
      <c r="DL34" s="105"/>
      <c r="DN34" s="11" t="s">
        <v>447</v>
      </c>
      <c r="DQ34" s="105"/>
      <c r="DS34" s="11" t="s">
        <v>447</v>
      </c>
      <c r="DV34" s="105"/>
      <c r="DX34" s="11" t="s">
        <v>447</v>
      </c>
      <c r="EA34" s="105"/>
      <c r="EF34" s="105"/>
      <c r="EK34" s="105"/>
      <c r="EP34" s="105"/>
      <c r="EU34" s="105"/>
      <c r="EZ34" s="105"/>
    </row>
  </sheetData>
  <phoneticPr fontId="0" type="noConversion"/>
  <pageMargins left="0.5" right="0.5" top="1" bottom="1" header="0.5" footer="0.5"/>
  <pageSetup orientation="landscape" r:id="rId1"/>
  <headerFooter alignWithMargins="0">
    <oddHeader>&amp;A</oddHeader>
    <oddFooter>&amp;CPage &amp;P&amp;R&amp;D</oddFooter>
  </headerFooter>
  <colBreaks count="12" manualBreakCount="12">
    <brk id="16" max="1048575" man="1"/>
    <brk id="30" max="1048575" man="1"/>
    <brk id="42" max="1048575" man="1"/>
    <brk id="54" max="1048575" man="1"/>
    <brk id="66" max="1048575" man="1"/>
    <brk id="84" max="1048575" man="1"/>
    <brk id="96" max="1048575" man="1"/>
    <brk id="108" max="1048575" man="1"/>
    <brk id="119" max="1048575" man="1"/>
    <brk id="129" max="1048575" man="1"/>
    <brk id="134" max="1048575" man="1"/>
    <brk id="15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="75" zoomScaleNormal="75" workbookViewId="0">
      <selection activeCell="N84" sqref="N84"/>
    </sheetView>
  </sheetViews>
  <sheetFormatPr defaultRowHeight="16.5" x14ac:dyDescent="0.3"/>
  <cols>
    <col min="1" max="1" width="42.42578125" style="463" customWidth="1"/>
    <col min="2" max="2" width="10.5703125" style="463" bestFit="1" customWidth="1"/>
    <col min="3" max="3" width="11" style="731" bestFit="1" customWidth="1"/>
    <col min="4" max="4" width="10.42578125" style="463" customWidth="1"/>
    <col min="5" max="5" width="10.5703125" style="731" customWidth="1"/>
    <col min="6" max="6" width="10.42578125" style="463" customWidth="1"/>
    <col min="7" max="7" width="11.28515625" style="731" bestFit="1" customWidth="1"/>
    <col min="8" max="8" width="8.85546875" style="732" customWidth="1"/>
    <col min="9" max="9" width="11.5703125" style="732" bestFit="1" customWidth="1"/>
    <col min="10" max="16384" width="9.140625" style="463"/>
  </cols>
  <sheetData>
    <row r="1" spans="1:9" s="549" customFormat="1" ht="20.25" customHeight="1" x14ac:dyDescent="0.35">
      <c r="A1" s="863" t="s">
        <v>387</v>
      </c>
      <c r="B1" s="864"/>
      <c r="C1" s="864"/>
      <c r="D1" s="864"/>
      <c r="E1" s="864"/>
      <c r="F1" s="864"/>
      <c r="G1" s="864"/>
      <c r="H1" s="864"/>
      <c r="I1" s="865"/>
    </row>
    <row r="2" spans="1:9" s="549" customFormat="1" ht="21" customHeight="1" thickBot="1" x14ac:dyDescent="0.4">
      <c r="A2" s="860" t="s">
        <v>573</v>
      </c>
      <c r="B2" s="861"/>
      <c r="C2" s="861"/>
      <c r="D2" s="861"/>
      <c r="E2" s="861"/>
      <c r="F2" s="861"/>
      <c r="G2" s="861"/>
      <c r="H2" s="861"/>
      <c r="I2" s="866"/>
    </row>
    <row r="3" spans="1:9" ht="17.25" thickBot="1" x14ac:dyDescent="0.35"/>
    <row r="4" spans="1:9" s="4" customFormat="1" ht="17.25" x14ac:dyDescent="0.3">
      <c r="A4" s="758" t="s">
        <v>68</v>
      </c>
      <c r="B4" s="759" t="s">
        <v>547</v>
      </c>
      <c r="C4" s="760"/>
      <c r="D4" s="759" t="s">
        <v>570</v>
      </c>
      <c r="E4" s="760"/>
      <c r="F4" s="761" t="s">
        <v>388</v>
      </c>
      <c r="G4" s="762"/>
      <c r="H4" s="763"/>
      <c r="I4" s="764"/>
    </row>
    <row r="5" spans="1:9" s="4" customFormat="1" ht="18" thickBot="1" x14ac:dyDescent="0.35">
      <c r="A5" s="765" t="s">
        <v>392</v>
      </c>
      <c r="B5" s="766" t="s">
        <v>8</v>
      </c>
      <c r="C5" s="767" t="s">
        <v>349</v>
      </c>
      <c r="D5" s="766" t="s">
        <v>8</v>
      </c>
      <c r="E5" s="767" t="s">
        <v>349</v>
      </c>
      <c r="F5" s="768" t="s">
        <v>8</v>
      </c>
      <c r="G5" s="769" t="s">
        <v>349</v>
      </c>
      <c r="H5" s="770" t="s">
        <v>99</v>
      </c>
      <c r="I5" s="771" t="s">
        <v>389</v>
      </c>
    </row>
    <row r="6" spans="1:9" x14ac:dyDescent="0.3">
      <c r="A6" s="733" t="s">
        <v>100</v>
      </c>
      <c r="B6" s="734">
        <v>1421.22</v>
      </c>
      <c r="C6" s="735">
        <v>138249.70082042189</v>
      </c>
      <c r="D6" s="734">
        <f>Table3WS1!G6</f>
        <v>1382.5300000000002</v>
      </c>
      <c r="E6" s="735">
        <f>Table3WS1!H6</f>
        <v>146676.15540349935</v>
      </c>
      <c r="F6" s="736">
        <f t="shared" ref="F6:G12" si="0">+D6-B6</f>
        <v>-38.689999999999827</v>
      </c>
      <c r="G6" s="737">
        <f t="shared" si="0"/>
        <v>8426.4545830774587</v>
      </c>
      <c r="H6" s="738">
        <f t="shared" ref="H6:H13" si="1">IF(F6=0,0,F6/B6)</f>
        <v>-2.7223090021249226E-2</v>
      </c>
      <c r="I6" s="739">
        <f t="shared" ref="I6:I13" si="2">IF(G6=0,0,G6/C6)</f>
        <v>6.0950978794687742E-2</v>
      </c>
    </row>
    <row r="7" spans="1:9" x14ac:dyDescent="0.3">
      <c r="A7" s="733" t="s">
        <v>101</v>
      </c>
      <c r="B7" s="734">
        <v>3609.65</v>
      </c>
      <c r="C7" s="735">
        <v>122668.49829207818</v>
      </c>
      <c r="D7" s="734">
        <f>Table3WS1!G11</f>
        <v>3589.5399999999995</v>
      </c>
      <c r="E7" s="735">
        <f>Table3WS1!H11</f>
        <v>131034.80176847173</v>
      </c>
      <c r="F7" s="736">
        <f t="shared" si="0"/>
        <v>-20.110000000000582</v>
      </c>
      <c r="G7" s="737">
        <f t="shared" si="0"/>
        <v>8366.3034763935575</v>
      </c>
      <c r="H7" s="738">
        <f t="shared" si="1"/>
        <v>-5.5711772609534395E-3</v>
      </c>
      <c r="I7" s="739">
        <f t="shared" si="2"/>
        <v>6.8202542566984742E-2</v>
      </c>
    </row>
    <row r="8" spans="1:9" x14ac:dyDescent="0.3">
      <c r="A8" s="733" t="s">
        <v>102</v>
      </c>
      <c r="B8" s="734">
        <v>62393.06</v>
      </c>
      <c r="C8" s="735">
        <v>73101.168807877038</v>
      </c>
      <c r="D8" s="734">
        <f>Table3WS1!G15</f>
        <v>62854.920000000006</v>
      </c>
      <c r="E8" s="735">
        <f>Table3WS1!H15</f>
        <v>76819.852381961507</v>
      </c>
      <c r="F8" s="736">
        <f t="shared" si="0"/>
        <v>461.86000000000786</v>
      </c>
      <c r="G8" s="737">
        <f t="shared" si="0"/>
        <v>3718.683574084469</v>
      </c>
      <c r="H8" s="738">
        <f t="shared" si="1"/>
        <v>7.4024258467208989E-3</v>
      </c>
      <c r="I8" s="739">
        <f t="shared" si="2"/>
        <v>5.0870370949305001E-2</v>
      </c>
    </row>
    <row r="9" spans="1:9" x14ac:dyDescent="0.3">
      <c r="A9" s="733" t="s">
        <v>103</v>
      </c>
      <c r="B9" s="734">
        <v>9395.130000000001</v>
      </c>
      <c r="C9" s="735">
        <v>78122.671477669806</v>
      </c>
      <c r="D9" s="734">
        <f>Table3WS1!G26</f>
        <v>9404.4600000000009</v>
      </c>
      <c r="E9" s="735">
        <f>Table3WS1!H26</f>
        <v>81482.427463139815</v>
      </c>
      <c r="F9" s="736">
        <f t="shared" si="0"/>
        <v>9.3299999999999272</v>
      </c>
      <c r="G9" s="737">
        <f t="shared" si="0"/>
        <v>3359.7559854700085</v>
      </c>
      <c r="H9" s="738">
        <f t="shared" si="1"/>
        <v>9.9306768506661719E-4</v>
      </c>
      <c r="I9" s="739">
        <f t="shared" si="2"/>
        <v>4.3006158416258773E-2</v>
      </c>
    </row>
    <row r="10" spans="1:9" x14ac:dyDescent="0.3">
      <c r="A10" s="733" t="s">
        <v>288</v>
      </c>
      <c r="B10" s="734">
        <v>181.91</v>
      </c>
      <c r="C10" s="735">
        <v>77180.840635479079</v>
      </c>
      <c r="D10" s="734">
        <f>Table3WS1!G29</f>
        <v>158.70999999999998</v>
      </c>
      <c r="E10" s="735">
        <f>Table3WS1!H29</f>
        <v>81927.568206162192</v>
      </c>
      <c r="F10" s="736">
        <f t="shared" si="0"/>
        <v>-23.200000000000017</v>
      </c>
      <c r="G10" s="737">
        <f t="shared" si="0"/>
        <v>4746.7275706831133</v>
      </c>
      <c r="H10" s="738">
        <f t="shared" si="1"/>
        <v>-0.12753559452476509</v>
      </c>
      <c r="I10" s="739">
        <f t="shared" si="2"/>
        <v>6.1501371734231945E-2</v>
      </c>
    </row>
    <row r="11" spans="1:9" x14ac:dyDescent="0.3">
      <c r="A11" s="733" t="s">
        <v>104</v>
      </c>
      <c r="B11" s="734">
        <v>65.14</v>
      </c>
      <c r="C11" s="735">
        <v>90797</v>
      </c>
      <c r="D11" s="734">
        <f>Table3WS1!$D$30</f>
        <v>59.98</v>
      </c>
      <c r="E11" s="735">
        <f>Table3WS1!$F$30</f>
        <v>94862</v>
      </c>
      <c r="F11" s="736">
        <f t="shared" si="0"/>
        <v>-5.1600000000000037</v>
      </c>
      <c r="G11" s="737">
        <f t="shared" si="0"/>
        <v>4065</v>
      </c>
      <c r="H11" s="738">
        <f t="shared" si="1"/>
        <v>-7.9214000614062072E-2</v>
      </c>
      <c r="I11" s="739">
        <f t="shared" si="2"/>
        <v>4.4770201658645106E-2</v>
      </c>
    </row>
    <row r="12" spans="1:9" x14ac:dyDescent="0.3">
      <c r="A12" s="471" t="s">
        <v>330</v>
      </c>
      <c r="B12" s="734">
        <v>284.85000000000002</v>
      </c>
      <c r="C12" s="735">
        <v>61556.774091627172</v>
      </c>
      <c r="D12" s="734">
        <f>Table3WS1!G20</f>
        <v>327.21000000000004</v>
      </c>
      <c r="E12" s="735">
        <f>Table3WS1!H20</f>
        <v>60190.47263225451</v>
      </c>
      <c r="F12" s="736">
        <f t="shared" si="0"/>
        <v>42.360000000000014</v>
      </c>
      <c r="G12" s="737">
        <f t="shared" si="0"/>
        <v>-1366.3014593726621</v>
      </c>
      <c r="H12" s="738">
        <f t="shared" si="1"/>
        <v>0.14870984728804637</v>
      </c>
      <c r="I12" s="739">
        <f t="shared" si="2"/>
        <v>-2.2195793712953903E-2</v>
      </c>
    </row>
    <row r="13" spans="1:9" ht="17.25" thickBot="1" x14ac:dyDescent="0.35">
      <c r="A13" s="740" t="s">
        <v>41</v>
      </c>
      <c r="B13" s="741">
        <f>SUM(B6:B12)</f>
        <v>77350.960000000006</v>
      </c>
      <c r="C13" s="742">
        <f>SUMPRODUCT(B6:B12,C6:C12)/SUM(B6:B12)</f>
        <v>77203.188958999337</v>
      </c>
      <c r="D13" s="741">
        <f>Table3WS1!$D$32</f>
        <v>77777.349999999991</v>
      </c>
      <c r="E13" s="742">
        <f>Table3WS1!$F$32</f>
        <v>81081.834554532921</v>
      </c>
      <c r="F13" s="743">
        <f>+D13-B13</f>
        <v>426.38999999998487</v>
      </c>
      <c r="G13" s="744">
        <f>+E13-C13</f>
        <v>3878.6455955335841</v>
      </c>
      <c r="H13" s="745">
        <f t="shared" si="1"/>
        <v>5.5124073443947536E-3</v>
      </c>
      <c r="I13" s="746">
        <f t="shared" si="2"/>
        <v>5.0239447979194676E-2</v>
      </c>
    </row>
    <row r="14" spans="1:9" ht="17.25" thickBot="1" x14ac:dyDescent="0.35">
      <c r="B14" s="747"/>
      <c r="C14" s="748"/>
      <c r="D14" s="747"/>
      <c r="E14" s="748"/>
      <c r="F14" s="747"/>
      <c r="G14" s="748"/>
      <c r="H14" s="749"/>
      <c r="I14" s="749"/>
    </row>
    <row r="15" spans="1:9" s="4" customFormat="1" ht="17.25" x14ac:dyDescent="0.3">
      <c r="A15" s="758" t="s">
        <v>68</v>
      </c>
      <c r="B15" s="759" t="s">
        <v>547</v>
      </c>
      <c r="C15" s="760"/>
      <c r="D15" s="759" t="s">
        <v>570</v>
      </c>
      <c r="E15" s="760"/>
      <c r="F15" s="772" t="s">
        <v>388</v>
      </c>
      <c r="G15" s="762"/>
      <c r="H15" s="763"/>
      <c r="I15" s="764"/>
    </row>
    <row r="16" spans="1:9" s="4" customFormat="1" ht="18" thickBot="1" x14ac:dyDescent="0.35">
      <c r="A16" s="765" t="s">
        <v>393</v>
      </c>
      <c r="B16" s="773" t="s">
        <v>8</v>
      </c>
      <c r="C16" s="767" t="s">
        <v>349</v>
      </c>
      <c r="D16" s="773" t="s">
        <v>8</v>
      </c>
      <c r="E16" s="767" t="s">
        <v>349</v>
      </c>
      <c r="F16" s="774" t="s">
        <v>8</v>
      </c>
      <c r="G16" s="769" t="s">
        <v>349</v>
      </c>
      <c r="H16" s="775" t="s">
        <v>99</v>
      </c>
      <c r="I16" s="771" t="s">
        <v>389</v>
      </c>
    </row>
    <row r="17" spans="1:9" x14ac:dyDescent="0.3">
      <c r="A17" s="733" t="s">
        <v>504</v>
      </c>
      <c r="B17" s="734">
        <v>61795.88</v>
      </c>
      <c r="C17" s="735">
        <v>77617.007755533225</v>
      </c>
      <c r="D17" s="734">
        <f>+Table5_6ws1!F42+Table5_6ws1!F69+Table5_6ws1!F88+Table5_6ws1!F208+Table5_6ws1!F226+Table5_6ws1!F259+Table5_6ws1!F652</f>
        <v>61863.320000000007</v>
      </c>
      <c r="E17" s="735">
        <f>(+Table5_6ws1!G42+Table5_6ws1!G69+Table5_6ws1!G88+Table5_6ws1!G208+Table5_6ws1!G226+Table5_6ws1!G259+Table5_6ws1!G652)/D17</f>
        <v>81527.910962424896</v>
      </c>
      <c r="F17" s="736">
        <f t="shared" ref="F17:F27" si="3">+D17-B17</f>
        <v>67.440000000009604</v>
      </c>
      <c r="G17" s="737">
        <f t="shared" ref="G17:G27" si="4">+E17-C17</f>
        <v>3910.9032068916713</v>
      </c>
      <c r="H17" s="738">
        <f t="shared" ref="H17:H28" si="5">IF(F17=0,0,F17/B17)</f>
        <v>1.0913348915819244E-3</v>
      </c>
      <c r="I17" s="739">
        <f t="shared" ref="I17:I28" si="6">IF(G17=0,0,G17/C17)</f>
        <v>5.0387193734776098E-2</v>
      </c>
    </row>
    <row r="18" spans="1:9" x14ac:dyDescent="0.3">
      <c r="A18" s="733" t="s">
        <v>486</v>
      </c>
      <c r="B18" s="734">
        <v>9459.2900000000027</v>
      </c>
      <c r="C18" s="735">
        <v>74007.632903738006</v>
      </c>
      <c r="D18" s="734">
        <f>+Table5_6ws1!F121+Table5_6ws1!F139</f>
        <v>9820.61</v>
      </c>
      <c r="E18" s="735">
        <f>(+Table5_6ws1!G121+Table5_6ws1!G139)/D18</f>
        <v>77452.437573633419</v>
      </c>
      <c r="F18" s="736">
        <f t="shared" si="3"/>
        <v>361.31999999999789</v>
      </c>
      <c r="G18" s="737">
        <f t="shared" si="4"/>
        <v>3444.8046698954131</v>
      </c>
      <c r="H18" s="738">
        <f t="shared" si="5"/>
        <v>3.8197369992885068E-2</v>
      </c>
      <c r="I18" s="739">
        <f t="shared" si="6"/>
        <v>4.6546613298334823E-2</v>
      </c>
    </row>
    <row r="19" spans="1:9" x14ac:dyDescent="0.3">
      <c r="A19" s="733" t="s">
        <v>487</v>
      </c>
      <c r="B19" s="734">
        <v>1006.5699999999999</v>
      </c>
      <c r="C19" s="735">
        <v>75133.775951995398</v>
      </c>
      <c r="D19" s="734">
        <f>+Table5_6ws1!F160+Table5_6ws1!F184</f>
        <v>1032.52</v>
      </c>
      <c r="E19" s="735">
        <f>(+Table5_6ws1!G160+Table5_6ws1!G184)/D19</f>
        <v>79539.172132258929</v>
      </c>
      <c r="F19" s="736">
        <f t="shared" si="3"/>
        <v>25.950000000000045</v>
      </c>
      <c r="G19" s="737">
        <f t="shared" si="4"/>
        <v>4405.3961802635313</v>
      </c>
      <c r="H19" s="738">
        <f t="shared" si="5"/>
        <v>2.5780621317941173E-2</v>
      </c>
      <c r="I19" s="739">
        <f t="shared" si="6"/>
        <v>5.8634031425203952E-2</v>
      </c>
    </row>
    <row r="20" spans="1:9" x14ac:dyDescent="0.3">
      <c r="A20" s="733" t="s">
        <v>386</v>
      </c>
      <c r="B20" s="734">
        <v>71.040000000000006</v>
      </c>
      <c r="C20" s="735">
        <v>80541.964386261257</v>
      </c>
      <c r="D20" s="734">
        <f>+Table5_6ws1!F174+Table5_6ws1!F370+Table5_6ws1!F407</f>
        <v>64.510000000000005</v>
      </c>
      <c r="E20" s="735">
        <f>(+Table5_6ws1!G174+Table5_6ws1!G370+Table5_6ws1!G407)/D20</f>
        <v>84084.93938924199</v>
      </c>
      <c r="F20" s="736">
        <f t="shared" si="3"/>
        <v>-6.5300000000000011</v>
      </c>
      <c r="G20" s="737">
        <f t="shared" si="4"/>
        <v>3542.9750029807328</v>
      </c>
      <c r="H20" s="738">
        <f t="shared" si="5"/>
        <v>-9.1920045045045057E-2</v>
      </c>
      <c r="I20" s="739">
        <f t="shared" si="6"/>
        <v>4.398918042263554E-2</v>
      </c>
    </row>
    <row r="21" spans="1:9" x14ac:dyDescent="0.3">
      <c r="A21" s="733" t="s">
        <v>105</v>
      </c>
      <c r="B21" s="734">
        <v>1952.2700000000004</v>
      </c>
      <c r="C21" s="735">
        <v>79118.376858733667</v>
      </c>
      <c r="D21" s="734">
        <f>+Table5_6ws1!F357</f>
        <v>1990.0699999999997</v>
      </c>
      <c r="E21" s="735">
        <f>+Table5_6ws1!G357/D21</f>
        <v>83440.071856768875</v>
      </c>
      <c r="F21" s="736">
        <f t="shared" si="3"/>
        <v>37.799999999999272</v>
      </c>
      <c r="G21" s="737">
        <f t="shared" si="4"/>
        <v>4321.6949980352074</v>
      </c>
      <c r="H21" s="738">
        <f t="shared" si="5"/>
        <v>1.9362075942364151E-2</v>
      </c>
      <c r="I21" s="739">
        <f t="shared" si="6"/>
        <v>5.4623150393386097E-2</v>
      </c>
    </row>
    <row r="22" spans="1:9" x14ac:dyDescent="0.3">
      <c r="A22" s="733" t="s">
        <v>323</v>
      </c>
      <c r="B22" s="734">
        <v>1056.56</v>
      </c>
      <c r="C22" s="735">
        <v>78705.832995759818</v>
      </c>
      <c r="D22" s="734">
        <f>+Table5_6ws1!F286</f>
        <v>1063.1999999999998</v>
      </c>
      <c r="E22" s="735">
        <f>+Table5_6ws1!G286/D22</f>
        <v>82867.595005643336</v>
      </c>
      <c r="F22" s="736">
        <f t="shared" si="3"/>
        <v>6.6399999999998727</v>
      </c>
      <c r="G22" s="737">
        <f t="shared" si="4"/>
        <v>4161.7620098835177</v>
      </c>
      <c r="H22" s="738">
        <f t="shared" si="5"/>
        <v>6.2845460740515195E-3</v>
      </c>
      <c r="I22" s="739">
        <f t="shared" si="6"/>
        <v>5.2877427904329879E-2</v>
      </c>
    </row>
    <row r="23" spans="1:9" x14ac:dyDescent="0.3">
      <c r="A23" s="733" t="s">
        <v>324</v>
      </c>
      <c r="B23" s="734">
        <v>1096.0100000000002</v>
      </c>
      <c r="C23" s="735">
        <v>76374.413755348927</v>
      </c>
      <c r="D23" s="734">
        <f>+Table5_6ws1!F461</f>
        <v>1069.17</v>
      </c>
      <c r="E23" s="735">
        <f>+Table5_6ws1!G461/D23</f>
        <v>80898.206608864813</v>
      </c>
      <c r="F23" s="736">
        <f t="shared" si="3"/>
        <v>-26.840000000000146</v>
      </c>
      <c r="G23" s="737">
        <f t="shared" si="4"/>
        <v>4523.7928535158862</v>
      </c>
      <c r="H23" s="738">
        <f t="shared" si="5"/>
        <v>-2.4488827656682092E-2</v>
      </c>
      <c r="I23" s="739">
        <f t="shared" si="6"/>
        <v>5.9231784979810201E-2</v>
      </c>
    </row>
    <row r="24" spans="1:9" x14ac:dyDescent="0.3">
      <c r="A24" s="733" t="s">
        <v>106</v>
      </c>
      <c r="B24" s="734">
        <v>225.56</v>
      </c>
      <c r="C24" s="735">
        <v>79588.833303777254</v>
      </c>
      <c r="D24" s="734">
        <f>+Table5_6ws1!F524</f>
        <v>216.3</v>
      </c>
      <c r="E24" s="735">
        <f>+Table5_6ws1!G524/D24</f>
        <v>84167.739944521483</v>
      </c>
      <c r="F24" s="736">
        <f t="shared" si="3"/>
        <v>-9.2599999999999909</v>
      </c>
      <c r="G24" s="737">
        <f t="shared" si="4"/>
        <v>4578.9066407442297</v>
      </c>
      <c r="H24" s="738">
        <f t="shared" si="5"/>
        <v>-4.1053378258556442E-2</v>
      </c>
      <c r="I24" s="739">
        <f t="shared" si="6"/>
        <v>5.7532023660496562E-2</v>
      </c>
    </row>
    <row r="25" spans="1:9" x14ac:dyDescent="0.3">
      <c r="A25" s="733" t="s">
        <v>107</v>
      </c>
      <c r="B25" s="734">
        <v>682.97</v>
      </c>
      <c r="C25" s="735">
        <v>79159.14826419903</v>
      </c>
      <c r="D25" s="734">
        <f>+Table5_6ws1!F738</f>
        <v>652.76</v>
      </c>
      <c r="E25" s="735">
        <f>+Table5_6ws1!G739</f>
        <v>84330.297184263734</v>
      </c>
      <c r="F25" s="736">
        <f t="shared" si="3"/>
        <v>-30.210000000000036</v>
      </c>
      <c r="G25" s="737">
        <f t="shared" si="4"/>
        <v>5171.1489200647047</v>
      </c>
      <c r="H25" s="738">
        <f t="shared" si="5"/>
        <v>-4.4233275253671517E-2</v>
      </c>
      <c r="I25" s="739">
        <f t="shared" si="6"/>
        <v>6.5325979794598657E-2</v>
      </c>
    </row>
    <row r="26" spans="1:9" x14ac:dyDescent="0.3">
      <c r="A26" s="733" t="s">
        <v>325</v>
      </c>
      <c r="B26" s="734">
        <v>0.7</v>
      </c>
      <c r="C26" s="735">
        <v>117851</v>
      </c>
      <c r="D26" s="734">
        <f>+Table5_6ws1!F664</f>
        <v>0.6</v>
      </c>
      <c r="E26" s="735">
        <f>+Table5_6ws1!G664/D26</f>
        <v>151028</v>
      </c>
      <c r="F26" s="736">
        <f t="shared" si="3"/>
        <v>-9.9999999999999978E-2</v>
      </c>
      <c r="G26" s="737">
        <f t="shared" si="4"/>
        <v>33177</v>
      </c>
      <c r="H26" s="738">
        <f t="shared" si="5"/>
        <v>-0.14285714285714282</v>
      </c>
      <c r="I26" s="739">
        <f t="shared" si="6"/>
        <v>0.28151649116256966</v>
      </c>
    </row>
    <row r="27" spans="1:9" x14ac:dyDescent="0.3">
      <c r="A27" s="733" t="s">
        <v>108</v>
      </c>
      <c r="B27" s="734">
        <v>3.6999999999999997</v>
      </c>
      <c r="C27" s="735">
        <v>128656.66216216216</v>
      </c>
      <c r="D27" s="734">
        <f>+Table5_6ws1!F678</f>
        <v>4.43</v>
      </c>
      <c r="E27" s="735">
        <f>+Table5_6ws1!G678/D27</f>
        <v>130279</v>
      </c>
      <c r="F27" s="736">
        <f t="shared" si="3"/>
        <v>0.73</v>
      </c>
      <c r="G27" s="737">
        <f t="shared" si="4"/>
        <v>1622.3378378378402</v>
      </c>
      <c r="H27" s="738">
        <f t="shared" si="5"/>
        <v>0.19729729729729731</v>
      </c>
      <c r="I27" s="739">
        <f t="shared" si="6"/>
        <v>1.2609823778833964E-2</v>
      </c>
    </row>
    <row r="28" spans="1:9" ht="17.25" thickBot="1" x14ac:dyDescent="0.35">
      <c r="A28" s="750" t="s">
        <v>41</v>
      </c>
      <c r="B28" s="741">
        <f>SUM(B17:B27)</f>
        <v>77350.549999999988</v>
      </c>
      <c r="C28" s="742">
        <f>SUMPRODUCT(B17:B27,C17:C27)/SUM(B17:B27)</f>
        <v>77203.316083466765</v>
      </c>
      <c r="D28" s="741">
        <f>+Table5_6ws1!F704</f>
        <v>77777.349999999991</v>
      </c>
      <c r="E28" s="742">
        <f>+Table5_6ws1!G704</f>
        <v>81081.834554532921</v>
      </c>
      <c r="F28" s="743">
        <f>+D28-B28</f>
        <v>426.80000000000291</v>
      </c>
      <c r="G28" s="744">
        <f>+E28-C28</f>
        <v>3878.5184710661561</v>
      </c>
      <c r="H28" s="745">
        <f t="shared" si="5"/>
        <v>5.5177371072345702E-3</v>
      </c>
      <c r="I28" s="746">
        <f t="shared" si="6"/>
        <v>5.0237718634688906E-2</v>
      </c>
    </row>
    <row r="29" spans="1:9" ht="17.25" thickBot="1" x14ac:dyDescent="0.35">
      <c r="B29" s="751"/>
      <c r="C29" s="748"/>
      <c r="D29" s="751"/>
      <c r="E29" s="748"/>
      <c r="F29" s="546"/>
      <c r="G29" s="748"/>
      <c r="H29" s="752"/>
      <c r="I29" s="752"/>
    </row>
    <row r="30" spans="1:9" s="4" customFormat="1" ht="17.25" x14ac:dyDescent="0.3">
      <c r="A30" s="758" t="s">
        <v>391</v>
      </c>
      <c r="B30" s="759" t="s">
        <v>547</v>
      </c>
      <c r="C30" s="760"/>
      <c r="D30" s="759" t="s">
        <v>570</v>
      </c>
      <c r="E30" s="760"/>
      <c r="F30" s="761" t="s">
        <v>388</v>
      </c>
      <c r="G30" s="762"/>
      <c r="H30" s="763"/>
      <c r="I30" s="764"/>
    </row>
    <row r="31" spans="1:9" s="4" customFormat="1" ht="18" thickBot="1" x14ac:dyDescent="0.35">
      <c r="A31" s="765" t="s">
        <v>393</v>
      </c>
      <c r="B31" s="766" t="s">
        <v>8</v>
      </c>
      <c r="C31" s="767" t="s">
        <v>349</v>
      </c>
      <c r="D31" s="766" t="s">
        <v>8</v>
      </c>
      <c r="E31" s="767" t="s">
        <v>349</v>
      </c>
      <c r="F31" s="768" t="s">
        <v>8</v>
      </c>
      <c r="G31" s="769" t="s">
        <v>349</v>
      </c>
      <c r="H31" s="770" t="s">
        <v>99</v>
      </c>
      <c r="I31" s="771" t="s">
        <v>389</v>
      </c>
    </row>
    <row r="32" spans="1:9" x14ac:dyDescent="0.3">
      <c r="A32" s="733" t="str">
        <f t="shared" ref="A32:A42" si="7">A17</f>
        <v>Basic Education (01, 02, 03, 31, 34, 45, 97)</v>
      </c>
      <c r="B32" s="734">
        <v>4530.6100000000006</v>
      </c>
      <c r="C32" s="735">
        <v>127670.98095841396</v>
      </c>
      <c r="D32" s="734">
        <f>+Table5_6ws1!H42+Table5_6ws1!H69+Table5_6ws1!H88+Table5_6ws1!H208+Table5_6ws1!H226+Table5_6ws1!H259+Table5_6ws1!H652</f>
        <v>4476.3099999999995</v>
      </c>
      <c r="E32" s="735">
        <f>(+Table5_6ws1!I42+Table5_6ws1!I69+Table5_6ws1!I88+Table5_6ws1!I208+Table5_6ws1!I226+Table5_6ws1!I259+Table5_6ws1!I652)/D32</f>
        <v>135841.32380688557</v>
      </c>
      <c r="F32" s="736">
        <f t="shared" ref="F32:F42" si="8">+D32-B32</f>
        <v>-54.300000000001091</v>
      </c>
      <c r="G32" s="737">
        <f t="shared" ref="G32:G42" si="9">+E32-C32</f>
        <v>8170.3428484716133</v>
      </c>
      <c r="H32" s="738">
        <f>IF(F32=0,0,F32/B32)</f>
        <v>-1.1985141073718789E-2</v>
      </c>
      <c r="I32" s="739">
        <f>IF(G32=0,0,G32/C32)</f>
        <v>6.399530094574056E-2</v>
      </c>
    </row>
    <row r="33" spans="1:9" x14ac:dyDescent="0.3">
      <c r="A33" s="733" t="str">
        <f t="shared" si="7"/>
        <v>Special Education, State (21, 22)</v>
      </c>
      <c r="B33" s="734">
        <v>290.94</v>
      </c>
      <c r="C33" s="735">
        <v>123143.26740908778</v>
      </c>
      <c r="D33" s="734">
        <f>+Table5_6ws1!H121+Table5_6ws1!H139</f>
        <v>286.03000000000003</v>
      </c>
      <c r="E33" s="735">
        <f>(+Table5_6ws1!I121+Table5_6ws1!I139)/D33</f>
        <v>133044.3283571653</v>
      </c>
      <c r="F33" s="736">
        <f t="shared" si="8"/>
        <v>-4.9099999999999682</v>
      </c>
      <c r="G33" s="737">
        <f t="shared" si="9"/>
        <v>9901.0609480775165</v>
      </c>
      <c r="H33" s="738">
        <f t="shared" ref="H33:H43" si="10">IF(F33=0,0,F33/B33)</f>
        <v>-1.6876331889736605E-2</v>
      </c>
      <c r="I33" s="739">
        <f t="shared" ref="I33:I43" si="11">IF(G33=0,0,G33/C33)</f>
        <v>8.040277926998414E-2</v>
      </c>
    </row>
    <row r="34" spans="1:9" x14ac:dyDescent="0.3">
      <c r="A34" s="733" t="str">
        <f t="shared" si="7"/>
        <v>Special Education, Federal (24, 25, 29)</v>
      </c>
      <c r="B34" s="734">
        <v>7.32</v>
      </c>
      <c r="C34" s="735">
        <v>131146.03825136612</v>
      </c>
      <c r="D34" s="734">
        <f>+Table5_6ws1!H160+Table5_6ws1!H184</f>
        <v>9.1000000000000014</v>
      </c>
      <c r="E34" s="735">
        <f>(+Table5_6ws1!I160+Table5_6ws1!I184)/D34</f>
        <v>132820.20109890107</v>
      </c>
      <c r="F34" s="736">
        <f t="shared" si="8"/>
        <v>1.7800000000000011</v>
      </c>
      <c r="G34" s="737">
        <f t="shared" si="9"/>
        <v>1674.1628475349571</v>
      </c>
      <c r="H34" s="738">
        <f t="shared" si="10"/>
        <v>0.24316939890710398</v>
      </c>
      <c r="I34" s="739">
        <f t="shared" si="11"/>
        <v>1.2765637985389298E-2</v>
      </c>
    </row>
    <row r="35" spans="1:9" x14ac:dyDescent="0.3">
      <c r="A35" s="733" t="str">
        <f t="shared" si="7"/>
        <v>Institutions, State (26, 56, 59)</v>
      </c>
      <c r="B35" s="734">
        <v>6.4</v>
      </c>
      <c r="C35" s="735">
        <v>132186.10625000001</v>
      </c>
      <c r="D35" s="734">
        <f>+Table5_6ws1!H174+Table5_6ws1!H370+Table5_6ws1!H407</f>
        <v>5.51</v>
      </c>
      <c r="E35" s="735">
        <f>(+Table5_6ws1!I174+Table5_6ws1!I370+Table5_6ws1!I407)/D35</f>
        <v>142562.67150635211</v>
      </c>
      <c r="F35" s="736">
        <f t="shared" si="8"/>
        <v>-0.89000000000000057</v>
      </c>
      <c r="G35" s="737">
        <f t="shared" si="9"/>
        <v>10376.5652563521</v>
      </c>
      <c r="H35" s="738">
        <f t="shared" si="10"/>
        <v>-0.13906250000000009</v>
      </c>
      <c r="I35" s="739">
        <f t="shared" si="11"/>
        <v>7.8499666498438064E-2</v>
      </c>
    </row>
    <row r="36" spans="1:9" x14ac:dyDescent="0.3">
      <c r="A36" s="733" t="str">
        <f t="shared" si="7"/>
        <v>Learning Assistance, State (55)</v>
      </c>
      <c r="B36" s="734">
        <v>55.42</v>
      </c>
      <c r="C36" s="735">
        <v>116835.77174305305</v>
      </c>
      <c r="D36" s="734">
        <f>+Table5_6ws1!H357</f>
        <v>52.110000000000007</v>
      </c>
      <c r="E36" s="735">
        <f>+Table5_6ws1!I357/D36</f>
        <v>127132.35578583763</v>
      </c>
      <c r="F36" s="736">
        <f t="shared" si="8"/>
        <v>-3.3099999999999952</v>
      </c>
      <c r="G36" s="737">
        <f t="shared" si="9"/>
        <v>10296.584042784583</v>
      </c>
      <c r="H36" s="738">
        <f t="shared" si="10"/>
        <v>-5.9725730783110699E-2</v>
      </c>
      <c r="I36" s="739">
        <f t="shared" si="11"/>
        <v>8.8128694569921465E-2</v>
      </c>
    </row>
    <row r="37" spans="1:9" x14ac:dyDescent="0.3">
      <c r="A37" s="733" t="str">
        <f t="shared" si="7"/>
        <v>Disadvantaged, Federal (51)</v>
      </c>
      <c r="B37" s="734">
        <v>34.43</v>
      </c>
      <c r="C37" s="735">
        <v>117463.61341853035</v>
      </c>
      <c r="D37" s="734">
        <f>+Table5_6ws1!H286</f>
        <v>38.33</v>
      </c>
      <c r="E37" s="735">
        <f>+Table5_6ws1!I286/D37</f>
        <v>126491.81946256198</v>
      </c>
      <c r="F37" s="736">
        <f t="shared" si="8"/>
        <v>3.8999999999999986</v>
      </c>
      <c r="G37" s="737">
        <f t="shared" si="9"/>
        <v>9028.2060440316272</v>
      </c>
      <c r="H37" s="738">
        <f t="shared" si="10"/>
        <v>0.11327330816148704</v>
      </c>
      <c r="I37" s="739">
        <f t="shared" si="11"/>
        <v>7.6859597464140256E-2</v>
      </c>
    </row>
    <row r="38" spans="1:9" x14ac:dyDescent="0.3">
      <c r="A38" s="733" t="str">
        <f t="shared" si="7"/>
        <v>Transitional Bilingual, State (65)</v>
      </c>
      <c r="B38" s="734">
        <v>36.080000000000005</v>
      </c>
      <c r="C38" s="735">
        <v>122295.07400221728</v>
      </c>
      <c r="D38" s="734">
        <f>+Table5_6ws1!H461</f>
        <v>32.880000000000003</v>
      </c>
      <c r="E38" s="735">
        <f>+Table5_6ws1!I461/D38</f>
        <v>134610.24726277372</v>
      </c>
      <c r="F38" s="736">
        <f t="shared" si="8"/>
        <v>-3.2000000000000028</v>
      </c>
      <c r="G38" s="737">
        <f t="shared" si="9"/>
        <v>12315.173260556432</v>
      </c>
      <c r="H38" s="738">
        <f t="shared" si="10"/>
        <v>-8.8691796008869242E-2</v>
      </c>
      <c r="I38" s="739">
        <f t="shared" si="11"/>
        <v>0.10070048496256807</v>
      </c>
    </row>
    <row r="39" spans="1:9" x14ac:dyDescent="0.3">
      <c r="A39" s="733" t="str">
        <f t="shared" si="7"/>
        <v>Highly Capable (74)</v>
      </c>
      <c r="B39" s="734">
        <v>10.5</v>
      </c>
      <c r="C39" s="735">
        <v>119973.45333333334</v>
      </c>
      <c r="D39" s="734">
        <f>+Table5_6ws1!H524</f>
        <v>10.11</v>
      </c>
      <c r="E39" s="735">
        <f>+Table5_6ws1!I524/D39</f>
        <v>133754.19287833828</v>
      </c>
      <c r="F39" s="736">
        <f t="shared" si="8"/>
        <v>-0.39000000000000057</v>
      </c>
      <c r="G39" s="737">
        <f t="shared" si="9"/>
        <v>13780.739545004937</v>
      </c>
      <c r="H39" s="738">
        <f t="shared" si="10"/>
        <v>-3.71428571428572E-2</v>
      </c>
      <c r="I39" s="739">
        <f t="shared" si="11"/>
        <v>0.11486490687832944</v>
      </c>
    </row>
    <row r="40" spans="1:9" x14ac:dyDescent="0.3">
      <c r="A40" s="733" t="str">
        <f t="shared" si="7"/>
        <v>Other, State and Federal</v>
      </c>
      <c r="B40" s="734">
        <v>54.8</v>
      </c>
      <c r="C40" s="735">
        <v>118015.11879562041</v>
      </c>
      <c r="D40" s="734">
        <f>+Table5_6ws1!H738</f>
        <v>56.7</v>
      </c>
      <c r="E40" s="735">
        <f>+Table5_6ws1!I739</f>
        <v>125373.46084656083</v>
      </c>
      <c r="F40" s="736">
        <f t="shared" si="8"/>
        <v>1.9000000000000057</v>
      </c>
      <c r="G40" s="737">
        <f t="shared" si="9"/>
        <v>7358.3420509404241</v>
      </c>
      <c r="H40" s="738">
        <f t="shared" si="10"/>
        <v>3.4671532846715432E-2</v>
      </c>
      <c r="I40" s="739">
        <f t="shared" si="11"/>
        <v>6.2350842214408682E-2</v>
      </c>
    </row>
    <row r="41" spans="1:9" x14ac:dyDescent="0.3">
      <c r="A41" s="733" t="str">
        <f t="shared" si="7"/>
        <v>Food Services (98)</v>
      </c>
      <c r="B41" s="734">
        <v>0.7</v>
      </c>
      <c r="C41" s="735">
        <v>117851</v>
      </c>
      <c r="D41" s="734">
        <f>+Table5_6ws1!H664</f>
        <v>0.6</v>
      </c>
      <c r="E41" s="735">
        <f>+Table5_6ws1!I664/D41</f>
        <v>151028</v>
      </c>
      <c r="F41" s="736">
        <f t="shared" si="8"/>
        <v>-9.9999999999999978E-2</v>
      </c>
      <c r="G41" s="737">
        <f t="shared" si="9"/>
        <v>33177</v>
      </c>
      <c r="H41" s="738">
        <f t="shared" si="10"/>
        <v>-0.14285714285714282</v>
      </c>
      <c r="I41" s="739">
        <f t="shared" si="11"/>
        <v>0.28151649116256966</v>
      </c>
    </row>
    <row r="42" spans="1:9" x14ac:dyDescent="0.3">
      <c r="A42" s="733" t="str">
        <f t="shared" si="7"/>
        <v>Pupil Transportation (99)</v>
      </c>
      <c r="B42" s="734">
        <v>3.6999999999999997</v>
      </c>
      <c r="C42" s="735">
        <v>128656.66216216216</v>
      </c>
      <c r="D42" s="734">
        <f>+Table5_6ws1!H678</f>
        <v>4.43</v>
      </c>
      <c r="E42" s="735">
        <f>+Table5_6ws1!I678/D42</f>
        <v>130279</v>
      </c>
      <c r="F42" s="736">
        <f t="shared" si="8"/>
        <v>0.73</v>
      </c>
      <c r="G42" s="737">
        <f t="shared" si="9"/>
        <v>1622.3378378378402</v>
      </c>
      <c r="H42" s="738">
        <f t="shared" si="10"/>
        <v>0.19729729729729731</v>
      </c>
      <c r="I42" s="739">
        <f t="shared" si="11"/>
        <v>1.2609823778833964E-2</v>
      </c>
    </row>
    <row r="43" spans="1:9" ht="17.25" thickBot="1" x14ac:dyDescent="0.35">
      <c r="A43" s="750" t="s">
        <v>41</v>
      </c>
      <c r="B43" s="741">
        <f>SUM(B32:B42)</f>
        <v>5030.8999999999996</v>
      </c>
      <c r="C43" s="742">
        <f>SUMPRODUCT(B32:B42,C32:C42)/SUM(B32:B42)</f>
        <v>127070.28511995869</v>
      </c>
      <c r="D43" s="741">
        <f>+Table5_6ws1!H704</f>
        <v>4972.07</v>
      </c>
      <c r="E43" s="742">
        <f>+Table5_6ws1!I704</f>
        <v>135384.02465572691</v>
      </c>
      <c r="F43" s="743">
        <f>+D43-B43</f>
        <v>-58.829999999999927</v>
      </c>
      <c r="G43" s="744">
        <f>+E43-C43</f>
        <v>8313.7395357682253</v>
      </c>
      <c r="H43" s="745">
        <f t="shared" si="10"/>
        <v>-1.1693732731717969E-2</v>
      </c>
      <c r="I43" s="746">
        <f t="shared" si="11"/>
        <v>6.5426307400819728E-2</v>
      </c>
    </row>
    <row r="44" spans="1:9" ht="17.25" thickBot="1" x14ac:dyDescent="0.35">
      <c r="B44" s="546"/>
      <c r="C44" s="748"/>
      <c r="D44" s="747"/>
      <c r="E44" s="748"/>
      <c r="F44" s="546"/>
      <c r="G44" s="748"/>
      <c r="H44" s="752"/>
      <c r="I44" s="752"/>
    </row>
    <row r="45" spans="1:9" s="4" customFormat="1" ht="17.25" x14ac:dyDescent="0.3">
      <c r="A45" s="758" t="s">
        <v>390</v>
      </c>
      <c r="B45" s="759" t="s">
        <v>547</v>
      </c>
      <c r="C45" s="760"/>
      <c r="D45" s="759" t="s">
        <v>570</v>
      </c>
      <c r="E45" s="760"/>
      <c r="F45" s="761" t="s">
        <v>388</v>
      </c>
      <c r="G45" s="762"/>
      <c r="H45" s="763"/>
      <c r="I45" s="764"/>
    </row>
    <row r="46" spans="1:9" s="4" customFormat="1" ht="18" thickBot="1" x14ac:dyDescent="0.35">
      <c r="A46" s="765" t="s">
        <v>393</v>
      </c>
      <c r="B46" s="766" t="s">
        <v>8</v>
      </c>
      <c r="C46" s="767" t="s">
        <v>349</v>
      </c>
      <c r="D46" s="766" t="s">
        <v>8</v>
      </c>
      <c r="E46" s="767" t="s">
        <v>349</v>
      </c>
      <c r="F46" s="768" t="s">
        <v>8</v>
      </c>
      <c r="G46" s="769" t="s">
        <v>349</v>
      </c>
      <c r="H46" s="770" t="s">
        <v>99</v>
      </c>
      <c r="I46" s="771" t="s">
        <v>389</v>
      </c>
    </row>
    <row r="47" spans="1:9" x14ac:dyDescent="0.3">
      <c r="A47" s="733" t="str">
        <f t="shared" ref="A47:A57" si="12">A17</f>
        <v>Basic Education (01, 02, 03, 31, 34, 45, 97)</v>
      </c>
      <c r="B47" s="734">
        <v>57054.439999999995</v>
      </c>
      <c r="C47" s="735">
        <v>73628.35654473168</v>
      </c>
      <c r="D47" s="734">
        <f>+Table5_6ws1!J42+Table5_6ws1!J69+Table5_6ws1!J88+Table5_6ws1!J208+Table5_6ws1!J226+Table5_6ws1!J259+Table5_6ws1!J652</f>
        <v>57198.610000000008</v>
      </c>
      <c r="E47" s="735">
        <f>(+Table5_6ws1!K42+Table5_6ws1!K69+Table5_6ws1!K88+Table5_6ws1!K208+Table5_6ws1!K226+Table5_6ws1!K259+Table5_6ws1!K652)/D47</f>
        <v>77265.585720527117</v>
      </c>
      <c r="F47" s="736">
        <f t="shared" ref="F47:F55" si="13">+D47-B47</f>
        <v>144.17000000001281</v>
      </c>
      <c r="G47" s="737">
        <f t="shared" ref="G47:G55" si="14">+E47-C47</f>
        <v>3637.2291757954372</v>
      </c>
      <c r="H47" s="738">
        <f t="shared" ref="H47:I58" si="15">IF(F47=0,0,F47/B47)</f>
        <v>2.5268848489269692E-3</v>
      </c>
      <c r="I47" s="739">
        <f t="shared" si="15"/>
        <v>4.9399841942495339E-2</v>
      </c>
    </row>
    <row r="48" spans="1:9" x14ac:dyDescent="0.3">
      <c r="A48" s="733" t="str">
        <f t="shared" si="12"/>
        <v>Special Education, State (21, 22)</v>
      </c>
      <c r="B48" s="734">
        <v>9158.6600000000017</v>
      </c>
      <c r="C48" s="735">
        <v>72469.630843376639</v>
      </c>
      <c r="D48" s="734">
        <f>+Table5_6ws1!J121+Table5_6ws1!J139</f>
        <v>9526.2200000000012</v>
      </c>
      <c r="E48" s="735">
        <f>(+Table5_6ws1!K121+Table5_6ws1!K139)/D48</f>
        <v>75784.471609935528</v>
      </c>
      <c r="F48" s="736">
        <f t="shared" si="13"/>
        <v>367.55999999999949</v>
      </c>
      <c r="G48" s="737">
        <f t="shared" si="14"/>
        <v>3314.8407665588893</v>
      </c>
      <c r="H48" s="738">
        <f t="shared" si="15"/>
        <v>4.0132508467395821E-2</v>
      </c>
      <c r="I48" s="739">
        <f t="shared" si="15"/>
        <v>4.5741101865456088E-2</v>
      </c>
    </row>
    <row r="49" spans="1:9" x14ac:dyDescent="0.3">
      <c r="A49" s="733" t="str">
        <f t="shared" si="12"/>
        <v>Special Education, Federal (24, 25, 29)</v>
      </c>
      <c r="B49" s="734">
        <v>999.24999999999989</v>
      </c>
      <c r="C49" s="735">
        <v>74723.458453840387</v>
      </c>
      <c r="D49" s="734">
        <f>+Table5_6ws1!J160+Table5_6ws1!J184</f>
        <v>1023.42</v>
      </c>
      <c r="E49" s="735">
        <f>(+Table5_6ws1!K160+Table5_6ws1!K184)/D49</f>
        <v>79065.410271442801</v>
      </c>
      <c r="F49" s="736">
        <f t="shared" si="13"/>
        <v>24.170000000000073</v>
      </c>
      <c r="G49" s="737">
        <f t="shared" si="14"/>
        <v>4341.9518176024139</v>
      </c>
      <c r="H49" s="738">
        <f t="shared" si="15"/>
        <v>2.4188141105829449E-2</v>
      </c>
      <c r="I49" s="739">
        <f t="shared" si="15"/>
        <v>5.8106944023269588E-2</v>
      </c>
    </row>
    <row r="50" spans="1:9" x14ac:dyDescent="0.3">
      <c r="A50" s="733" t="str">
        <f t="shared" si="12"/>
        <v>Institutions, State (26, 56, 59)</v>
      </c>
      <c r="B50" s="734">
        <v>64.64</v>
      </c>
      <c r="C50" s="735">
        <v>75428.683013613845</v>
      </c>
      <c r="D50" s="734">
        <f>+Table5_6ws1!J174+Table5_6ws1!J370+Table5_6ws1!J407</f>
        <v>59</v>
      </c>
      <c r="E50" s="735">
        <f>(+Table5_6ws1!K174+Table5_6ws1!K370+Table5_6ws1!K407)/D50</f>
        <v>78623.713898305083</v>
      </c>
      <c r="F50" s="736">
        <f t="shared" si="13"/>
        <v>-5.6400000000000006</v>
      </c>
      <c r="G50" s="737">
        <f t="shared" si="14"/>
        <v>3195.0308846912376</v>
      </c>
      <c r="H50" s="738">
        <f t="shared" si="15"/>
        <v>-8.7252475247524761E-2</v>
      </c>
      <c r="I50" s="739">
        <f t="shared" si="15"/>
        <v>4.2358301338955878E-2</v>
      </c>
    </row>
    <row r="51" spans="1:9" x14ac:dyDescent="0.3">
      <c r="A51" s="733" t="str">
        <f t="shared" si="12"/>
        <v>Learning Assistance, State (55)</v>
      </c>
      <c r="B51" s="734">
        <v>1893.2200000000003</v>
      </c>
      <c r="C51" s="735">
        <v>78063.930774025197</v>
      </c>
      <c r="D51" s="734">
        <f>+Table5_6ws1!J357</f>
        <v>1937.3799999999999</v>
      </c>
      <c r="E51" s="735">
        <f>+Table5_6ws1!K357/D51</f>
        <v>82263.829759778673</v>
      </c>
      <c r="F51" s="736">
        <f t="shared" si="13"/>
        <v>44.159999999999627</v>
      </c>
      <c r="G51" s="737">
        <f t="shared" si="14"/>
        <v>4199.8989857534762</v>
      </c>
      <c r="H51" s="738">
        <f t="shared" si="15"/>
        <v>2.3325339897106317E-2</v>
      </c>
      <c r="I51" s="739">
        <f t="shared" si="15"/>
        <v>5.3800762325318885E-2</v>
      </c>
    </row>
    <row r="52" spans="1:9" x14ac:dyDescent="0.3">
      <c r="A52" s="733" t="str">
        <f t="shared" si="12"/>
        <v>Disadvantaged, Federal (51)</v>
      </c>
      <c r="B52" s="734">
        <v>1022.13</v>
      </c>
      <c r="C52" s="735">
        <v>77400.2941895845</v>
      </c>
      <c r="D52" s="734">
        <f>+Table5_6ws1!J286</f>
        <v>1023.87</v>
      </c>
      <c r="E52" s="735">
        <f>+Table5_6ws1!K286/D52</f>
        <v>81271.192211901885</v>
      </c>
      <c r="F52" s="736">
        <f t="shared" si="13"/>
        <v>1.7400000000000091</v>
      </c>
      <c r="G52" s="737">
        <f t="shared" si="14"/>
        <v>3870.8980223173858</v>
      </c>
      <c r="H52" s="738">
        <f t="shared" si="15"/>
        <v>1.7023274925890143E-3</v>
      </c>
      <c r="I52" s="739">
        <f t="shared" si="15"/>
        <v>5.0011412267193675E-2</v>
      </c>
    </row>
    <row r="53" spans="1:9" x14ac:dyDescent="0.3">
      <c r="A53" s="733" t="str">
        <f t="shared" si="12"/>
        <v>Transitional Bilingual, State (65)</v>
      </c>
      <c r="B53" s="734">
        <v>1058.93</v>
      </c>
      <c r="C53" s="735">
        <v>74843.431529940601</v>
      </c>
      <c r="D53" s="734">
        <f>+Table5_6ws1!J461</f>
        <v>1036.2900000000002</v>
      </c>
      <c r="E53" s="735">
        <f>+Table5_6ws1!K461/D53</f>
        <v>79194.000357042896</v>
      </c>
      <c r="F53" s="736">
        <f>+D53-B53</f>
        <v>-22.639999999999873</v>
      </c>
      <c r="G53" s="737">
        <f>+E53-C53</f>
        <v>4350.5688271022955</v>
      </c>
      <c r="H53" s="738">
        <f>IF(F53=0,0,F53/B53)</f>
        <v>-2.138007233717042E-2</v>
      </c>
      <c r="I53" s="739">
        <f>IF(G53=0,0,G53/C53)</f>
        <v>5.8128933136395278E-2</v>
      </c>
    </row>
    <row r="54" spans="1:9" x14ac:dyDescent="0.3">
      <c r="A54" s="733" t="str">
        <f t="shared" si="12"/>
        <v>Highly Capable (74)</v>
      </c>
      <c r="B54" s="734">
        <v>215.06</v>
      </c>
      <c r="C54" s="735">
        <v>77617.111410769096</v>
      </c>
      <c r="D54" s="734">
        <f>+Table5_6ws1!J524</f>
        <v>206.19</v>
      </c>
      <c r="E54" s="735">
        <f>+Table5_6ws1!K524/D54</f>
        <v>81736.394878510124</v>
      </c>
      <c r="F54" s="736">
        <f t="shared" si="13"/>
        <v>-8.8700000000000045</v>
      </c>
      <c r="G54" s="737">
        <f t="shared" si="14"/>
        <v>4119.2834677410283</v>
      </c>
      <c r="H54" s="738">
        <f t="shared" si="15"/>
        <v>-4.1244303915186478E-2</v>
      </c>
      <c r="I54" s="739">
        <f t="shared" si="15"/>
        <v>5.3071847082027487E-2</v>
      </c>
    </row>
    <row r="55" spans="1:9" x14ac:dyDescent="0.3">
      <c r="A55" s="733" t="str">
        <f t="shared" si="12"/>
        <v>Other, State and Federal</v>
      </c>
      <c r="B55" s="734">
        <v>606.27</v>
      </c>
      <c r="C55" s="735">
        <v>75118.904745410458</v>
      </c>
      <c r="D55" s="734">
        <f>+Table5_6ws1!J738</f>
        <v>575.69999999999993</v>
      </c>
      <c r="E55" s="735">
        <f>+Table5_6ws1!K739</f>
        <v>79924.157790515907</v>
      </c>
      <c r="F55" s="736">
        <f t="shared" si="13"/>
        <v>-30.57000000000005</v>
      </c>
      <c r="G55" s="737">
        <f t="shared" si="14"/>
        <v>4805.2530451054481</v>
      </c>
      <c r="H55" s="738">
        <f t="shared" si="15"/>
        <v>-5.0423078826265608E-2</v>
      </c>
      <c r="I55" s="739">
        <f t="shared" si="15"/>
        <v>6.3968624960536777E-2</v>
      </c>
    </row>
    <row r="56" spans="1:9" x14ac:dyDescent="0.3">
      <c r="A56" s="733" t="str">
        <f t="shared" si="12"/>
        <v>Food Services (98)</v>
      </c>
      <c r="B56" s="734">
        <v>0</v>
      </c>
      <c r="C56" s="735">
        <v>0</v>
      </c>
      <c r="D56" s="734">
        <f>+Table5_6ws1!J664</f>
        <v>0</v>
      </c>
      <c r="E56" s="735">
        <f>+Table5_6ws1!K664</f>
        <v>0</v>
      </c>
      <c r="F56" s="736">
        <f t="shared" ref="F56:G58" si="16">+D56-B56</f>
        <v>0</v>
      </c>
      <c r="G56" s="737">
        <f t="shared" si="16"/>
        <v>0</v>
      </c>
      <c r="H56" s="738">
        <f t="shared" si="15"/>
        <v>0</v>
      </c>
      <c r="I56" s="739">
        <f t="shared" si="15"/>
        <v>0</v>
      </c>
    </row>
    <row r="57" spans="1:9" x14ac:dyDescent="0.3">
      <c r="A57" s="733" t="str">
        <f t="shared" si="12"/>
        <v>Pupil Transportation (99)</v>
      </c>
      <c r="B57" s="734">
        <v>0</v>
      </c>
      <c r="C57" s="735">
        <v>0</v>
      </c>
      <c r="D57" s="734">
        <f>+Table5_6ws1!J678</f>
        <v>0</v>
      </c>
      <c r="E57" s="735">
        <f>+Table5_6ws1!K678</f>
        <v>0</v>
      </c>
      <c r="F57" s="736">
        <f t="shared" si="16"/>
        <v>0</v>
      </c>
      <c r="G57" s="737">
        <f t="shared" si="16"/>
        <v>0</v>
      </c>
      <c r="H57" s="738">
        <v>0</v>
      </c>
      <c r="I57" s="739">
        <v>0</v>
      </c>
    </row>
    <row r="58" spans="1:9" ht="17.25" thickBot="1" x14ac:dyDescent="0.35">
      <c r="A58" s="750" t="s">
        <v>41</v>
      </c>
      <c r="B58" s="741">
        <f>SUM(B47:B57)</f>
        <v>72072.599999999991</v>
      </c>
      <c r="C58" s="742">
        <f>SUMPRODUCT(B47:B57,C47:C57)/SUM(B47:B57)</f>
        <v>73710.2098850326</v>
      </c>
      <c r="D58" s="741">
        <f>+Table5_6ws1!J704</f>
        <v>72586.59</v>
      </c>
      <c r="E58" s="742">
        <f>+Table5_6ws1!K704</f>
        <v>77348.981818955814</v>
      </c>
      <c r="F58" s="743">
        <f t="shared" si="16"/>
        <v>513.99000000000524</v>
      </c>
      <c r="G58" s="744">
        <f t="shared" si="16"/>
        <v>3638.7719339232135</v>
      </c>
      <c r="H58" s="745">
        <f>IF(F58=0,0,F58/B58)</f>
        <v>7.1315590113303151E-3</v>
      </c>
      <c r="I58" s="746">
        <f t="shared" si="15"/>
        <v>4.9365914702979199E-2</v>
      </c>
    </row>
    <row r="59" spans="1:9" x14ac:dyDescent="0.3">
      <c r="B59" s="546"/>
      <c r="C59" s="748"/>
      <c r="D59" s="747"/>
      <c r="E59" s="748"/>
      <c r="F59" s="546"/>
      <c r="G59" s="748"/>
      <c r="H59" s="752"/>
      <c r="I59" s="752"/>
    </row>
    <row r="60" spans="1:9" x14ac:dyDescent="0.3">
      <c r="A60" s="463" t="s">
        <v>572</v>
      </c>
      <c r="B60" s="546"/>
      <c r="C60" s="748"/>
      <c r="D60" s="546"/>
      <c r="E60" s="748"/>
      <c r="F60" s="546"/>
      <c r="G60" s="748"/>
      <c r="H60" s="752"/>
      <c r="I60" s="752"/>
    </row>
    <row r="61" spans="1:9" x14ac:dyDescent="0.3">
      <c r="A61" s="463" t="s">
        <v>515</v>
      </c>
      <c r="B61" s="546"/>
      <c r="C61" s="748"/>
      <c r="D61" s="546"/>
      <c r="E61" s="748"/>
      <c r="F61" s="546"/>
      <c r="G61" s="748"/>
      <c r="H61" s="752"/>
      <c r="I61" s="752"/>
    </row>
    <row r="62" spans="1:9" x14ac:dyDescent="0.3">
      <c r="A62" s="463" t="s">
        <v>449</v>
      </c>
      <c r="B62" s="546"/>
      <c r="C62" s="748"/>
      <c r="D62" s="546"/>
      <c r="E62" s="748"/>
      <c r="F62" s="546"/>
      <c r="G62" s="748"/>
      <c r="H62" s="752"/>
      <c r="I62" s="752"/>
    </row>
    <row r="63" spans="1:9" ht="17.25" thickBot="1" x14ac:dyDescent="0.35">
      <c r="B63" s="546"/>
      <c r="C63" s="748"/>
      <c r="D63" s="546"/>
      <c r="E63" s="748"/>
      <c r="F63" s="546"/>
      <c r="G63" s="748"/>
      <c r="H63" s="752"/>
      <c r="I63" s="752"/>
    </row>
    <row r="64" spans="1:9" s="549" customFormat="1" ht="20.25" x14ac:dyDescent="0.35">
      <c r="A64" s="863" t="s">
        <v>387</v>
      </c>
      <c r="B64" s="864"/>
      <c r="C64" s="864"/>
      <c r="D64" s="864"/>
      <c r="E64" s="864"/>
      <c r="F64" s="864"/>
      <c r="G64" s="864"/>
      <c r="H64" s="864"/>
      <c r="I64" s="865"/>
    </row>
    <row r="65" spans="1:9" s="549" customFormat="1" ht="21" thickBot="1" x14ac:dyDescent="0.4">
      <c r="A65" s="860" t="s">
        <v>574</v>
      </c>
      <c r="B65" s="861"/>
      <c r="C65" s="861"/>
      <c r="D65" s="861"/>
      <c r="E65" s="861"/>
      <c r="F65" s="861"/>
      <c r="G65" s="861"/>
      <c r="H65" s="861"/>
      <c r="I65" s="866"/>
    </row>
    <row r="66" spans="1:9" ht="17.25" thickBot="1" x14ac:dyDescent="0.35">
      <c r="B66" s="546"/>
      <c r="C66" s="748"/>
      <c r="D66" s="546"/>
      <c r="E66" s="748"/>
      <c r="F66" s="546"/>
      <c r="G66" s="748"/>
      <c r="H66" s="752"/>
      <c r="I66" s="752"/>
    </row>
    <row r="67" spans="1:9" s="4" customFormat="1" ht="17.25" x14ac:dyDescent="0.3">
      <c r="A67" s="758" t="s">
        <v>130</v>
      </c>
      <c r="B67" s="759" t="s">
        <v>547</v>
      </c>
      <c r="C67" s="760"/>
      <c r="D67" s="759" t="s">
        <v>570</v>
      </c>
      <c r="E67" s="760"/>
      <c r="F67" s="761" t="s">
        <v>388</v>
      </c>
      <c r="G67" s="762"/>
      <c r="H67" s="763"/>
      <c r="I67" s="764"/>
    </row>
    <row r="68" spans="1:9" s="4" customFormat="1" ht="18" thickBot="1" x14ac:dyDescent="0.35">
      <c r="A68" s="765" t="s">
        <v>392</v>
      </c>
      <c r="B68" s="766" t="s">
        <v>8</v>
      </c>
      <c r="C68" s="767" t="s">
        <v>349</v>
      </c>
      <c r="D68" s="766" t="s">
        <v>8</v>
      </c>
      <c r="E68" s="767" t="s">
        <v>349</v>
      </c>
      <c r="F68" s="768" t="s">
        <v>8</v>
      </c>
      <c r="G68" s="769" t="s">
        <v>349</v>
      </c>
      <c r="H68" s="770" t="s">
        <v>99</v>
      </c>
      <c r="I68" s="771" t="s">
        <v>389</v>
      </c>
    </row>
    <row r="69" spans="1:9" x14ac:dyDescent="0.3">
      <c r="A69" s="733" t="s">
        <v>109</v>
      </c>
      <c r="B69" s="734">
        <v>1799.04</v>
      </c>
      <c r="C69" s="735">
        <v>100174</v>
      </c>
      <c r="D69" s="734">
        <f>Table3WS1!$D$45</f>
        <v>1799.78</v>
      </c>
      <c r="E69" s="735">
        <f>Table3WS1!$F$45</f>
        <v>106388</v>
      </c>
      <c r="F69" s="736">
        <f t="shared" ref="F69:F78" si="17">+D69-B69</f>
        <v>0.74000000000000909</v>
      </c>
      <c r="G69" s="737">
        <f t="shared" ref="G69:G78" si="18">+E69-C69</f>
        <v>6214</v>
      </c>
      <c r="H69" s="738">
        <f t="shared" ref="H69:H78" si="19">IF(F69=0,0,F69/B69)</f>
        <v>4.1133048737104739E-4</v>
      </c>
      <c r="I69" s="739">
        <f t="shared" ref="I69:I78" si="20">IF(G69=0,0,G69/C69)</f>
        <v>6.2032064208277594E-2</v>
      </c>
    </row>
    <row r="70" spans="1:9" x14ac:dyDescent="0.3">
      <c r="A70" s="733" t="s">
        <v>110</v>
      </c>
      <c r="B70" s="734">
        <v>15956.53</v>
      </c>
      <c r="C70" s="735">
        <v>41941</v>
      </c>
      <c r="D70" s="734">
        <f>Table3WS1!D37</f>
        <v>16242.87</v>
      </c>
      <c r="E70" s="735">
        <f>Table3WS1!F37</f>
        <v>44629</v>
      </c>
      <c r="F70" s="736">
        <f t="shared" si="17"/>
        <v>286.34000000000015</v>
      </c>
      <c r="G70" s="737">
        <f t="shared" si="18"/>
        <v>2688</v>
      </c>
      <c r="H70" s="738">
        <f t="shared" si="19"/>
        <v>1.7945004333648991E-2</v>
      </c>
      <c r="I70" s="739">
        <f t="shared" si="20"/>
        <v>6.4090031234353015E-2</v>
      </c>
    </row>
    <row r="71" spans="1:9" x14ac:dyDescent="0.3">
      <c r="A71" s="733" t="s">
        <v>111</v>
      </c>
      <c r="B71" s="734">
        <v>1689.45</v>
      </c>
      <c r="C71" s="735">
        <v>62426</v>
      </c>
      <c r="D71" s="734">
        <f>Table3WS1!D38</f>
        <v>1683.69</v>
      </c>
      <c r="E71" s="735">
        <f>Table3WS1!F38</f>
        <v>66096</v>
      </c>
      <c r="F71" s="736">
        <f t="shared" si="17"/>
        <v>-5.7599999999999909</v>
      </c>
      <c r="G71" s="737">
        <f t="shared" si="18"/>
        <v>3670</v>
      </c>
      <c r="H71" s="738">
        <f t="shared" si="19"/>
        <v>-3.4093935896297558E-3</v>
      </c>
      <c r="I71" s="739">
        <f t="shared" si="20"/>
        <v>5.8789606894563161E-2</v>
      </c>
    </row>
    <row r="72" spans="1:9" x14ac:dyDescent="0.3">
      <c r="A72" s="733" t="s">
        <v>112</v>
      </c>
      <c r="B72" s="734">
        <v>226.62</v>
      </c>
      <c r="C72" s="735">
        <v>53501</v>
      </c>
      <c r="D72" s="734">
        <f>Table3WS1!D39</f>
        <v>236.74</v>
      </c>
      <c r="E72" s="735">
        <f>Table3WS1!F39</f>
        <v>56418</v>
      </c>
      <c r="F72" s="736">
        <f t="shared" si="17"/>
        <v>10.120000000000005</v>
      </c>
      <c r="G72" s="737">
        <f t="shared" si="18"/>
        <v>2917</v>
      </c>
      <c r="H72" s="738">
        <f t="shared" si="19"/>
        <v>4.4656252757920768E-2</v>
      </c>
      <c r="I72" s="739">
        <f t="shared" si="20"/>
        <v>5.4522345376721931E-2</v>
      </c>
    </row>
    <row r="73" spans="1:9" x14ac:dyDescent="0.3">
      <c r="A73" s="733" t="s">
        <v>113</v>
      </c>
      <c r="B73" s="734">
        <v>8243.1299999999992</v>
      </c>
      <c r="C73" s="735">
        <v>51637</v>
      </c>
      <c r="D73" s="734">
        <f>Table3WS1!D40</f>
        <v>8216.4599999999991</v>
      </c>
      <c r="E73" s="735">
        <f>Table3WS1!F40</f>
        <v>54757</v>
      </c>
      <c r="F73" s="736">
        <f t="shared" si="17"/>
        <v>-26.670000000000073</v>
      </c>
      <c r="G73" s="737">
        <f t="shared" si="18"/>
        <v>3120</v>
      </c>
      <c r="H73" s="738">
        <f t="shared" si="19"/>
        <v>-3.2354214964461408E-3</v>
      </c>
      <c r="I73" s="739">
        <f t="shared" si="20"/>
        <v>6.0421790576524588E-2</v>
      </c>
    </row>
    <row r="74" spans="1:9" x14ac:dyDescent="0.3">
      <c r="A74" s="733" t="s">
        <v>114</v>
      </c>
      <c r="B74" s="734">
        <v>3465.16</v>
      </c>
      <c r="C74" s="735">
        <v>48880</v>
      </c>
      <c r="D74" s="734">
        <f>Table3WS1!D41</f>
        <v>3538.43</v>
      </c>
      <c r="E74" s="735">
        <f>Table3WS1!F41</f>
        <v>52065</v>
      </c>
      <c r="F74" s="736">
        <f t="shared" si="17"/>
        <v>73.269999999999982</v>
      </c>
      <c r="G74" s="737">
        <f t="shared" si="18"/>
        <v>3185</v>
      </c>
      <c r="H74" s="738">
        <f t="shared" si="19"/>
        <v>2.1144766764016665E-2</v>
      </c>
      <c r="I74" s="739">
        <f t="shared" si="20"/>
        <v>6.515957446808511E-2</v>
      </c>
    </row>
    <row r="75" spans="1:9" x14ac:dyDescent="0.3">
      <c r="A75" s="733" t="s">
        <v>115</v>
      </c>
      <c r="B75" s="734">
        <v>2267.04</v>
      </c>
      <c r="C75" s="735">
        <v>69824</v>
      </c>
      <c r="D75" s="734">
        <f>Table3WS1!D42</f>
        <v>2377.2800000000002</v>
      </c>
      <c r="E75" s="735">
        <f>Table3WS1!F42</f>
        <v>73662</v>
      </c>
      <c r="F75" s="736">
        <f t="shared" si="17"/>
        <v>110.24000000000024</v>
      </c>
      <c r="G75" s="737">
        <f t="shared" si="18"/>
        <v>3838</v>
      </c>
      <c r="H75" s="738">
        <f t="shared" si="19"/>
        <v>4.8627284917778353E-2</v>
      </c>
      <c r="I75" s="739">
        <f t="shared" si="20"/>
        <v>5.4966773602199814E-2</v>
      </c>
    </row>
    <row r="76" spans="1:9" x14ac:dyDescent="0.3">
      <c r="A76" s="733" t="s">
        <v>116</v>
      </c>
      <c r="B76" s="734">
        <v>8887.5300000000007</v>
      </c>
      <c r="C76" s="735">
        <v>44014</v>
      </c>
      <c r="D76" s="734">
        <f>Table3WS1!D43</f>
        <v>8878.86</v>
      </c>
      <c r="E76" s="735">
        <f>Table3WS1!F43</f>
        <v>46644</v>
      </c>
      <c r="F76" s="736">
        <f t="shared" si="17"/>
        <v>-8.6700000000000728</v>
      </c>
      <c r="G76" s="737">
        <f t="shared" si="18"/>
        <v>2630</v>
      </c>
      <c r="H76" s="738">
        <f t="shared" si="19"/>
        <v>-9.7552413325187901E-4</v>
      </c>
      <c r="I76" s="739">
        <f t="shared" si="20"/>
        <v>5.9753714727132277E-2</v>
      </c>
    </row>
    <row r="77" spans="1:9" x14ac:dyDescent="0.3">
      <c r="A77" s="733" t="s">
        <v>117</v>
      </c>
      <c r="B77" s="734">
        <v>1798.23</v>
      </c>
      <c r="C77" s="735">
        <v>68355</v>
      </c>
      <c r="D77" s="734">
        <f>Table3WS1!D44</f>
        <v>1766.8</v>
      </c>
      <c r="E77" s="735">
        <f>Table3WS1!F44</f>
        <v>72197</v>
      </c>
      <c r="F77" s="736">
        <f t="shared" si="17"/>
        <v>-31.430000000000064</v>
      </c>
      <c r="G77" s="737">
        <f t="shared" si="18"/>
        <v>3842</v>
      </c>
      <c r="H77" s="738">
        <f t="shared" si="19"/>
        <v>-1.7478298104246989E-2</v>
      </c>
      <c r="I77" s="739">
        <f t="shared" si="20"/>
        <v>5.6206568648964964E-2</v>
      </c>
    </row>
    <row r="78" spans="1:9" x14ac:dyDescent="0.3">
      <c r="A78" s="733" t="s">
        <v>118</v>
      </c>
      <c r="B78" s="734">
        <v>2.75</v>
      </c>
      <c r="C78" s="735">
        <v>86132</v>
      </c>
      <c r="D78" s="734">
        <f>Table3WS1!$D$36</f>
        <v>2.1800000000000002</v>
      </c>
      <c r="E78" s="735">
        <f>Table3WS1!$F$36</f>
        <v>72438</v>
      </c>
      <c r="F78" s="736">
        <f t="shared" si="17"/>
        <v>-0.56999999999999984</v>
      </c>
      <c r="G78" s="737">
        <f t="shared" si="18"/>
        <v>-13694</v>
      </c>
      <c r="H78" s="738">
        <f t="shared" si="19"/>
        <v>-0.20727272727272722</v>
      </c>
      <c r="I78" s="739">
        <f t="shared" si="20"/>
        <v>-0.15898852923419868</v>
      </c>
    </row>
    <row r="79" spans="1:9" ht="17.25" thickBot="1" x14ac:dyDescent="0.35">
      <c r="A79" s="750" t="s">
        <v>41</v>
      </c>
      <c r="B79" s="741">
        <f>SUM(B69:B78)</f>
        <v>44335.479999999996</v>
      </c>
      <c r="C79" s="742">
        <f>SUMPRODUCT(B69:B78,C69:C78)/SUM(B69:B78)</f>
        <v>50404.141460744315</v>
      </c>
      <c r="D79" s="741">
        <f>Table3WS1!$D$47</f>
        <v>44743.090000000004</v>
      </c>
      <c r="E79" s="742">
        <f>Table3WS1!$F$47</f>
        <v>53463.741311563419</v>
      </c>
      <c r="F79" s="743">
        <f>+D79-B79</f>
        <v>407.61000000000786</v>
      </c>
      <c r="G79" s="744">
        <f>+E79-C79</f>
        <v>3059.5998508191042</v>
      </c>
      <c r="H79" s="745">
        <f>+F79/B79</f>
        <v>9.193765354519854E-3</v>
      </c>
      <c r="I79" s="746">
        <f>+G79/C79</f>
        <v>6.0701358304098438E-2</v>
      </c>
    </row>
    <row r="80" spans="1:9" ht="17.25" thickBot="1" x14ac:dyDescent="0.35">
      <c r="B80" s="546"/>
      <c r="C80" s="748"/>
      <c r="D80" s="747"/>
      <c r="E80" s="546"/>
      <c r="F80" s="546"/>
      <c r="G80" s="748"/>
      <c r="H80" s="752"/>
      <c r="I80" s="752"/>
    </row>
    <row r="81" spans="1:9" s="4" customFormat="1" ht="17.25" x14ac:dyDescent="0.3">
      <c r="A81" s="758" t="s">
        <v>130</v>
      </c>
      <c r="B81" s="759" t="s">
        <v>547</v>
      </c>
      <c r="C81" s="760"/>
      <c r="D81" s="759" t="s">
        <v>570</v>
      </c>
      <c r="E81" s="760"/>
      <c r="F81" s="761" t="s">
        <v>388</v>
      </c>
      <c r="G81" s="762"/>
      <c r="H81" s="763"/>
      <c r="I81" s="764"/>
    </row>
    <row r="82" spans="1:9" s="4" customFormat="1" ht="18" thickBot="1" x14ac:dyDescent="0.35">
      <c r="A82" s="765" t="s">
        <v>393</v>
      </c>
      <c r="B82" s="766" t="s">
        <v>8</v>
      </c>
      <c r="C82" s="767" t="s">
        <v>349</v>
      </c>
      <c r="D82" s="766" t="s">
        <v>8</v>
      </c>
      <c r="E82" s="767" t="s">
        <v>349</v>
      </c>
      <c r="F82" s="768" t="s">
        <v>8</v>
      </c>
      <c r="G82" s="769" t="s">
        <v>349</v>
      </c>
      <c r="H82" s="770" t="s">
        <v>99</v>
      </c>
      <c r="I82" s="771" t="s">
        <v>389</v>
      </c>
    </row>
    <row r="83" spans="1:9" x14ac:dyDescent="0.3">
      <c r="A83" s="733" t="str">
        <f>A17</f>
        <v>Basic Education (01, 02, 03, 31, 34, 45, 97)</v>
      </c>
      <c r="B83" s="734">
        <v>22973.040000000001</v>
      </c>
      <c r="C83" s="735">
        <v>54171.837542615169</v>
      </c>
      <c r="D83" s="734">
        <f>+Table5_6ws1!P42+Table5_6ws1!P69+Table5_6ws1!P88+Table5_6ws1!P208+Table5_6ws1!P226+Table5_6ws1!P259+Table5_6ws1!P652</f>
        <v>22767.690000000002</v>
      </c>
      <c r="E83" s="735">
        <f>(+Table5_6ws1!Q42+Table5_6ws1!Q69+Table5_6ws1!Q88+Table5_6ws1!Q208+Table5_6ws1!Q226+Table5_6ws1!Q259+Table5_6ws1!Q652)/D83</f>
        <v>57667.371067947606</v>
      </c>
      <c r="F83" s="736">
        <f t="shared" ref="F83:F94" si="21">+D83-B83</f>
        <v>-205.34999999999854</v>
      </c>
      <c r="G83" s="737">
        <f t="shared" ref="G83:G94" si="22">+E83-C83</f>
        <v>3495.5335253324374</v>
      </c>
      <c r="H83" s="738">
        <f t="shared" ref="H83:H94" si="23">IF(F83=0,0,F83/B83)</f>
        <v>-8.9387386257978284E-3</v>
      </c>
      <c r="I83" s="739">
        <f t="shared" ref="I83:I94" si="24">IF(G83=0,0,G83/C83)</f>
        <v>6.4526766746330483E-2</v>
      </c>
    </row>
    <row r="84" spans="1:9" x14ac:dyDescent="0.3">
      <c r="A84" s="733" t="str">
        <f t="shared" ref="A84:A93" si="25">A18</f>
        <v>Special Education, State (21, 22)</v>
      </c>
      <c r="B84" s="734">
        <v>7731.45</v>
      </c>
      <c r="C84" s="735">
        <v>43851.652053625126</v>
      </c>
      <c r="D84" s="734">
        <f>+Table5_6ws1!P121+Table5_6ws1!P139</f>
        <v>8183.1299999999992</v>
      </c>
      <c r="E84" s="735">
        <f>(+Table5_6ws1!Q121+Table5_6ws1!Q139)/D84</f>
        <v>46617.387503314741</v>
      </c>
      <c r="F84" s="736">
        <f t="shared" si="21"/>
        <v>451.67999999999938</v>
      </c>
      <c r="G84" s="737">
        <f t="shared" si="22"/>
        <v>2765.7354496896151</v>
      </c>
      <c r="H84" s="738">
        <f t="shared" si="23"/>
        <v>5.842112410996636E-2</v>
      </c>
      <c r="I84" s="739">
        <f t="shared" si="24"/>
        <v>6.3070268055293879E-2</v>
      </c>
    </row>
    <row r="85" spans="1:9" x14ac:dyDescent="0.3">
      <c r="A85" s="733" t="str">
        <f t="shared" si="25"/>
        <v>Special Education, Federal (24, 25, 29)</v>
      </c>
      <c r="B85" s="734">
        <v>1124.45</v>
      </c>
      <c r="C85" s="735">
        <v>41509.793285606291</v>
      </c>
      <c r="D85" s="734">
        <f>+Table5_6ws1!P160+Table5_6ws1!P184</f>
        <v>972.57</v>
      </c>
      <c r="E85" s="735">
        <f>(+Table5_6ws1!Q160+Table5_6ws1!Q184)/D85</f>
        <v>43653.735402079023</v>
      </c>
      <c r="F85" s="736">
        <f t="shared" si="21"/>
        <v>-151.88</v>
      </c>
      <c r="G85" s="737">
        <f t="shared" si="22"/>
        <v>2143.9421164727319</v>
      </c>
      <c r="H85" s="738">
        <f t="shared" si="23"/>
        <v>-0.13507047890079593</v>
      </c>
      <c r="I85" s="739">
        <f t="shared" si="24"/>
        <v>5.1649067527786356E-2</v>
      </c>
    </row>
    <row r="86" spans="1:9" x14ac:dyDescent="0.3">
      <c r="A86" s="733" t="str">
        <f t="shared" si="25"/>
        <v>Institutions, State (26, 56, 59)</v>
      </c>
      <c r="B86" s="734">
        <v>23.7</v>
      </c>
      <c r="C86" s="735">
        <v>50524.350210970457</v>
      </c>
      <c r="D86" s="734">
        <f>+Table5_6ws1!P174+Table5_6ws1!P370+Table5_6ws1!P407</f>
        <v>20.5</v>
      </c>
      <c r="E86" s="735">
        <f>(+Table5_6ws1!Q174+Table5_6ws1!Q370+Table5_6ws1!Q407)/D86</f>
        <v>50018.939512195109</v>
      </c>
      <c r="F86" s="736">
        <f t="shared" si="21"/>
        <v>-3.1999999999999993</v>
      </c>
      <c r="G86" s="737">
        <f t="shared" si="22"/>
        <v>-505.41069877534756</v>
      </c>
      <c r="H86" s="738">
        <f t="shared" si="23"/>
        <v>-0.13502109704641346</v>
      </c>
      <c r="I86" s="739">
        <f t="shared" si="24"/>
        <v>-1.0003309229410073E-2</v>
      </c>
    </row>
    <row r="87" spans="1:9" x14ac:dyDescent="0.3">
      <c r="A87" s="733" t="str">
        <f t="shared" si="25"/>
        <v>Learning Assistance, State (55)</v>
      </c>
      <c r="B87" s="734">
        <v>1413.93</v>
      </c>
      <c r="C87" s="735">
        <v>40921.41122969312</v>
      </c>
      <c r="D87" s="734">
        <f>+Table5_6ws1!P357</f>
        <v>1454.5000000000002</v>
      </c>
      <c r="E87" s="735">
        <f>+Table5_6ws1!Q357/D87</f>
        <v>43772.34432451013</v>
      </c>
      <c r="F87" s="736">
        <f t="shared" si="21"/>
        <v>40.570000000000164</v>
      </c>
      <c r="G87" s="737">
        <f t="shared" si="22"/>
        <v>2850.93309481701</v>
      </c>
      <c r="H87" s="738">
        <f t="shared" si="23"/>
        <v>2.869307532904752E-2</v>
      </c>
      <c r="I87" s="739">
        <f t="shared" si="24"/>
        <v>6.966849405106379E-2</v>
      </c>
    </row>
    <row r="88" spans="1:9" x14ac:dyDescent="0.3">
      <c r="A88" s="733" t="str">
        <f t="shared" si="25"/>
        <v>Disadvantaged, Federal (51)</v>
      </c>
      <c r="B88" s="734">
        <v>748.33</v>
      </c>
      <c r="C88" s="735">
        <v>42326.535405502917</v>
      </c>
      <c r="D88" s="734">
        <f>+Table5_6ws1!P286</f>
        <v>748.82</v>
      </c>
      <c r="E88" s="735">
        <f>+Table5_6ws1!Q286/D88</f>
        <v>45009.777022515416</v>
      </c>
      <c r="F88" s="736">
        <f t="shared" si="21"/>
        <v>0.49000000000000909</v>
      </c>
      <c r="G88" s="737">
        <f t="shared" si="22"/>
        <v>2683.2416170124998</v>
      </c>
      <c r="H88" s="738">
        <f t="shared" si="23"/>
        <v>6.5479133537344359E-4</v>
      </c>
      <c r="I88" s="739">
        <f t="shared" si="24"/>
        <v>6.3393840088873624E-2</v>
      </c>
    </row>
    <row r="89" spans="1:9" x14ac:dyDescent="0.3">
      <c r="A89" s="733" t="str">
        <f t="shared" si="25"/>
        <v>Transitional Bilingual, State (65)</v>
      </c>
      <c r="B89" s="734">
        <v>817.71</v>
      </c>
      <c r="C89" s="735">
        <v>45408.162527057262</v>
      </c>
      <c r="D89" s="734">
        <f>+Table5_6ws1!P461</f>
        <v>882.17</v>
      </c>
      <c r="E89" s="735">
        <f>+Table5_6ws1!Q461/D89</f>
        <v>48015.514957434505</v>
      </c>
      <c r="F89" s="736">
        <f t="shared" si="21"/>
        <v>64.459999999999923</v>
      </c>
      <c r="G89" s="737">
        <f t="shared" si="22"/>
        <v>2607.3524303772429</v>
      </c>
      <c r="H89" s="738">
        <f t="shared" si="23"/>
        <v>7.8829903021853609E-2</v>
      </c>
      <c r="I89" s="739">
        <f t="shared" si="24"/>
        <v>5.7420346591289737E-2</v>
      </c>
    </row>
    <row r="90" spans="1:9" x14ac:dyDescent="0.3">
      <c r="A90" s="733" t="str">
        <f t="shared" si="25"/>
        <v>Highly Capable (74)</v>
      </c>
      <c r="B90" s="734">
        <v>24.76</v>
      </c>
      <c r="C90" s="735">
        <v>51876.198707592885</v>
      </c>
      <c r="D90" s="734">
        <f>+Table5_6ws1!P524</f>
        <v>25.75</v>
      </c>
      <c r="E90" s="735">
        <f>+Table5_6ws1!Q524/D90</f>
        <v>55816.206601941747</v>
      </c>
      <c r="F90" s="736">
        <f t="shared" si="21"/>
        <v>0.98999999999999844</v>
      </c>
      <c r="G90" s="737">
        <f t="shared" si="22"/>
        <v>3940.0078943488625</v>
      </c>
      <c r="H90" s="738">
        <f t="shared" si="23"/>
        <v>3.9983844911146947E-2</v>
      </c>
      <c r="I90" s="739">
        <f t="shared" si="24"/>
        <v>7.5950204380957884E-2</v>
      </c>
    </row>
    <row r="91" spans="1:9" x14ac:dyDescent="0.3">
      <c r="A91" s="733" t="str">
        <f t="shared" si="25"/>
        <v>Other, State and Federal</v>
      </c>
      <c r="B91" s="734">
        <v>2164.91</v>
      </c>
      <c r="C91" s="735">
        <v>58727.094174815589</v>
      </c>
      <c r="D91" s="734">
        <f>+Table5_6ws1!P738</f>
        <v>2229.0700000000002</v>
      </c>
      <c r="E91" s="735">
        <f>+Table5_6ws1!Q739</f>
        <v>61270.693751205668</v>
      </c>
      <c r="F91" s="736">
        <f t="shared" si="21"/>
        <v>64.160000000000309</v>
      </c>
      <c r="G91" s="737">
        <f t="shared" si="22"/>
        <v>2543.5995763900792</v>
      </c>
      <c r="H91" s="738">
        <f t="shared" si="23"/>
        <v>2.96363359215858E-2</v>
      </c>
      <c r="I91" s="739">
        <f t="shared" si="24"/>
        <v>4.3312198775209816E-2</v>
      </c>
    </row>
    <row r="92" spans="1:9" x14ac:dyDescent="0.3">
      <c r="A92" s="733" t="str">
        <f t="shared" si="25"/>
        <v>Food Services (98)</v>
      </c>
      <c r="B92" s="734">
        <v>2920.09</v>
      </c>
      <c r="C92" s="735">
        <v>41146.398306216586</v>
      </c>
      <c r="D92" s="734">
        <f>+Table5_6ws1!P664</f>
        <v>2936.94</v>
      </c>
      <c r="E92" s="735">
        <f>+Table5_6ws1!Q664/D92</f>
        <v>43540.298416038459</v>
      </c>
      <c r="F92" s="736">
        <f t="shared" si="21"/>
        <v>16.849999999999909</v>
      </c>
      <c r="G92" s="737">
        <f t="shared" si="22"/>
        <v>2393.9001098218723</v>
      </c>
      <c r="H92" s="738">
        <f t="shared" si="23"/>
        <v>5.7703700913327698E-3</v>
      </c>
      <c r="I92" s="739">
        <f t="shared" si="24"/>
        <v>5.8180064558899458E-2</v>
      </c>
    </row>
    <row r="93" spans="1:9" x14ac:dyDescent="0.3">
      <c r="A93" s="733" t="str">
        <f t="shared" si="25"/>
        <v>Pupil Transportation (99)</v>
      </c>
      <c r="B93" s="734">
        <v>4393.1200000000008</v>
      </c>
      <c r="C93" s="735">
        <v>51910.84150899588</v>
      </c>
      <c r="D93" s="734">
        <f>+Table5_6ws1!P678</f>
        <v>4521.8999999999996</v>
      </c>
      <c r="E93" s="735">
        <f>+Table5_6ws1!Q678/D93</f>
        <v>54976.993827815742</v>
      </c>
      <c r="F93" s="736">
        <f t="shared" si="21"/>
        <v>128.77999999999884</v>
      </c>
      <c r="G93" s="737">
        <f t="shared" si="22"/>
        <v>3066.1523188198626</v>
      </c>
      <c r="H93" s="738">
        <f t="shared" si="23"/>
        <v>2.9314018283133358E-2</v>
      </c>
      <c r="I93" s="739">
        <f t="shared" si="24"/>
        <v>5.906574098376953E-2</v>
      </c>
    </row>
    <row r="94" spans="1:9" ht="17.25" thickBot="1" x14ac:dyDescent="0.35">
      <c r="A94" s="750" t="s">
        <v>41</v>
      </c>
      <c r="B94" s="741">
        <f>SUM(B83:B93)</f>
        <v>44335.49</v>
      </c>
      <c r="C94" s="742">
        <f>SUMPRODUCT(B83:B93,C83:C93)/SUM(B83:B93)</f>
        <v>50404.129206195765</v>
      </c>
      <c r="D94" s="741">
        <f>+Table5_6ws1!P704</f>
        <v>44743.090000000004</v>
      </c>
      <c r="E94" s="742">
        <f>+Table5_6ws1!Q704</f>
        <v>53463.741311563419</v>
      </c>
      <c r="F94" s="743">
        <f t="shared" si="21"/>
        <v>407.60000000000582</v>
      </c>
      <c r="G94" s="744">
        <f t="shared" si="22"/>
        <v>3059.6121053676543</v>
      </c>
      <c r="H94" s="745">
        <f t="shared" si="23"/>
        <v>9.1935377279016399E-3</v>
      </c>
      <c r="I94" s="746">
        <f t="shared" si="24"/>
        <v>6.0701616188055509E-2</v>
      </c>
    </row>
    <row r="95" spans="1:9" x14ac:dyDescent="0.3">
      <c r="D95" s="753"/>
    </row>
    <row r="96" spans="1:9" x14ac:dyDescent="0.3">
      <c r="A96" s="463" t="s">
        <v>572</v>
      </c>
    </row>
    <row r="97" spans="1:1" x14ac:dyDescent="0.3">
      <c r="A97" s="463" t="s">
        <v>515</v>
      </c>
    </row>
    <row r="98" spans="1:1" x14ac:dyDescent="0.3">
      <c r="A98" s="463" t="s">
        <v>449</v>
      </c>
    </row>
  </sheetData>
  <mergeCells count="4">
    <mergeCell ref="A1:I1"/>
    <mergeCell ref="A2:I2"/>
    <mergeCell ref="A64:I64"/>
    <mergeCell ref="A65:I65"/>
  </mergeCells>
  <phoneticPr fontId="0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9"/>
  <sheetViews>
    <sheetView showZeros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742" sqref="E742"/>
    </sheetView>
  </sheetViews>
  <sheetFormatPr defaultRowHeight="11.25" customHeight="1" x14ac:dyDescent="0.15"/>
  <cols>
    <col min="1" max="1" width="3.42578125" style="445" customWidth="1"/>
    <col min="2" max="2" width="2.7109375" style="11" customWidth="1"/>
    <col min="3" max="3" width="18.28515625" style="11" customWidth="1"/>
    <col min="4" max="4" width="10.42578125" style="11" customWidth="1"/>
    <col min="5" max="5" width="11.140625" style="11" bestFit="1" customWidth="1"/>
    <col min="6" max="6" width="11.140625" style="11" customWidth="1"/>
    <col min="7" max="7" width="12" style="102" customWidth="1"/>
    <col min="8" max="8" width="11.140625" style="11" customWidth="1"/>
    <col min="9" max="9" width="12" style="102" customWidth="1"/>
    <col min="10" max="10" width="11.140625" style="11" customWidth="1"/>
    <col min="11" max="11" width="12" style="102" customWidth="1"/>
    <col min="12" max="12" width="11.140625" style="11" customWidth="1"/>
    <col min="13" max="13" width="9.85546875" style="446" customWidth="1"/>
    <col min="14" max="14" width="11.140625" style="11" customWidth="1"/>
    <col min="15" max="15" width="12" style="447" customWidth="1"/>
    <col min="16" max="16" width="11.140625" style="11" customWidth="1"/>
    <col min="17" max="17" width="12" style="102" bestFit="1" customWidth="1"/>
    <col min="18" max="16384" width="9.140625" style="11"/>
  </cols>
  <sheetData>
    <row r="1" spans="1:17" ht="11.25" customHeight="1" x14ac:dyDescent="0.25">
      <c r="A1" s="264"/>
      <c r="B1" s="265" t="s">
        <v>178</v>
      </c>
      <c r="C1" s="264"/>
      <c r="D1" s="132"/>
      <c r="E1" s="98"/>
      <c r="F1" s="264"/>
      <c r="G1" s="264"/>
      <c r="H1" s="264"/>
      <c r="I1" s="264"/>
      <c r="J1" s="264"/>
      <c r="K1" s="264"/>
      <c r="L1" s="266"/>
      <c r="M1" s="264"/>
      <c r="N1" s="267"/>
      <c r="O1" s="264"/>
      <c r="P1" s="264"/>
      <c r="Q1" s="264"/>
    </row>
    <row r="2" spans="1:17" ht="11.25" customHeight="1" thickBot="1" x14ac:dyDescent="0.3">
      <c r="A2" s="264"/>
      <c r="B2" s="265" t="s">
        <v>575</v>
      </c>
      <c r="C2" s="264"/>
      <c r="D2" s="132"/>
      <c r="E2" s="98"/>
      <c r="F2" s="268" t="s">
        <v>119</v>
      </c>
      <c r="G2" s="269"/>
      <c r="H2" s="268" t="s">
        <v>120</v>
      </c>
      <c r="I2" s="269"/>
      <c r="J2" s="268" t="s">
        <v>121</v>
      </c>
      <c r="K2" s="269"/>
      <c r="L2" s="270" t="s">
        <v>122</v>
      </c>
      <c r="M2" s="271"/>
      <c r="N2" s="268" t="s">
        <v>123</v>
      </c>
      <c r="O2" s="269"/>
      <c r="P2" s="268" t="s">
        <v>124</v>
      </c>
      <c r="Q2" s="269"/>
    </row>
    <row r="3" spans="1:17" ht="11.25" customHeight="1" x14ac:dyDescent="0.25">
      <c r="A3" s="264"/>
      <c r="B3" s="264"/>
      <c r="C3" s="264"/>
      <c r="D3" s="132"/>
      <c r="E3" s="98"/>
      <c r="F3" s="272" t="s">
        <v>125</v>
      </c>
      <c r="G3" s="273"/>
      <c r="H3" s="274" t="s">
        <v>126</v>
      </c>
      <c r="I3" s="275"/>
      <c r="J3" s="276" t="s">
        <v>127</v>
      </c>
      <c r="K3" s="277"/>
      <c r="L3" s="278" t="s">
        <v>128</v>
      </c>
      <c r="M3" s="279"/>
      <c r="N3" s="280" t="s">
        <v>129</v>
      </c>
      <c r="O3" s="281"/>
      <c r="P3" s="282" t="s">
        <v>130</v>
      </c>
      <c r="Q3" s="283"/>
    </row>
    <row r="4" spans="1:17" ht="11.25" customHeight="1" thickBot="1" x14ac:dyDescent="0.3">
      <c r="A4" s="264"/>
      <c r="B4" s="264"/>
      <c r="C4" s="264"/>
      <c r="D4" s="284" t="s">
        <v>8</v>
      </c>
      <c r="E4" s="285" t="s">
        <v>205</v>
      </c>
      <c r="F4" s="286" t="s">
        <v>8</v>
      </c>
      <c r="G4" s="287" t="s">
        <v>131</v>
      </c>
      <c r="H4" s="288" t="s">
        <v>8</v>
      </c>
      <c r="I4" s="289" t="s">
        <v>131</v>
      </c>
      <c r="J4" s="290" t="s">
        <v>8</v>
      </c>
      <c r="K4" s="291" t="s">
        <v>131</v>
      </c>
      <c r="L4" s="292" t="s">
        <v>8</v>
      </c>
      <c r="M4" s="293" t="s">
        <v>131</v>
      </c>
      <c r="N4" s="294" t="s">
        <v>8</v>
      </c>
      <c r="O4" s="295" t="s">
        <v>131</v>
      </c>
      <c r="P4" s="296" t="s">
        <v>8</v>
      </c>
      <c r="Q4" s="297" t="s">
        <v>131</v>
      </c>
    </row>
    <row r="5" spans="1:17" ht="11.25" customHeight="1" x14ac:dyDescent="0.25">
      <c r="A5" s="264"/>
      <c r="B5" s="264"/>
      <c r="C5" s="264"/>
      <c r="D5" s="284"/>
      <c r="E5" s="285"/>
      <c r="F5" s="298" t="s">
        <v>214</v>
      </c>
      <c r="G5" s="299"/>
      <c r="H5" s="300" t="s">
        <v>215</v>
      </c>
      <c r="I5" s="301"/>
      <c r="J5" s="276" t="s">
        <v>213</v>
      </c>
      <c r="K5" s="302"/>
      <c r="L5" s="303"/>
      <c r="M5" s="304"/>
      <c r="N5" s="305" t="s">
        <v>216</v>
      </c>
      <c r="O5" s="306"/>
      <c r="P5" s="307" t="s">
        <v>278</v>
      </c>
      <c r="Q5" s="308"/>
    </row>
    <row r="6" spans="1:17" ht="11.25" customHeight="1" x14ac:dyDescent="0.25">
      <c r="A6" s="309">
        <v>1</v>
      </c>
      <c r="B6" s="265" t="s">
        <v>132</v>
      </c>
      <c r="C6" s="264"/>
      <c r="D6" s="132"/>
      <c r="E6" s="98"/>
      <c r="F6" s="310"/>
      <c r="G6" s="311"/>
      <c r="H6" s="312"/>
      <c r="I6" s="313"/>
      <c r="J6" s="314"/>
      <c r="K6" s="315"/>
      <c r="L6" s="316"/>
      <c r="M6" s="317"/>
      <c r="N6" s="318"/>
      <c r="O6" s="319"/>
      <c r="P6" s="320"/>
      <c r="Q6" s="321"/>
    </row>
    <row r="7" spans="1:17" ht="11.25" customHeight="1" x14ac:dyDescent="0.25">
      <c r="A7" s="264"/>
      <c r="B7" s="322" t="s">
        <v>408</v>
      </c>
      <c r="C7" s="12" t="s">
        <v>157</v>
      </c>
      <c r="D7" s="14">
        <v>2.0299999999999998</v>
      </c>
      <c r="E7" s="13">
        <v>130406</v>
      </c>
      <c r="F7" s="310"/>
      <c r="G7" s="311"/>
      <c r="H7" s="312"/>
      <c r="I7" s="313"/>
      <c r="J7" s="314"/>
      <c r="K7" s="315"/>
      <c r="L7" s="316"/>
      <c r="M7" s="317"/>
      <c r="N7" s="318"/>
      <c r="O7" s="319"/>
      <c r="P7" s="320"/>
      <c r="Q7" s="321"/>
    </row>
    <row r="8" spans="1:17" ht="11.25" customHeight="1" x14ac:dyDescent="0.25">
      <c r="A8" s="264"/>
      <c r="B8" s="322" t="s">
        <v>409</v>
      </c>
      <c r="C8" s="12" t="s">
        <v>133</v>
      </c>
      <c r="D8" s="14">
        <v>74.98</v>
      </c>
      <c r="E8" s="13">
        <v>174023</v>
      </c>
      <c r="F8" s="310"/>
      <c r="G8" s="311"/>
      <c r="H8" s="312"/>
      <c r="I8" s="313"/>
      <c r="J8" s="314"/>
      <c r="K8" s="315"/>
      <c r="L8" s="316"/>
      <c r="M8" s="317"/>
      <c r="N8" s="318"/>
      <c r="O8" s="319"/>
      <c r="P8" s="320"/>
      <c r="Q8" s="321"/>
    </row>
    <row r="9" spans="1:17" ht="11.25" customHeight="1" x14ac:dyDescent="0.25">
      <c r="A9" s="264"/>
      <c r="B9" s="322" t="s">
        <v>410</v>
      </c>
      <c r="C9" s="12" t="s">
        <v>134</v>
      </c>
      <c r="D9" s="14">
        <v>385.75</v>
      </c>
      <c r="E9" s="13">
        <v>145409</v>
      </c>
      <c r="F9" s="310"/>
      <c r="G9" s="311"/>
      <c r="H9" s="312"/>
      <c r="I9" s="313"/>
      <c r="J9" s="314"/>
      <c r="K9" s="315"/>
      <c r="L9" s="316"/>
      <c r="M9" s="317"/>
      <c r="N9" s="318"/>
      <c r="O9" s="319"/>
      <c r="P9" s="320"/>
      <c r="Q9" s="321"/>
    </row>
    <row r="10" spans="1:17" ht="11.25" customHeight="1" x14ac:dyDescent="0.25">
      <c r="A10" s="264"/>
      <c r="B10" s="322" t="s">
        <v>411</v>
      </c>
      <c r="C10" s="12" t="s">
        <v>141</v>
      </c>
      <c r="D10" s="14">
        <v>1177.82</v>
      </c>
      <c r="E10" s="13">
        <v>134228</v>
      </c>
      <c r="F10" s="310"/>
      <c r="G10" s="311"/>
      <c r="H10" s="312"/>
      <c r="I10" s="313"/>
      <c r="J10" s="314"/>
      <c r="K10" s="315"/>
      <c r="L10" s="316"/>
      <c r="M10" s="317"/>
      <c r="N10" s="318"/>
      <c r="O10" s="319"/>
      <c r="P10" s="320"/>
      <c r="Q10" s="321"/>
    </row>
    <row r="11" spans="1:17" ht="11.25" customHeight="1" x14ac:dyDescent="0.25">
      <c r="A11" s="264"/>
      <c r="B11" s="322" t="s">
        <v>412</v>
      </c>
      <c r="C11" s="12" t="s">
        <v>151</v>
      </c>
      <c r="D11" s="14">
        <v>513.55999999999995</v>
      </c>
      <c r="E11" s="13">
        <v>120576</v>
      </c>
      <c r="F11" s="310"/>
      <c r="G11" s="311"/>
      <c r="H11" s="312"/>
      <c r="I11" s="313"/>
      <c r="J11" s="314"/>
      <c r="K11" s="315"/>
      <c r="L11" s="316"/>
      <c r="M11" s="317"/>
      <c r="N11" s="318"/>
      <c r="O11" s="319"/>
      <c r="P11" s="320"/>
      <c r="Q11" s="321"/>
    </row>
    <row r="12" spans="1:17" ht="11.25" customHeight="1" x14ac:dyDescent="0.25">
      <c r="A12" s="264"/>
      <c r="B12" s="322" t="s">
        <v>413</v>
      </c>
      <c r="C12" s="12" t="s">
        <v>142</v>
      </c>
      <c r="D12" s="14">
        <v>698.88</v>
      </c>
      <c r="E12" s="13">
        <v>139646</v>
      </c>
      <c r="F12" s="310"/>
      <c r="G12" s="311"/>
      <c r="H12" s="312"/>
      <c r="I12" s="313"/>
      <c r="J12" s="314"/>
      <c r="K12" s="315"/>
      <c r="L12" s="316"/>
      <c r="M12" s="317"/>
      <c r="N12" s="318"/>
      <c r="O12" s="319"/>
      <c r="P12" s="320"/>
      <c r="Q12" s="321"/>
    </row>
    <row r="13" spans="1:17" ht="11.25" customHeight="1" x14ac:dyDescent="0.25">
      <c r="A13" s="264"/>
      <c r="B13" s="322" t="s">
        <v>414</v>
      </c>
      <c r="C13" s="12" t="s">
        <v>150</v>
      </c>
      <c r="D13" s="14">
        <v>869.8</v>
      </c>
      <c r="E13" s="13">
        <v>130003</v>
      </c>
      <c r="F13" s="310"/>
      <c r="G13" s="311"/>
      <c r="H13" s="312"/>
      <c r="I13" s="313"/>
      <c r="J13" s="314"/>
      <c r="K13" s="315"/>
      <c r="L13" s="316"/>
      <c r="M13" s="317"/>
      <c r="N13" s="318"/>
      <c r="O13" s="319"/>
      <c r="P13" s="320"/>
      <c r="Q13" s="321"/>
    </row>
    <row r="14" spans="1:17" ht="11.25" customHeight="1" x14ac:dyDescent="0.25">
      <c r="A14" s="264"/>
      <c r="B14" s="322" t="s">
        <v>415</v>
      </c>
      <c r="C14" s="12" t="s">
        <v>135</v>
      </c>
      <c r="D14" s="14">
        <v>113.68</v>
      </c>
      <c r="E14" s="13">
        <v>106856</v>
      </c>
      <c r="F14" s="310"/>
      <c r="G14" s="311"/>
      <c r="H14" s="312"/>
      <c r="I14" s="313"/>
      <c r="J14" s="314"/>
      <c r="K14" s="315"/>
      <c r="L14" s="316"/>
      <c r="M14" s="317"/>
      <c r="N14" s="318"/>
      <c r="O14" s="319"/>
      <c r="P14" s="320"/>
      <c r="Q14" s="321"/>
    </row>
    <row r="15" spans="1:17" ht="11.25" customHeight="1" x14ac:dyDescent="0.25">
      <c r="A15" s="264"/>
      <c r="B15" s="322" t="s">
        <v>416</v>
      </c>
      <c r="C15" s="12" t="s">
        <v>526</v>
      </c>
      <c r="D15" s="14">
        <v>26257.34</v>
      </c>
      <c r="E15" s="13">
        <v>75036</v>
      </c>
      <c r="F15" s="310"/>
      <c r="G15" s="311"/>
      <c r="H15" s="312"/>
      <c r="I15" s="313"/>
      <c r="J15" s="314"/>
      <c r="K15" s="315"/>
      <c r="L15" s="316"/>
      <c r="M15" s="317"/>
      <c r="N15" s="318"/>
      <c r="O15" s="319"/>
      <c r="P15" s="320"/>
      <c r="Q15" s="321"/>
    </row>
    <row r="16" spans="1:17" ht="11.25" customHeight="1" x14ac:dyDescent="0.25">
      <c r="A16" s="264"/>
      <c r="B16" s="322" t="s">
        <v>417</v>
      </c>
      <c r="C16" s="12" t="s">
        <v>136</v>
      </c>
      <c r="D16" s="14">
        <v>17722.650000000001</v>
      </c>
      <c r="E16" s="13">
        <v>79137</v>
      </c>
      <c r="F16" s="310"/>
      <c r="G16" s="311"/>
      <c r="H16" s="312"/>
      <c r="I16" s="313"/>
      <c r="J16" s="314"/>
      <c r="K16" s="315"/>
      <c r="L16" s="316"/>
      <c r="M16" s="317"/>
      <c r="N16" s="318"/>
      <c r="O16" s="319"/>
      <c r="P16" s="320"/>
      <c r="Q16" s="321"/>
    </row>
    <row r="17" spans="1:17" ht="11.25" customHeight="1" x14ac:dyDescent="0.25">
      <c r="A17" s="264"/>
      <c r="B17" s="322" t="s">
        <v>418</v>
      </c>
      <c r="C17" s="12" t="s">
        <v>137</v>
      </c>
      <c r="D17" s="14">
        <v>639.03</v>
      </c>
      <c r="E17" s="13">
        <v>81170</v>
      </c>
      <c r="F17" s="310"/>
      <c r="G17" s="311"/>
      <c r="H17" s="312"/>
      <c r="I17" s="313"/>
      <c r="J17" s="314"/>
      <c r="K17" s="315"/>
      <c r="L17" s="316"/>
      <c r="M17" s="317"/>
      <c r="N17" s="318"/>
      <c r="O17" s="319"/>
      <c r="P17" s="320"/>
      <c r="Q17" s="321"/>
    </row>
    <row r="18" spans="1:17" ht="11.25" customHeight="1" x14ac:dyDescent="0.25">
      <c r="A18" s="264"/>
      <c r="B18" s="322" t="s">
        <v>527</v>
      </c>
      <c r="C18" s="12" t="s">
        <v>528</v>
      </c>
      <c r="D18" s="14">
        <v>3300.3</v>
      </c>
      <c r="E18" s="13">
        <v>79214</v>
      </c>
      <c r="F18" s="310"/>
      <c r="G18" s="311"/>
      <c r="H18" s="312"/>
      <c r="I18" s="313"/>
      <c r="J18" s="314"/>
      <c r="K18" s="315"/>
      <c r="L18" s="316"/>
      <c r="M18" s="317"/>
      <c r="N18" s="318"/>
      <c r="O18" s="319"/>
      <c r="P18" s="320"/>
      <c r="Q18" s="321"/>
    </row>
    <row r="19" spans="1:17" ht="11.25" customHeight="1" x14ac:dyDescent="0.25">
      <c r="A19" s="264"/>
      <c r="B19" s="322" t="s">
        <v>419</v>
      </c>
      <c r="C19" s="12" t="s">
        <v>138</v>
      </c>
      <c r="D19" s="14">
        <v>837.88</v>
      </c>
      <c r="E19" s="13">
        <v>88112</v>
      </c>
      <c r="F19" s="310"/>
      <c r="G19" s="311"/>
      <c r="H19" s="312"/>
      <c r="I19" s="313"/>
      <c r="J19" s="314"/>
      <c r="K19" s="315"/>
      <c r="L19" s="316"/>
      <c r="M19" s="317"/>
      <c r="N19" s="318"/>
      <c r="O19" s="319"/>
      <c r="P19" s="320"/>
      <c r="Q19" s="321"/>
    </row>
    <row r="20" spans="1:17" ht="11.25" customHeight="1" x14ac:dyDescent="0.15">
      <c r="A20" s="265"/>
      <c r="B20" s="322" t="s">
        <v>420</v>
      </c>
      <c r="C20" s="12" t="s">
        <v>149</v>
      </c>
      <c r="D20" s="14">
        <v>821.7</v>
      </c>
      <c r="E20" s="13">
        <v>87802</v>
      </c>
      <c r="F20" s="310"/>
      <c r="G20" s="311"/>
      <c r="H20" s="312"/>
      <c r="I20" s="313"/>
      <c r="J20" s="314"/>
      <c r="K20" s="315"/>
      <c r="L20" s="316"/>
      <c r="M20" s="317"/>
      <c r="N20" s="318"/>
      <c r="O20" s="319"/>
      <c r="P20" s="320"/>
      <c r="Q20" s="321"/>
    </row>
    <row r="21" spans="1:17" ht="11.25" customHeight="1" x14ac:dyDescent="0.15">
      <c r="A21" s="265"/>
      <c r="B21" s="322" t="s">
        <v>421</v>
      </c>
      <c r="C21" s="12" t="s">
        <v>143</v>
      </c>
      <c r="D21" s="14">
        <v>2397.58</v>
      </c>
      <c r="E21" s="13">
        <v>79308</v>
      </c>
      <c r="F21" s="310"/>
      <c r="G21" s="311"/>
      <c r="H21" s="312"/>
      <c r="I21" s="313"/>
      <c r="J21" s="314"/>
      <c r="K21" s="315"/>
      <c r="L21" s="316"/>
      <c r="M21" s="317"/>
      <c r="N21" s="318"/>
      <c r="O21" s="319"/>
      <c r="P21" s="320"/>
      <c r="Q21" s="321"/>
    </row>
    <row r="22" spans="1:17" ht="11.25" customHeight="1" x14ac:dyDescent="0.15">
      <c r="A22" s="265"/>
      <c r="B22" s="322" t="s">
        <v>422</v>
      </c>
      <c r="C22" s="12" t="s">
        <v>144</v>
      </c>
      <c r="D22" s="14">
        <v>0.93</v>
      </c>
      <c r="E22" s="13">
        <v>69014</v>
      </c>
      <c r="F22" s="310"/>
      <c r="G22" s="311"/>
      <c r="H22" s="312"/>
      <c r="I22" s="313"/>
      <c r="J22" s="314"/>
      <c r="K22" s="315"/>
      <c r="L22" s="316"/>
      <c r="M22" s="317"/>
      <c r="N22" s="318"/>
      <c r="O22" s="319"/>
      <c r="P22" s="320"/>
      <c r="Q22" s="321"/>
    </row>
    <row r="23" spans="1:17" ht="11.25" customHeight="1" x14ac:dyDescent="0.15">
      <c r="A23" s="265"/>
      <c r="B23" s="322" t="s">
        <v>423</v>
      </c>
      <c r="C23" s="12" t="s">
        <v>145</v>
      </c>
      <c r="D23" s="14">
        <v>101.15</v>
      </c>
      <c r="E23" s="13">
        <v>76373</v>
      </c>
      <c r="F23" s="310"/>
      <c r="G23" s="311"/>
      <c r="H23" s="312"/>
      <c r="I23" s="313"/>
      <c r="J23" s="314"/>
      <c r="K23" s="315"/>
      <c r="L23" s="316"/>
      <c r="M23" s="317"/>
      <c r="N23" s="318"/>
      <c r="O23" s="319"/>
      <c r="P23" s="320"/>
      <c r="Q23" s="321"/>
    </row>
    <row r="24" spans="1:17" ht="11.25" customHeight="1" x14ac:dyDescent="0.15">
      <c r="A24" s="265"/>
      <c r="B24" s="322" t="s">
        <v>424</v>
      </c>
      <c r="C24" s="12" t="s">
        <v>272</v>
      </c>
      <c r="D24" s="14">
        <v>5.9</v>
      </c>
      <c r="E24" s="13">
        <v>93500</v>
      </c>
      <c r="F24" s="310"/>
      <c r="G24" s="311"/>
      <c r="H24" s="312"/>
      <c r="I24" s="313"/>
      <c r="J24" s="314"/>
      <c r="K24" s="315"/>
      <c r="L24" s="316"/>
      <c r="M24" s="317"/>
      <c r="N24" s="318"/>
      <c r="O24" s="319"/>
      <c r="P24" s="320"/>
      <c r="Q24" s="321"/>
    </row>
    <row r="25" spans="1:17" ht="11.25" customHeight="1" x14ac:dyDescent="0.15">
      <c r="A25" s="265"/>
      <c r="B25" s="322" t="s">
        <v>425</v>
      </c>
      <c r="C25" s="12" t="s">
        <v>146</v>
      </c>
      <c r="D25" s="14">
        <v>28.71</v>
      </c>
      <c r="E25" s="13">
        <v>81316</v>
      </c>
      <c r="F25" s="310"/>
      <c r="G25" s="311"/>
      <c r="H25" s="312"/>
      <c r="I25" s="313"/>
      <c r="J25" s="314"/>
      <c r="K25" s="315"/>
      <c r="L25" s="316"/>
      <c r="M25" s="317"/>
      <c r="N25" s="318"/>
      <c r="O25" s="319"/>
      <c r="P25" s="320"/>
      <c r="Q25" s="321"/>
    </row>
    <row r="26" spans="1:17" ht="11.25" customHeight="1" x14ac:dyDescent="0.15">
      <c r="A26" s="265"/>
      <c r="B26" s="322" t="s">
        <v>426</v>
      </c>
      <c r="C26" s="12" t="s">
        <v>147</v>
      </c>
      <c r="D26" s="14">
        <v>518.75</v>
      </c>
      <c r="E26" s="13">
        <v>69302</v>
      </c>
      <c r="F26" s="310"/>
      <c r="G26" s="311"/>
      <c r="H26" s="312"/>
      <c r="I26" s="313"/>
      <c r="J26" s="314"/>
      <c r="K26" s="315"/>
      <c r="L26" s="316"/>
      <c r="M26" s="317"/>
      <c r="N26" s="318"/>
      <c r="O26" s="319"/>
      <c r="P26" s="320"/>
      <c r="Q26" s="321"/>
    </row>
    <row r="27" spans="1:17" ht="11.25" customHeight="1" x14ac:dyDescent="0.15">
      <c r="A27" s="265"/>
      <c r="B27" s="322" t="s">
        <v>427</v>
      </c>
      <c r="C27" s="12" t="s">
        <v>148</v>
      </c>
      <c r="D27" s="14">
        <v>2.2599999999999998</v>
      </c>
      <c r="E27" s="13">
        <v>87736</v>
      </c>
      <c r="F27" s="310"/>
      <c r="G27" s="311"/>
      <c r="H27" s="312"/>
      <c r="I27" s="313"/>
      <c r="J27" s="314"/>
      <c r="K27" s="315"/>
      <c r="L27" s="316"/>
      <c r="M27" s="317"/>
      <c r="N27" s="318"/>
      <c r="O27" s="319"/>
      <c r="P27" s="320"/>
      <c r="Q27" s="321"/>
    </row>
    <row r="28" spans="1:17" ht="11.25" customHeight="1" x14ac:dyDescent="0.15">
      <c r="A28" s="265"/>
      <c r="B28" s="322" t="s">
        <v>428</v>
      </c>
      <c r="C28" s="12" t="s">
        <v>576</v>
      </c>
      <c r="D28" s="14">
        <v>0</v>
      </c>
      <c r="E28" s="13">
        <v>0</v>
      </c>
      <c r="F28" s="310"/>
      <c r="G28" s="311"/>
      <c r="H28" s="312"/>
      <c r="I28" s="313"/>
      <c r="J28" s="314"/>
      <c r="K28" s="315"/>
      <c r="L28" s="316"/>
      <c r="M28" s="317"/>
      <c r="N28" s="318"/>
      <c r="O28" s="319"/>
      <c r="P28" s="320"/>
      <c r="Q28" s="321"/>
    </row>
    <row r="29" spans="1:17" ht="11.25" customHeight="1" x14ac:dyDescent="0.15">
      <c r="A29" s="265"/>
      <c r="B29" s="322" t="s">
        <v>429</v>
      </c>
      <c r="C29" s="12" t="s">
        <v>139</v>
      </c>
      <c r="D29" s="14">
        <v>106.32</v>
      </c>
      <c r="E29" s="13">
        <v>92512</v>
      </c>
      <c r="F29" s="310"/>
      <c r="G29" s="311"/>
      <c r="H29" s="312"/>
      <c r="I29" s="313"/>
      <c r="J29" s="314"/>
      <c r="K29" s="315"/>
      <c r="L29" s="316"/>
      <c r="M29" s="317"/>
      <c r="N29" s="318"/>
      <c r="O29" s="319"/>
      <c r="P29" s="320"/>
      <c r="Q29" s="321"/>
    </row>
    <row r="30" spans="1:17" ht="11.25" customHeight="1" x14ac:dyDescent="0.15">
      <c r="A30" s="265"/>
      <c r="B30" s="322" t="s">
        <v>430</v>
      </c>
      <c r="C30" s="12" t="s">
        <v>140</v>
      </c>
      <c r="D30" s="14">
        <v>40.74</v>
      </c>
      <c r="E30" s="13">
        <v>60944</v>
      </c>
      <c r="F30" s="310"/>
      <c r="G30" s="311"/>
      <c r="H30" s="312"/>
      <c r="I30" s="313"/>
      <c r="J30" s="314"/>
      <c r="K30" s="315"/>
      <c r="L30" s="316"/>
      <c r="M30" s="317"/>
      <c r="N30" s="318"/>
      <c r="O30" s="319"/>
      <c r="P30" s="320"/>
      <c r="Q30" s="321"/>
    </row>
    <row r="31" spans="1:17" ht="11.25" customHeight="1" x14ac:dyDescent="0.15">
      <c r="A31" s="265"/>
      <c r="B31" s="322" t="s">
        <v>431</v>
      </c>
      <c r="C31" s="12" t="s">
        <v>273</v>
      </c>
      <c r="D31" s="14">
        <v>33.14</v>
      </c>
      <c r="E31" s="13">
        <v>91297</v>
      </c>
      <c r="F31" s="310"/>
      <c r="G31" s="311"/>
      <c r="H31" s="312"/>
      <c r="I31" s="313"/>
      <c r="J31" s="314"/>
      <c r="K31" s="315"/>
      <c r="L31" s="316"/>
      <c r="M31" s="317"/>
      <c r="N31" s="318"/>
      <c r="O31" s="319"/>
      <c r="P31" s="320"/>
      <c r="Q31" s="321"/>
    </row>
    <row r="32" spans="1:17" ht="11.25" customHeight="1" x14ac:dyDescent="0.15">
      <c r="A32" s="265"/>
      <c r="B32" s="322" t="s">
        <v>432</v>
      </c>
      <c r="C32" s="12" t="s">
        <v>198</v>
      </c>
      <c r="D32" s="14">
        <v>4</v>
      </c>
      <c r="E32" s="13">
        <v>75959</v>
      </c>
      <c r="F32" s="310"/>
      <c r="G32" s="311"/>
      <c r="H32" s="312"/>
      <c r="I32" s="313"/>
      <c r="J32" s="314"/>
      <c r="K32" s="315"/>
      <c r="L32" s="316"/>
      <c r="M32" s="317"/>
      <c r="N32" s="318"/>
      <c r="O32" s="319"/>
      <c r="P32" s="320"/>
      <c r="Q32" s="321"/>
    </row>
    <row r="33" spans="1:17" ht="11.25" customHeight="1" x14ac:dyDescent="0.15">
      <c r="A33" s="265"/>
      <c r="B33" s="322" t="s">
        <v>433</v>
      </c>
      <c r="C33" s="12" t="s">
        <v>199</v>
      </c>
      <c r="D33" s="14">
        <v>1</v>
      </c>
      <c r="E33" s="13">
        <v>53405</v>
      </c>
      <c r="F33" s="310"/>
      <c r="G33" s="311"/>
      <c r="H33" s="312"/>
      <c r="I33" s="313"/>
      <c r="J33" s="314"/>
      <c r="K33" s="315"/>
      <c r="L33" s="316"/>
      <c r="M33" s="317"/>
      <c r="N33" s="318"/>
      <c r="O33" s="319"/>
      <c r="P33" s="320"/>
      <c r="Q33" s="321"/>
    </row>
    <row r="34" spans="1:17" ht="11.25" customHeight="1" x14ac:dyDescent="0.15">
      <c r="A34" s="265"/>
      <c r="B34" s="322" t="s">
        <v>434</v>
      </c>
      <c r="C34" s="12" t="s">
        <v>274</v>
      </c>
      <c r="D34" s="14">
        <v>0</v>
      </c>
      <c r="E34" s="13">
        <v>0</v>
      </c>
      <c r="F34" s="310"/>
      <c r="G34" s="311"/>
      <c r="H34" s="312"/>
      <c r="I34" s="313"/>
      <c r="J34" s="314"/>
      <c r="K34" s="315"/>
      <c r="L34" s="316"/>
      <c r="M34" s="317"/>
      <c r="N34" s="318"/>
      <c r="O34" s="319"/>
      <c r="P34" s="320"/>
      <c r="Q34" s="321"/>
    </row>
    <row r="35" spans="1:17" ht="11.25" customHeight="1" x14ac:dyDescent="0.15">
      <c r="A35" s="265"/>
      <c r="B35" s="322" t="s">
        <v>435</v>
      </c>
      <c r="C35" s="12" t="s">
        <v>110</v>
      </c>
      <c r="D35" s="14">
        <v>3471.79</v>
      </c>
      <c r="E35" s="13">
        <v>43199</v>
      </c>
      <c r="F35" s="310"/>
      <c r="G35" s="311"/>
      <c r="H35" s="312"/>
      <c r="I35" s="313"/>
      <c r="J35" s="314"/>
      <c r="K35" s="315"/>
      <c r="L35" s="316"/>
      <c r="M35" s="317"/>
      <c r="N35" s="318"/>
      <c r="O35" s="319"/>
      <c r="P35" s="320"/>
      <c r="Q35" s="321"/>
    </row>
    <row r="36" spans="1:17" ht="11.25" customHeight="1" x14ac:dyDescent="0.25">
      <c r="A36" s="264"/>
      <c r="B36" s="322" t="s">
        <v>438</v>
      </c>
      <c r="C36" s="12" t="s">
        <v>113</v>
      </c>
      <c r="D36" s="14">
        <v>5015.25</v>
      </c>
      <c r="E36" s="13">
        <v>52373</v>
      </c>
      <c r="F36" s="310"/>
      <c r="G36" s="311"/>
      <c r="H36" s="312"/>
      <c r="I36" s="313"/>
      <c r="J36" s="314"/>
      <c r="K36" s="315"/>
      <c r="L36" s="316"/>
      <c r="M36" s="317"/>
      <c r="N36" s="318"/>
      <c r="O36" s="319"/>
      <c r="P36" s="320"/>
      <c r="Q36" s="321"/>
    </row>
    <row r="37" spans="1:17" ht="11.25" customHeight="1" x14ac:dyDescent="0.25">
      <c r="A37" s="264"/>
      <c r="B37" s="322" t="s">
        <v>439</v>
      </c>
      <c r="C37" s="12" t="s">
        <v>114</v>
      </c>
      <c r="D37" s="14">
        <v>0.73</v>
      </c>
      <c r="E37" s="13">
        <v>53683</v>
      </c>
      <c r="F37" s="310"/>
      <c r="G37" s="311"/>
      <c r="H37" s="312"/>
      <c r="I37" s="313"/>
      <c r="J37" s="314"/>
      <c r="K37" s="315"/>
      <c r="L37" s="316"/>
      <c r="M37" s="317"/>
      <c r="N37" s="318"/>
      <c r="O37" s="319"/>
      <c r="P37" s="320"/>
      <c r="Q37" s="321"/>
    </row>
    <row r="38" spans="1:17" ht="11.25" customHeight="1" x14ac:dyDescent="0.25">
      <c r="A38" s="264"/>
      <c r="B38" s="322" t="s">
        <v>440</v>
      </c>
      <c r="C38" s="12" t="s">
        <v>115</v>
      </c>
      <c r="D38" s="14">
        <v>693.03</v>
      </c>
      <c r="E38" s="13">
        <v>69079</v>
      </c>
      <c r="F38" s="310"/>
      <c r="G38" s="311"/>
      <c r="H38" s="312"/>
      <c r="I38" s="313"/>
      <c r="J38" s="314"/>
      <c r="K38" s="315"/>
      <c r="L38" s="316"/>
      <c r="M38" s="317"/>
      <c r="N38" s="318"/>
      <c r="O38" s="319"/>
      <c r="P38" s="320"/>
      <c r="Q38" s="321"/>
    </row>
    <row r="39" spans="1:17" ht="11.25" customHeight="1" x14ac:dyDescent="0.25">
      <c r="A39" s="264"/>
      <c r="B39" s="322" t="s">
        <v>441</v>
      </c>
      <c r="C39" s="12" t="s">
        <v>116</v>
      </c>
      <c r="D39" s="14">
        <v>282.02</v>
      </c>
      <c r="E39" s="13">
        <v>55833</v>
      </c>
      <c r="F39" s="310"/>
      <c r="G39" s="311"/>
      <c r="H39" s="312"/>
      <c r="I39" s="313"/>
      <c r="J39" s="314"/>
      <c r="K39" s="315"/>
      <c r="L39" s="316"/>
      <c r="M39" s="317"/>
      <c r="N39" s="318"/>
      <c r="O39" s="319"/>
      <c r="P39" s="320"/>
      <c r="Q39" s="321"/>
    </row>
    <row r="40" spans="1:17" ht="11.25" customHeight="1" x14ac:dyDescent="0.25">
      <c r="A40" s="264"/>
      <c r="B40" s="322" t="s">
        <v>442</v>
      </c>
      <c r="C40" s="12" t="s">
        <v>117</v>
      </c>
      <c r="D40" s="14">
        <v>335.61</v>
      </c>
      <c r="E40" s="13">
        <v>67007</v>
      </c>
      <c r="F40" s="310"/>
      <c r="G40" s="311"/>
      <c r="H40" s="312"/>
      <c r="I40" s="313"/>
      <c r="J40" s="314"/>
      <c r="K40" s="315"/>
      <c r="L40" s="316"/>
      <c r="M40" s="317"/>
      <c r="N40" s="318"/>
      <c r="O40" s="319"/>
      <c r="P40" s="320"/>
      <c r="Q40" s="321"/>
    </row>
    <row r="41" spans="1:17" ht="11.25" customHeight="1" x14ac:dyDescent="0.25">
      <c r="A41" s="264"/>
      <c r="B41" s="322" t="s">
        <v>443</v>
      </c>
      <c r="C41" s="12" t="s">
        <v>109</v>
      </c>
      <c r="D41" s="14">
        <v>139.74</v>
      </c>
      <c r="E41" s="13">
        <v>117265</v>
      </c>
      <c r="F41" s="310"/>
      <c r="G41" s="311"/>
      <c r="H41" s="312"/>
      <c r="I41" s="313"/>
      <c r="J41" s="314"/>
      <c r="K41" s="315"/>
      <c r="L41" s="316"/>
      <c r="M41" s="317"/>
      <c r="N41" s="318"/>
      <c r="O41" s="319"/>
      <c r="P41" s="320"/>
      <c r="Q41" s="321"/>
    </row>
    <row r="42" spans="1:17" ht="11.25" customHeight="1" x14ac:dyDescent="0.25">
      <c r="A42" s="264"/>
      <c r="B42" s="323"/>
      <c r="C42" s="264"/>
      <c r="D42" s="132"/>
      <c r="E42" s="203"/>
      <c r="F42" s="324">
        <f>SUM(D7:D33)</f>
        <v>56655.880000000005</v>
      </c>
      <c r="G42" s="325">
        <f>(SUMPRODUCT(D7:D33,E7:E33))</f>
        <v>4596954125.3100004</v>
      </c>
      <c r="H42" s="326">
        <f>SUM(D7:D14)</f>
        <v>3836.4999999999995</v>
      </c>
      <c r="I42" s="327">
        <f>(SUMPRODUCT(D7:D14,E7:E14))</f>
        <v>512243719.94999993</v>
      </c>
      <c r="J42" s="328">
        <f>SUM(D15:D28,D32:D33)</f>
        <v>52639.180000000008</v>
      </c>
      <c r="K42" s="329">
        <f>(SUMPRODUCT(D15:D28,E15:E28))+(SUMPRODUCT(D32:D33,E32:E33))</f>
        <v>4069366088.3799996</v>
      </c>
      <c r="L42" s="330">
        <f>SUM(D29:D31)</f>
        <v>180.2</v>
      </c>
      <c r="M42" s="331">
        <f>(SUMPRODUCT(D29:D31,E29:E31))</f>
        <v>15344316.98</v>
      </c>
      <c r="N42" s="332">
        <f>+H42+J42+L42</f>
        <v>56655.880000000005</v>
      </c>
      <c r="O42" s="333">
        <f>+I42+K42+M42</f>
        <v>4596954125.3099995</v>
      </c>
      <c r="P42" s="334">
        <f>SUM(D34:D41)</f>
        <v>9938.1700000000019</v>
      </c>
      <c r="Q42" s="335">
        <f>(SUMPRODUCT(D34:D41,E34:E41))</f>
        <v>515175405.45000005</v>
      </c>
    </row>
    <row r="43" spans="1:17" ht="11.25" customHeight="1" x14ac:dyDescent="0.15">
      <c r="A43" s="336">
        <v>2</v>
      </c>
      <c r="B43" s="322" t="s">
        <v>384</v>
      </c>
      <c r="C43" s="12"/>
      <c r="D43" s="132"/>
      <c r="E43" s="98"/>
      <c r="F43" s="310"/>
      <c r="G43" s="311"/>
      <c r="H43" s="312"/>
      <c r="I43" s="313"/>
      <c r="J43" s="314"/>
      <c r="K43" s="315"/>
      <c r="L43" s="316"/>
      <c r="M43" s="317"/>
      <c r="N43" s="318"/>
      <c r="O43" s="319"/>
      <c r="P43" s="320"/>
      <c r="Q43" s="321"/>
    </row>
    <row r="44" spans="1:17" ht="11.25" customHeight="1" x14ac:dyDescent="0.25">
      <c r="A44" s="264"/>
      <c r="B44" s="322" t="s">
        <v>410</v>
      </c>
      <c r="C44" s="12" t="s">
        <v>134</v>
      </c>
      <c r="D44" s="14">
        <v>8.91</v>
      </c>
      <c r="E44" s="13">
        <v>116569</v>
      </c>
      <c r="F44" s="310"/>
      <c r="G44" s="311"/>
      <c r="H44" s="312"/>
      <c r="I44" s="313"/>
      <c r="J44" s="314"/>
      <c r="K44" s="315"/>
      <c r="L44" s="316"/>
      <c r="M44" s="317"/>
      <c r="N44" s="318"/>
      <c r="O44" s="319"/>
      <c r="P44" s="320"/>
      <c r="Q44" s="321"/>
    </row>
    <row r="45" spans="1:17" ht="11.25" customHeight="1" x14ac:dyDescent="0.25">
      <c r="A45" s="264"/>
      <c r="B45" s="322" t="s">
        <v>411</v>
      </c>
      <c r="C45" s="12" t="s">
        <v>141</v>
      </c>
      <c r="D45" s="14">
        <v>11.76</v>
      </c>
      <c r="E45" s="13">
        <v>131306</v>
      </c>
      <c r="F45" s="310"/>
      <c r="G45" s="311"/>
      <c r="H45" s="312"/>
      <c r="I45" s="313"/>
      <c r="J45" s="314"/>
      <c r="K45" s="315"/>
      <c r="L45" s="316"/>
      <c r="M45" s="317"/>
      <c r="N45" s="318"/>
      <c r="O45" s="319"/>
      <c r="P45" s="320"/>
      <c r="Q45" s="321"/>
    </row>
    <row r="46" spans="1:17" ht="11.25" customHeight="1" x14ac:dyDescent="0.25">
      <c r="A46" s="264"/>
      <c r="B46" s="322" t="s">
        <v>412</v>
      </c>
      <c r="C46" s="12" t="s">
        <v>151</v>
      </c>
      <c r="D46" s="14">
        <v>1</v>
      </c>
      <c r="E46" s="13">
        <v>88988</v>
      </c>
      <c r="F46" s="310"/>
      <c r="G46" s="311"/>
      <c r="H46" s="312"/>
      <c r="I46" s="313"/>
      <c r="J46" s="314"/>
      <c r="K46" s="315"/>
      <c r="L46" s="316"/>
      <c r="M46" s="317"/>
      <c r="N46" s="318"/>
      <c r="O46" s="319"/>
      <c r="P46" s="320"/>
      <c r="Q46" s="321"/>
    </row>
    <row r="47" spans="1:17" ht="11.25" customHeight="1" x14ac:dyDescent="0.25">
      <c r="A47" s="264"/>
      <c r="B47" s="322" t="s">
        <v>413</v>
      </c>
      <c r="C47" s="12" t="s">
        <v>142</v>
      </c>
      <c r="D47" s="14">
        <v>28.53</v>
      </c>
      <c r="E47" s="13">
        <v>137629</v>
      </c>
      <c r="F47" s="310"/>
      <c r="G47" s="311"/>
      <c r="H47" s="312"/>
      <c r="I47" s="313"/>
      <c r="J47" s="314"/>
      <c r="K47" s="315"/>
      <c r="L47" s="316"/>
      <c r="M47" s="317"/>
      <c r="N47" s="318"/>
      <c r="O47" s="319"/>
      <c r="P47" s="320"/>
      <c r="Q47" s="321"/>
    </row>
    <row r="48" spans="1:17" ht="11.25" customHeight="1" x14ac:dyDescent="0.25">
      <c r="A48" s="264"/>
      <c r="B48" s="322" t="s">
        <v>414</v>
      </c>
      <c r="C48" s="12" t="s">
        <v>150</v>
      </c>
      <c r="D48" s="14">
        <v>12.06</v>
      </c>
      <c r="E48" s="13">
        <v>129128</v>
      </c>
      <c r="F48" s="310"/>
      <c r="G48" s="311"/>
      <c r="H48" s="312"/>
      <c r="I48" s="313"/>
      <c r="J48" s="314"/>
      <c r="K48" s="315"/>
      <c r="L48" s="316"/>
      <c r="M48" s="317"/>
      <c r="N48" s="318"/>
      <c r="O48" s="319"/>
      <c r="P48" s="320"/>
      <c r="Q48" s="321"/>
    </row>
    <row r="49" spans="1:17" ht="11.25" customHeight="1" x14ac:dyDescent="0.25">
      <c r="A49" s="264"/>
      <c r="B49" s="322" t="s">
        <v>415</v>
      </c>
      <c r="C49" s="12" t="s">
        <v>135</v>
      </c>
      <c r="D49" s="14">
        <v>7.26</v>
      </c>
      <c r="E49" s="13">
        <v>115313</v>
      </c>
      <c r="F49" s="310"/>
      <c r="G49" s="311"/>
      <c r="H49" s="312"/>
      <c r="I49" s="313"/>
      <c r="J49" s="314"/>
      <c r="K49" s="315"/>
      <c r="L49" s="316"/>
      <c r="M49" s="317"/>
      <c r="N49" s="318"/>
      <c r="O49" s="319"/>
      <c r="P49" s="320"/>
      <c r="Q49" s="321"/>
    </row>
    <row r="50" spans="1:17" ht="11.25" customHeight="1" x14ac:dyDescent="0.25">
      <c r="A50" s="264"/>
      <c r="B50" s="322" t="s">
        <v>416</v>
      </c>
      <c r="C50" s="12" t="s">
        <v>526</v>
      </c>
      <c r="D50" s="14">
        <v>183.9</v>
      </c>
      <c r="E50" s="13">
        <v>77338</v>
      </c>
      <c r="F50" s="310"/>
      <c r="G50" s="311"/>
      <c r="H50" s="312"/>
      <c r="I50" s="313"/>
      <c r="J50" s="314"/>
      <c r="K50" s="315"/>
      <c r="L50" s="316"/>
      <c r="M50" s="317"/>
      <c r="N50" s="318"/>
      <c r="O50" s="319"/>
      <c r="P50" s="320"/>
      <c r="Q50" s="321"/>
    </row>
    <row r="51" spans="1:17" ht="11.25" customHeight="1" x14ac:dyDescent="0.25">
      <c r="A51" s="264"/>
      <c r="B51" s="322" t="s">
        <v>417</v>
      </c>
      <c r="C51" s="12" t="s">
        <v>136</v>
      </c>
      <c r="D51" s="14">
        <v>495.2</v>
      </c>
      <c r="E51" s="13">
        <v>79817</v>
      </c>
      <c r="F51" s="310"/>
      <c r="G51" s="311"/>
      <c r="H51" s="312"/>
      <c r="I51" s="313"/>
      <c r="J51" s="314"/>
      <c r="K51" s="315"/>
      <c r="L51" s="316"/>
      <c r="M51" s="317"/>
      <c r="N51" s="318"/>
      <c r="O51" s="319"/>
      <c r="P51" s="320"/>
      <c r="Q51" s="321"/>
    </row>
    <row r="52" spans="1:17" ht="11.25" customHeight="1" x14ac:dyDescent="0.25">
      <c r="A52" s="264"/>
      <c r="B52" s="322" t="s">
        <v>418</v>
      </c>
      <c r="C52" s="12" t="s">
        <v>137</v>
      </c>
      <c r="D52" s="14">
        <v>95.5</v>
      </c>
      <c r="E52" s="13">
        <v>78769</v>
      </c>
      <c r="F52" s="310"/>
      <c r="G52" s="311"/>
      <c r="H52" s="312"/>
      <c r="I52" s="313"/>
      <c r="J52" s="314"/>
      <c r="K52" s="315"/>
      <c r="L52" s="316"/>
      <c r="M52" s="317"/>
      <c r="N52" s="318"/>
      <c r="O52" s="319"/>
      <c r="P52" s="320"/>
      <c r="Q52" s="321"/>
    </row>
    <row r="53" spans="1:17" ht="11.25" customHeight="1" x14ac:dyDescent="0.25">
      <c r="A53" s="264"/>
      <c r="B53" s="322" t="s">
        <v>527</v>
      </c>
      <c r="C53" s="12" t="s">
        <v>528</v>
      </c>
      <c r="D53" s="14">
        <v>7.09</v>
      </c>
      <c r="E53" s="13">
        <v>75788</v>
      </c>
      <c r="F53" s="310"/>
      <c r="G53" s="311"/>
      <c r="H53" s="312"/>
      <c r="I53" s="313"/>
      <c r="J53" s="314"/>
      <c r="K53" s="315"/>
      <c r="L53" s="316"/>
      <c r="M53" s="317"/>
      <c r="N53" s="318"/>
      <c r="O53" s="319"/>
      <c r="P53" s="320"/>
      <c r="Q53" s="321"/>
    </row>
    <row r="54" spans="1:17" ht="11.25" customHeight="1" x14ac:dyDescent="0.25">
      <c r="A54" s="264"/>
      <c r="B54" s="322" t="s">
        <v>419</v>
      </c>
      <c r="C54" s="12" t="s">
        <v>138</v>
      </c>
      <c r="D54" s="14">
        <v>15.91</v>
      </c>
      <c r="E54" s="13">
        <v>82217</v>
      </c>
      <c r="F54" s="310"/>
      <c r="G54" s="311"/>
      <c r="H54" s="312"/>
      <c r="I54" s="313"/>
      <c r="J54" s="314"/>
      <c r="K54" s="315"/>
      <c r="L54" s="316"/>
      <c r="M54" s="317"/>
      <c r="N54" s="318"/>
      <c r="O54" s="319"/>
      <c r="P54" s="320"/>
      <c r="Q54" s="321"/>
    </row>
    <row r="55" spans="1:17" ht="11.25" customHeight="1" x14ac:dyDescent="0.25">
      <c r="A55" s="264"/>
      <c r="B55" s="322" t="s">
        <v>420</v>
      </c>
      <c r="C55" s="12" t="s">
        <v>149</v>
      </c>
      <c r="D55" s="14">
        <v>1</v>
      </c>
      <c r="E55" s="13">
        <v>112704</v>
      </c>
      <c r="F55" s="310"/>
      <c r="G55" s="311"/>
      <c r="H55" s="312"/>
      <c r="I55" s="313"/>
      <c r="J55" s="314"/>
      <c r="K55" s="315"/>
      <c r="L55" s="316"/>
      <c r="M55" s="317"/>
      <c r="N55" s="318"/>
      <c r="O55" s="319"/>
      <c r="P55" s="320"/>
      <c r="Q55" s="321"/>
    </row>
    <row r="56" spans="1:17" ht="11.25" customHeight="1" x14ac:dyDescent="0.15">
      <c r="A56" s="265"/>
      <c r="B56" s="322" t="s">
        <v>421</v>
      </c>
      <c r="C56" s="12" t="s">
        <v>143</v>
      </c>
      <c r="D56" s="14">
        <v>44.79</v>
      </c>
      <c r="E56" s="13">
        <v>78984</v>
      </c>
      <c r="F56" s="310"/>
      <c r="G56" s="311"/>
      <c r="H56" s="312"/>
      <c r="I56" s="313"/>
      <c r="J56" s="314"/>
      <c r="K56" s="315"/>
      <c r="L56" s="316"/>
      <c r="M56" s="317"/>
      <c r="N56" s="318"/>
      <c r="O56" s="319"/>
      <c r="P56" s="320"/>
      <c r="Q56" s="321"/>
    </row>
    <row r="57" spans="1:17" ht="11.25" customHeight="1" x14ac:dyDescent="0.15">
      <c r="A57" s="265"/>
      <c r="B57" s="322" t="s">
        <v>423</v>
      </c>
      <c r="C57" s="12" t="s">
        <v>145</v>
      </c>
      <c r="D57" s="14">
        <v>1.5</v>
      </c>
      <c r="E57" s="13">
        <v>74505</v>
      </c>
      <c r="F57" s="310"/>
      <c r="G57" s="311"/>
      <c r="H57" s="312"/>
      <c r="I57" s="313"/>
      <c r="J57" s="314"/>
      <c r="K57" s="315"/>
      <c r="L57" s="316"/>
      <c r="M57" s="317"/>
      <c r="N57" s="318"/>
      <c r="O57" s="319"/>
      <c r="P57" s="320"/>
      <c r="Q57" s="321"/>
    </row>
    <row r="58" spans="1:17" ht="11.25" customHeight="1" x14ac:dyDescent="0.15">
      <c r="A58" s="265"/>
      <c r="B58" s="322" t="s">
        <v>424</v>
      </c>
      <c r="C58" s="12" t="s">
        <v>272</v>
      </c>
      <c r="D58" s="14">
        <v>0.09</v>
      </c>
      <c r="E58" s="13">
        <v>93708</v>
      </c>
      <c r="F58" s="310"/>
      <c r="G58" s="311"/>
      <c r="H58" s="312"/>
      <c r="I58" s="313"/>
      <c r="J58" s="314"/>
      <c r="K58" s="315"/>
      <c r="L58" s="316"/>
      <c r="M58" s="317"/>
      <c r="N58" s="318"/>
      <c r="O58" s="319"/>
      <c r="P58" s="320"/>
      <c r="Q58" s="321"/>
    </row>
    <row r="59" spans="1:17" ht="11.25" customHeight="1" x14ac:dyDescent="0.15">
      <c r="A59" s="265"/>
      <c r="B59" s="322" t="s">
        <v>425</v>
      </c>
      <c r="C59" s="12" t="s">
        <v>146</v>
      </c>
      <c r="D59" s="14">
        <v>0.05</v>
      </c>
      <c r="E59" s="13">
        <v>61333</v>
      </c>
      <c r="F59" s="310"/>
      <c r="G59" s="311"/>
      <c r="H59" s="312"/>
      <c r="I59" s="313"/>
      <c r="J59" s="314"/>
      <c r="K59" s="315"/>
      <c r="L59" s="316"/>
      <c r="M59" s="317"/>
      <c r="N59" s="318"/>
      <c r="O59" s="319"/>
      <c r="P59" s="320"/>
      <c r="Q59" s="321"/>
    </row>
    <row r="60" spans="1:17" ht="11.25" customHeight="1" x14ac:dyDescent="0.15">
      <c r="A60" s="265"/>
      <c r="B60" s="322" t="s">
        <v>426</v>
      </c>
      <c r="C60" s="12" t="s">
        <v>147</v>
      </c>
      <c r="D60" s="14">
        <v>1.35</v>
      </c>
      <c r="E60" s="13">
        <v>69932</v>
      </c>
      <c r="F60" s="310"/>
      <c r="G60" s="311"/>
      <c r="H60" s="312"/>
      <c r="I60" s="313"/>
      <c r="J60" s="314"/>
      <c r="K60" s="315"/>
      <c r="L60" s="316"/>
      <c r="M60" s="317"/>
      <c r="N60" s="318"/>
      <c r="O60" s="319"/>
      <c r="P60" s="320"/>
      <c r="Q60" s="321"/>
    </row>
    <row r="61" spans="1:17" ht="11.25" customHeight="1" x14ac:dyDescent="0.15">
      <c r="A61" s="265"/>
      <c r="B61" s="322" t="s">
        <v>432</v>
      </c>
      <c r="C61" s="12" t="s">
        <v>198</v>
      </c>
      <c r="D61" s="14">
        <v>139.57</v>
      </c>
      <c r="E61" s="13">
        <v>50681</v>
      </c>
      <c r="F61" s="310"/>
      <c r="G61" s="311"/>
      <c r="H61" s="312"/>
      <c r="I61" s="313"/>
      <c r="J61" s="314"/>
      <c r="K61" s="315"/>
      <c r="L61" s="316"/>
      <c r="M61" s="317"/>
      <c r="N61" s="318"/>
      <c r="O61" s="319"/>
      <c r="P61" s="320"/>
      <c r="Q61" s="321"/>
    </row>
    <row r="62" spans="1:17" ht="11.25" customHeight="1" x14ac:dyDescent="0.15">
      <c r="A62" s="265"/>
      <c r="B62" s="322" t="s">
        <v>433</v>
      </c>
      <c r="C62" s="12" t="s">
        <v>199</v>
      </c>
      <c r="D62" s="14">
        <v>10.5</v>
      </c>
      <c r="E62" s="13">
        <v>56772</v>
      </c>
      <c r="F62" s="310"/>
      <c r="G62" s="311"/>
      <c r="H62" s="312"/>
      <c r="I62" s="313"/>
      <c r="J62" s="314"/>
      <c r="K62" s="315"/>
      <c r="L62" s="316"/>
      <c r="M62" s="317"/>
      <c r="N62" s="318"/>
      <c r="O62" s="319"/>
      <c r="P62" s="320"/>
      <c r="Q62" s="321"/>
    </row>
    <row r="63" spans="1:17" ht="11.25" customHeight="1" x14ac:dyDescent="0.25">
      <c r="A63" s="264"/>
      <c r="B63" s="322" t="s">
        <v>435</v>
      </c>
      <c r="C63" s="12" t="s">
        <v>110</v>
      </c>
      <c r="D63" s="14">
        <v>69.34</v>
      </c>
      <c r="E63" s="13">
        <v>49058</v>
      </c>
      <c r="F63" s="310"/>
      <c r="G63" s="311"/>
      <c r="H63" s="312"/>
      <c r="I63" s="313"/>
      <c r="J63" s="314"/>
      <c r="K63" s="315"/>
      <c r="L63" s="316"/>
      <c r="M63" s="317"/>
      <c r="N63" s="318"/>
      <c r="O63" s="319"/>
      <c r="P63" s="320"/>
      <c r="Q63" s="321"/>
    </row>
    <row r="64" spans="1:17" ht="11.25" customHeight="1" x14ac:dyDescent="0.25">
      <c r="A64" s="264"/>
      <c r="B64" s="322" t="s">
        <v>438</v>
      </c>
      <c r="C64" s="12" t="s">
        <v>113</v>
      </c>
      <c r="D64" s="14">
        <v>136.85</v>
      </c>
      <c r="E64" s="13">
        <v>51805</v>
      </c>
      <c r="F64" s="310"/>
      <c r="G64" s="311"/>
      <c r="H64" s="312"/>
      <c r="I64" s="313"/>
      <c r="J64" s="314"/>
      <c r="K64" s="315"/>
      <c r="L64" s="316"/>
      <c r="M64" s="317"/>
      <c r="N64" s="318"/>
      <c r="O64" s="319"/>
      <c r="P64" s="320"/>
      <c r="Q64" s="321"/>
    </row>
    <row r="65" spans="1:17" ht="11.25" customHeight="1" x14ac:dyDescent="0.25">
      <c r="A65" s="264"/>
      <c r="B65" s="322" t="s">
        <v>440</v>
      </c>
      <c r="C65" s="12" t="s">
        <v>115</v>
      </c>
      <c r="D65" s="14">
        <v>22.47</v>
      </c>
      <c r="E65" s="13">
        <v>61124</v>
      </c>
      <c r="F65" s="310"/>
      <c r="G65" s="311"/>
      <c r="H65" s="312"/>
      <c r="I65" s="313"/>
      <c r="J65" s="314"/>
      <c r="K65" s="315"/>
      <c r="L65" s="316"/>
      <c r="M65" s="317"/>
      <c r="N65" s="318"/>
      <c r="O65" s="319"/>
      <c r="P65" s="320"/>
      <c r="Q65" s="321"/>
    </row>
    <row r="66" spans="1:17" ht="11.25" customHeight="1" x14ac:dyDescent="0.25">
      <c r="A66" s="264"/>
      <c r="B66" s="322" t="s">
        <v>441</v>
      </c>
      <c r="C66" s="12" t="s">
        <v>116</v>
      </c>
      <c r="D66" s="14">
        <v>3.99</v>
      </c>
      <c r="E66" s="13">
        <v>51015</v>
      </c>
      <c r="F66" s="310"/>
      <c r="G66" s="311"/>
      <c r="H66" s="312"/>
      <c r="I66" s="313"/>
      <c r="J66" s="314"/>
      <c r="K66" s="315"/>
      <c r="L66" s="316"/>
      <c r="M66" s="317"/>
      <c r="N66" s="318"/>
      <c r="O66" s="319"/>
      <c r="P66" s="320"/>
      <c r="Q66" s="321"/>
    </row>
    <row r="67" spans="1:17" ht="11.25" customHeight="1" x14ac:dyDescent="0.25">
      <c r="A67" s="264"/>
      <c r="B67" s="322" t="s">
        <v>442</v>
      </c>
      <c r="C67" s="12" t="s">
        <v>117</v>
      </c>
      <c r="D67" s="14">
        <v>11.57</v>
      </c>
      <c r="E67" s="13">
        <v>60322</v>
      </c>
      <c r="F67" s="310"/>
      <c r="G67" s="311"/>
      <c r="H67" s="312"/>
      <c r="I67" s="313"/>
      <c r="J67" s="314"/>
      <c r="K67" s="315"/>
      <c r="L67" s="316"/>
      <c r="M67" s="317"/>
      <c r="N67" s="318"/>
      <c r="O67" s="319"/>
      <c r="P67" s="320"/>
      <c r="Q67" s="321"/>
    </row>
    <row r="68" spans="1:17" ht="11.25" customHeight="1" x14ac:dyDescent="0.25">
      <c r="A68" s="264"/>
      <c r="B68" s="322" t="s">
        <v>443</v>
      </c>
      <c r="C68" s="12" t="s">
        <v>109</v>
      </c>
      <c r="D68" s="14">
        <v>2.7</v>
      </c>
      <c r="E68" s="13">
        <v>92017</v>
      </c>
      <c r="F68" s="310"/>
      <c r="G68" s="311"/>
      <c r="H68" s="312"/>
      <c r="I68" s="313"/>
      <c r="J68" s="314"/>
      <c r="K68" s="315"/>
      <c r="L68" s="316"/>
      <c r="M68" s="317"/>
      <c r="N68" s="318"/>
      <c r="O68" s="319"/>
      <c r="P68" s="320"/>
      <c r="Q68" s="321"/>
    </row>
    <row r="69" spans="1:17" ht="11.25" customHeight="1" x14ac:dyDescent="0.25">
      <c r="A69" s="264"/>
      <c r="B69" s="323"/>
      <c r="C69" s="264"/>
      <c r="D69" s="132"/>
      <c r="E69" s="203"/>
      <c r="F69" s="324">
        <f>SUM(D44:D62)</f>
        <v>1065.97</v>
      </c>
      <c r="G69" s="325">
        <f>(SUMPRODUCT(D44:D62,E44:E62))</f>
        <v>83646189.870000005</v>
      </c>
      <c r="H69" s="326">
        <f>SUM(D44:D49)</f>
        <v>69.52000000000001</v>
      </c>
      <c r="I69" s="327">
        <f>(SUMPRODUCT(D44:D49,E44:E49))</f>
        <v>8992787.7800000012</v>
      </c>
      <c r="J69" s="328">
        <f>SUM(D50:D60,D61:D62)</f>
        <v>996.45</v>
      </c>
      <c r="K69" s="329">
        <f>(SUMPRODUCT(D50:D60,E50:E60))+(SUMPRODUCT(D61:D62,E61:E62))</f>
        <v>74653402.090000004</v>
      </c>
      <c r="L69" s="330"/>
      <c r="M69" s="331"/>
      <c r="N69" s="332">
        <f>+H69+J69+L69</f>
        <v>1065.97</v>
      </c>
      <c r="O69" s="333">
        <f>+I69+K69+M69</f>
        <v>83646189.870000005</v>
      </c>
      <c r="P69" s="334">
        <f>SUM(D63:D68)</f>
        <v>246.92</v>
      </c>
      <c r="Q69" s="335">
        <f>(SUMPRODUCT(D63:D68,E63:E68))</f>
        <v>13014573.540000001</v>
      </c>
    </row>
    <row r="70" spans="1:17" ht="11.25" customHeight="1" x14ac:dyDescent="0.15">
      <c r="A70" s="336">
        <v>3</v>
      </c>
      <c r="B70" s="322" t="s">
        <v>505</v>
      </c>
      <c r="C70" s="12"/>
      <c r="D70" s="132"/>
      <c r="E70" s="98"/>
      <c r="F70" s="310"/>
      <c r="G70" s="311"/>
      <c r="H70" s="312"/>
      <c r="I70" s="313"/>
      <c r="J70" s="314"/>
      <c r="K70" s="315"/>
      <c r="L70" s="316"/>
      <c r="M70" s="317"/>
      <c r="N70" s="318"/>
      <c r="O70" s="319"/>
      <c r="P70" s="320"/>
      <c r="Q70" s="321"/>
    </row>
    <row r="71" spans="1:17" ht="11.25" customHeight="1" x14ac:dyDescent="0.25">
      <c r="A71" s="264"/>
      <c r="B71" s="322" t="s">
        <v>410</v>
      </c>
      <c r="C71" s="12" t="s">
        <v>134</v>
      </c>
      <c r="D71" s="14">
        <v>0.39</v>
      </c>
      <c r="E71" s="13">
        <v>133626</v>
      </c>
      <c r="F71" s="310"/>
      <c r="G71" s="311"/>
      <c r="H71" s="312"/>
      <c r="I71" s="313"/>
      <c r="J71" s="314"/>
      <c r="K71" s="315"/>
      <c r="L71" s="316"/>
      <c r="M71" s="317"/>
      <c r="N71" s="318"/>
      <c r="O71" s="319"/>
      <c r="P71" s="320"/>
      <c r="Q71" s="321"/>
    </row>
    <row r="72" spans="1:17" ht="11.25" customHeight="1" x14ac:dyDescent="0.25">
      <c r="A72" s="264"/>
      <c r="B72" s="322" t="s">
        <v>413</v>
      </c>
      <c r="C72" s="12" t="s">
        <v>142</v>
      </c>
      <c r="D72" s="14">
        <v>4.4800000000000004</v>
      </c>
      <c r="E72" s="13">
        <v>140534</v>
      </c>
      <c r="F72" s="310"/>
      <c r="G72" s="311"/>
      <c r="H72" s="312"/>
      <c r="I72" s="313"/>
      <c r="J72" s="314"/>
      <c r="K72" s="315"/>
      <c r="L72" s="316"/>
      <c r="M72" s="317"/>
      <c r="N72" s="318"/>
      <c r="O72" s="319"/>
      <c r="P72" s="320"/>
      <c r="Q72" s="321"/>
    </row>
    <row r="73" spans="1:17" ht="11.25" customHeight="1" x14ac:dyDescent="0.25">
      <c r="A73" s="264"/>
      <c r="B73" s="322" t="s">
        <v>414</v>
      </c>
      <c r="C73" s="12" t="s">
        <v>150</v>
      </c>
      <c r="D73" s="14">
        <v>1.34</v>
      </c>
      <c r="E73" s="13">
        <v>143776</v>
      </c>
      <c r="F73" s="310"/>
      <c r="G73" s="311"/>
      <c r="H73" s="312"/>
      <c r="I73" s="313"/>
      <c r="J73" s="314"/>
      <c r="K73" s="315"/>
      <c r="L73" s="316"/>
      <c r="M73" s="317"/>
      <c r="N73" s="318"/>
      <c r="O73" s="319"/>
      <c r="P73" s="320"/>
      <c r="Q73" s="321"/>
    </row>
    <row r="74" spans="1:17" ht="11.25" customHeight="1" x14ac:dyDescent="0.25">
      <c r="A74" s="264"/>
      <c r="B74" s="322" t="s">
        <v>415</v>
      </c>
      <c r="C74" s="12" t="s">
        <v>135</v>
      </c>
      <c r="D74" s="14">
        <v>0.25</v>
      </c>
      <c r="E74" s="13">
        <v>106548</v>
      </c>
      <c r="F74" s="310"/>
      <c r="G74" s="311"/>
      <c r="H74" s="312"/>
      <c r="I74" s="313"/>
      <c r="J74" s="314"/>
      <c r="K74" s="315"/>
      <c r="L74" s="316"/>
      <c r="M74" s="317"/>
      <c r="N74" s="318"/>
      <c r="O74" s="319"/>
      <c r="P74" s="320"/>
      <c r="Q74" s="321"/>
    </row>
    <row r="75" spans="1:17" ht="11.25" customHeight="1" x14ac:dyDescent="0.25">
      <c r="A75" s="264"/>
      <c r="B75" s="322" t="s">
        <v>417</v>
      </c>
      <c r="C75" s="12" t="s">
        <v>136</v>
      </c>
      <c r="D75" s="14">
        <v>33.51</v>
      </c>
      <c r="E75" s="13">
        <v>75561</v>
      </c>
      <c r="F75" s="310"/>
      <c r="G75" s="311"/>
      <c r="H75" s="312"/>
      <c r="I75" s="313"/>
      <c r="J75" s="314"/>
      <c r="K75" s="315"/>
      <c r="L75" s="316"/>
      <c r="M75" s="317"/>
      <c r="N75" s="318"/>
      <c r="O75" s="319"/>
      <c r="P75" s="320"/>
      <c r="Q75" s="321"/>
    </row>
    <row r="76" spans="1:17" ht="11.25" customHeight="1" x14ac:dyDescent="0.25">
      <c r="A76" s="264"/>
      <c r="B76" s="322" t="s">
        <v>418</v>
      </c>
      <c r="C76" s="12" t="s">
        <v>137</v>
      </c>
      <c r="D76" s="14">
        <v>7.45</v>
      </c>
      <c r="E76" s="13">
        <v>71091</v>
      </c>
      <c r="F76" s="310"/>
      <c r="G76" s="311"/>
      <c r="H76" s="312"/>
      <c r="I76" s="313"/>
      <c r="J76" s="314"/>
      <c r="K76" s="315"/>
      <c r="L76" s="316"/>
      <c r="M76" s="317"/>
      <c r="N76" s="318"/>
      <c r="O76" s="319"/>
      <c r="P76" s="320"/>
      <c r="Q76" s="321"/>
    </row>
    <row r="77" spans="1:17" ht="11.25" customHeight="1" x14ac:dyDescent="0.25">
      <c r="A77" s="264"/>
      <c r="B77" s="322" t="s">
        <v>419</v>
      </c>
      <c r="C77" s="12" t="s">
        <v>138</v>
      </c>
      <c r="D77" s="14">
        <v>1</v>
      </c>
      <c r="E77" s="13">
        <v>90636</v>
      </c>
      <c r="F77" s="310"/>
      <c r="G77" s="311"/>
      <c r="H77" s="312"/>
      <c r="I77" s="313"/>
      <c r="J77" s="314"/>
      <c r="K77" s="315"/>
      <c r="L77" s="316"/>
      <c r="M77" s="317"/>
      <c r="N77" s="318"/>
      <c r="O77" s="319"/>
      <c r="P77" s="320"/>
      <c r="Q77" s="321"/>
    </row>
    <row r="78" spans="1:17" ht="11.25" customHeight="1" x14ac:dyDescent="0.25">
      <c r="A78" s="264"/>
      <c r="B78" s="322" t="s">
        <v>421</v>
      </c>
      <c r="C78" s="12" t="s">
        <v>143</v>
      </c>
      <c r="D78" s="14">
        <v>6.95</v>
      </c>
      <c r="E78" s="13">
        <v>76724</v>
      </c>
      <c r="F78" s="310"/>
      <c r="G78" s="311"/>
      <c r="H78" s="312"/>
      <c r="I78" s="313"/>
      <c r="J78" s="314"/>
      <c r="K78" s="315"/>
      <c r="L78" s="316"/>
      <c r="M78" s="317"/>
      <c r="N78" s="318"/>
      <c r="O78" s="319"/>
      <c r="P78" s="320"/>
      <c r="Q78" s="321"/>
    </row>
    <row r="79" spans="1:17" ht="11.25" customHeight="1" x14ac:dyDescent="0.25">
      <c r="A79" s="264"/>
      <c r="B79" s="322" t="s">
        <v>423</v>
      </c>
      <c r="C79" s="12" t="s">
        <v>145</v>
      </c>
      <c r="D79" s="14">
        <v>2</v>
      </c>
      <c r="E79" s="13">
        <v>65479</v>
      </c>
      <c r="F79" s="310"/>
      <c r="G79" s="311"/>
      <c r="H79" s="312"/>
      <c r="I79" s="313"/>
      <c r="J79" s="314"/>
      <c r="K79" s="315"/>
      <c r="L79" s="316"/>
      <c r="M79" s="317"/>
      <c r="N79" s="318"/>
      <c r="O79" s="319"/>
      <c r="P79" s="320"/>
      <c r="Q79" s="321"/>
    </row>
    <row r="80" spans="1:17" ht="11.25" customHeight="1" x14ac:dyDescent="0.15">
      <c r="A80" s="265"/>
      <c r="B80" s="322" t="s">
        <v>432</v>
      </c>
      <c r="C80" s="12" t="s">
        <v>198</v>
      </c>
      <c r="D80" s="14">
        <v>2</v>
      </c>
      <c r="E80" s="13">
        <v>45710</v>
      </c>
      <c r="F80" s="310"/>
      <c r="G80" s="311"/>
      <c r="H80" s="312"/>
      <c r="I80" s="313"/>
      <c r="J80" s="314"/>
      <c r="K80" s="315"/>
      <c r="L80" s="316"/>
      <c r="M80" s="317"/>
      <c r="N80" s="318"/>
      <c r="O80" s="319"/>
      <c r="P80" s="320"/>
      <c r="Q80" s="321"/>
    </row>
    <row r="81" spans="1:17" ht="11.25" customHeight="1" x14ac:dyDescent="0.15">
      <c r="A81" s="265"/>
      <c r="B81" s="322" t="s">
        <v>433</v>
      </c>
      <c r="C81" s="12" t="s">
        <v>199</v>
      </c>
      <c r="D81" s="14">
        <v>1</v>
      </c>
      <c r="E81" s="13">
        <v>49845</v>
      </c>
      <c r="F81" s="310"/>
      <c r="G81" s="311"/>
      <c r="H81" s="312"/>
      <c r="I81" s="313"/>
      <c r="J81" s="314"/>
      <c r="K81" s="315"/>
      <c r="L81" s="316"/>
      <c r="M81" s="317"/>
      <c r="N81" s="318"/>
      <c r="O81" s="319"/>
      <c r="P81" s="320"/>
      <c r="Q81" s="321"/>
    </row>
    <row r="82" spans="1:17" ht="11.25" customHeight="1" x14ac:dyDescent="0.15">
      <c r="A82" s="265"/>
      <c r="B82" s="322" t="s">
        <v>435</v>
      </c>
      <c r="C82" s="12" t="s">
        <v>110</v>
      </c>
      <c r="D82" s="14">
        <v>5.83</v>
      </c>
      <c r="E82" s="13">
        <v>49741</v>
      </c>
      <c r="F82" s="310"/>
      <c r="G82" s="311"/>
      <c r="H82" s="312"/>
      <c r="I82" s="313"/>
      <c r="J82" s="314"/>
      <c r="K82" s="315"/>
      <c r="L82" s="316"/>
      <c r="M82" s="317"/>
      <c r="N82" s="318"/>
      <c r="O82" s="319"/>
      <c r="P82" s="320"/>
      <c r="Q82" s="321"/>
    </row>
    <row r="83" spans="1:17" ht="11.25" customHeight="1" x14ac:dyDescent="0.25">
      <c r="A83" s="264"/>
      <c r="B83" s="322" t="s">
        <v>438</v>
      </c>
      <c r="C83" s="12" t="s">
        <v>113</v>
      </c>
      <c r="D83" s="14">
        <v>10.84</v>
      </c>
      <c r="E83" s="13">
        <v>51465</v>
      </c>
      <c r="F83" s="310"/>
      <c r="G83" s="311"/>
      <c r="H83" s="312"/>
      <c r="I83" s="313"/>
      <c r="J83" s="314"/>
      <c r="K83" s="315"/>
      <c r="L83" s="316"/>
      <c r="M83" s="317"/>
      <c r="N83" s="318"/>
      <c r="O83" s="319"/>
      <c r="P83" s="320"/>
      <c r="Q83" s="321"/>
    </row>
    <row r="84" spans="1:17" ht="11.25" customHeight="1" x14ac:dyDescent="0.25">
      <c r="A84" s="264"/>
      <c r="B84" s="322" t="s">
        <v>440</v>
      </c>
      <c r="C84" s="12" t="s">
        <v>115</v>
      </c>
      <c r="D84" s="14">
        <v>1.74</v>
      </c>
      <c r="E84" s="13">
        <v>82348</v>
      </c>
      <c r="F84" s="310"/>
      <c r="G84" s="311"/>
      <c r="H84" s="312"/>
      <c r="I84" s="313"/>
      <c r="J84" s="314"/>
      <c r="K84" s="315"/>
      <c r="L84" s="316"/>
      <c r="M84" s="317"/>
      <c r="N84" s="318"/>
      <c r="O84" s="319"/>
      <c r="P84" s="320"/>
      <c r="Q84" s="321"/>
    </row>
    <row r="85" spans="1:17" ht="11.25" customHeight="1" x14ac:dyDescent="0.25">
      <c r="A85" s="264"/>
      <c r="B85" s="322" t="s">
        <v>441</v>
      </c>
      <c r="C85" s="12" t="s">
        <v>116</v>
      </c>
      <c r="D85" s="14">
        <v>0.77</v>
      </c>
      <c r="E85" s="13">
        <v>48333</v>
      </c>
      <c r="F85" s="310"/>
      <c r="G85" s="311"/>
      <c r="H85" s="312"/>
      <c r="I85" s="313"/>
      <c r="J85" s="314"/>
      <c r="K85" s="315"/>
      <c r="L85" s="316"/>
      <c r="M85" s="317"/>
      <c r="N85" s="318"/>
      <c r="O85" s="319"/>
      <c r="P85" s="320"/>
      <c r="Q85" s="321"/>
    </row>
    <row r="86" spans="1:17" ht="11.25" customHeight="1" x14ac:dyDescent="0.25">
      <c r="A86" s="264"/>
      <c r="B86" s="322" t="s">
        <v>442</v>
      </c>
      <c r="C86" s="12" t="s">
        <v>117</v>
      </c>
      <c r="D86" s="14">
        <v>9.16</v>
      </c>
      <c r="E86" s="13">
        <v>59252</v>
      </c>
      <c r="F86" s="310"/>
      <c r="G86" s="311"/>
      <c r="H86" s="312"/>
      <c r="I86" s="313"/>
      <c r="J86" s="314"/>
      <c r="K86" s="315"/>
      <c r="L86" s="316"/>
      <c r="M86" s="317"/>
      <c r="N86" s="318"/>
      <c r="O86" s="319"/>
      <c r="P86" s="320"/>
      <c r="Q86" s="321"/>
    </row>
    <row r="87" spans="1:17" ht="11.25" customHeight="1" x14ac:dyDescent="0.25">
      <c r="A87" s="264"/>
      <c r="B87" s="322" t="s">
        <v>443</v>
      </c>
      <c r="C87" s="12" t="s">
        <v>109</v>
      </c>
      <c r="D87" s="14">
        <v>0.28999999999999998</v>
      </c>
      <c r="E87" s="13">
        <v>157580</v>
      </c>
      <c r="F87" s="310"/>
      <c r="G87" s="311"/>
      <c r="H87" s="312"/>
      <c r="I87" s="313"/>
      <c r="J87" s="314"/>
      <c r="K87" s="315"/>
      <c r="L87" s="316"/>
      <c r="M87" s="317"/>
      <c r="N87" s="318"/>
      <c r="O87" s="319"/>
      <c r="P87" s="320"/>
      <c r="Q87" s="321"/>
    </row>
    <row r="88" spans="1:17" ht="11.25" customHeight="1" x14ac:dyDescent="0.25">
      <c r="A88" s="264"/>
      <c r="B88" s="323"/>
      <c r="C88" s="264"/>
      <c r="D88" s="132"/>
      <c r="E88" s="203"/>
      <c r="F88" s="324">
        <f>SUM(D71:D81)</f>
        <v>60.370000000000005</v>
      </c>
      <c r="G88" s="325">
        <f>(SUMPRODUCT(D71:D81,E71:E81))</f>
        <v>4858771.16</v>
      </c>
      <c r="H88" s="326">
        <f>SUM(D71:D74)</f>
        <v>6.46</v>
      </c>
      <c r="I88" s="327">
        <f>(SUMPRODUCT(D71:D74,E71:E74))</f>
        <v>901003.3</v>
      </c>
      <c r="J88" s="328">
        <f>SUM(D75:D81)</f>
        <v>53.910000000000004</v>
      </c>
      <c r="K88" s="329">
        <f>(SUMPRODUCT(D75:D81,E75:E81))</f>
        <v>3957767.8600000003</v>
      </c>
      <c r="L88" s="330"/>
      <c r="M88" s="331"/>
      <c r="N88" s="332">
        <f>+H88+J88+L88</f>
        <v>60.370000000000005</v>
      </c>
      <c r="O88" s="333">
        <f>+I88+K88+M88</f>
        <v>4858771.16</v>
      </c>
      <c r="P88" s="334">
        <f>SUM(D82:D87)</f>
        <v>28.63</v>
      </c>
      <c r="Q88" s="335">
        <f>(SUMPRODUCT(D82:D87,E82:E87))</f>
        <v>1616819.08</v>
      </c>
    </row>
    <row r="89" spans="1:17" ht="11.25" customHeight="1" x14ac:dyDescent="0.15">
      <c r="A89" s="309">
        <v>21</v>
      </c>
      <c r="B89" s="337" t="s">
        <v>296</v>
      </c>
      <c r="C89" s="338"/>
      <c r="D89" s="339"/>
      <c r="E89" s="340"/>
      <c r="F89" s="310"/>
      <c r="G89" s="311"/>
      <c r="H89" s="312"/>
      <c r="I89" s="313"/>
      <c r="J89" s="314"/>
      <c r="K89" s="315"/>
      <c r="L89" s="316"/>
      <c r="M89" s="317"/>
      <c r="N89" s="318"/>
      <c r="O89" s="319"/>
      <c r="P89" s="320"/>
      <c r="Q89" s="321"/>
    </row>
    <row r="90" spans="1:17" ht="11.25" customHeight="1" x14ac:dyDescent="0.15">
      <c r="A90" s="309"/>
      <c r="B90" s="322" t="s">
        <v>409</v>
      </c>
      <c r="C90" s="12" t="s">
        <v>133</v>
      </c>
      <c r="D90" s="14">
        <v>5.08</v>
      </c>
      <c r="E90" s="13">
        <v>147433</v>
      </c>
      <c r="F90" s="310"/>
      <c r="G90" s="311"/>
      <c r="H90" s="312"/>
      <c r="I90" s="313"/>
      <c r="J90" s="314"/>
      <c r="K90" s="315"/>
      <c r="L90" s="316"/>
      <c r="M90" s="317"/>
      <c r="N90" s="318"/>
      <c r="O90" s="319"/>
      <c r="P90" s="320"/>
      <c r="Q90" s="321"/>
    </row>
    <row r="91" spans="1:17" ht="11.25" customHeight="1" x14ac:dyDescent="0.15">
      <c r="A91" s="309"/>
      <c r="B91" s="322" t="s">
        <v>410</v>
      </c>
      <c r="C91" s="12" t="s">
        <v>134</v>
      </c>
      <c r="D91" s="14">
        <v>249.28</v>
      </c>
      <c r="E91" s="13">
        <v>134444</v>
      </c>
      <c r="F91" s="310"/>
      <c r="G91" s="311"/>
      <c r="H91" s="312"/>
      <c r="I91" s="313"/>
      <c r="J91" s="314"/>
      <c r="K91" s="315"/>
      <c r="L91" s="316"/>
      <c r="M91" s="317"/>
      <c r="N91" s="318"/>
      <c r="O91" s="319"/>
      <c r="P91" s="320"/>
      <c r="Q91" s="321"/>
    </row>
    <row r="92" spans="1:17" ht="11.25" customHeight="1" x14ac:dyDescent="0.15">
      <c r="A92" s="309"/>
      <c r="B92" s="322" t="s">
        <v>411</v>
      </c>
      <c r="C92" s="12" t="s">
        <v>141</v>
      </c>
      <c r="D92" s="14">
        <v>2</v>
      </c>
      <c r="E92" s="13">
        <v>138264</v>
      </c>
      <c r="F92" s="310"/>
      <c r="G92" s="311"/>
      <c r="H92" s="312"/>
      <c r="I92" s="313"/>
      <c r="J92" s="314"/>
      <c r="K92" s="315"/>
      <c r="L92" s="316"/>
      <c r="M92" s="317"/>
      <c r="N92" s="318"/>
      <c r="O92" s="319"/>
      <c r="P92" s="320"/>
      <c r="Q92" s="321"/>
    </row>
    <row r="93" spans="1:17" ht="11.25" customHeight="1" x14ac:dyDescent="0.15">
      <c r="A93" s="309"/>
      <c r="B93" s="322" t="s">
        <v>412</v>
      </c>
      <c r="C93" s="12" t="s">
        <v>151</v>
      </c>
      <c r="D93" s="14">
        <v>2.4700000000000002</v>
      </c>
      <c r="E93" s="13">
        <v>126218</v>
      </c>
      <c r="F93" s="310"/>
      <c r="G93" s="311"/>
      <c r="H93" s="312"/>
      <c r="I93" s="313"/>
      <c r="J93" s="314"/>
      <c r="K93" s="315"/>
      <c r="L93" s="316"/>
      <c r="M93" s="317"/>
      <c r="N93" s="318"/>
      <c r="O93" s="319"/>
      <c r="P93" s="320"/>
      <c r="Q93" s="321"/>
    </row>
    <row r="94" spans="1:17" ht="11.25" customHeight="1" x14ac:dyDescent="0.15">
      <c r="A94" s="309"/>
      <c r="B94" s="322" t="s">
        <v>413</v>
      </c>
      <c r="C94" s="12" t="s">
        <v>142</v>
      </c>
      <c r="D94" s="14">
        <v>0.25</v>
      </c>
      <c r="E94" s="13">
        <v>110836</v>
      </c>
      <c r="F94" s="310"/>
      <c r="G94" s="311"/>
      <c r="H94" s="312"/>
      <c r="I94" s="313"/>
      <c r="J94" s="314"/>
      <c r="K94" s="315"/>
      <c r="L94" s="316"/>
      <c r="M94" s="317"/>
      <c r="N94" s="318"/>
      <c r="O94" s="319"/>
      <c r="P94" s="320"/>
      <c r="Q94" s="321"/>
    </row>
    <row r="95" spans="1:17" ht="11.25" customHeight="1" x14ac:dyDescent="0.15">
      <c r="A95" s="309"/>
      <c r="B95" s="322" t="s">
        <v>414</v>
      </c>
      <c r="C95" s="12" t="s">
        <v>150</v>
      </c>
      <c r="D95" s="14">
        <v>0.64</v>
      </c>
      <c r="E95" s="13">
        <v>104448</v>
      </c>
      <c r="F95" s="310"/>
      <c r="G95" s="311"/>
      <c r="H95" s="312"/>
      <c r="I95" s="313"/>
      <c r="J95" s="314"/>
      <c r="K95" s="315"/>
      <c r="L95" s="316"/>
      <c r="M95" s="317"/>
      <c r="N95" s="318"/>
      <c r="O95" s="319"/>
      <c r="P95" s="320"/>
      <c r="Q95" s="321"/>
    </row>
    <row r="96" spans="1:17" ht="11.25" customHeight="1" x14ac:dyDescent="0.15">
      <c r="A96" s="309"/>
      <c r="B96" s="322" t="s">
        <v>415</v>
      </c>
      <c r="C96" s="12" t="s">
        <v>135</v>
      </c>
      <c r="D96" s="14">
        <v>25.18</v>
      </c>
      <c r="E96" s="13">
        <v>117559</v>
      </c>
      <c r="F96" s="310"/>
      <c r="G96" s="311"/>
      <c r="H96" s="312"/>
      <c r="I96" s="313"/>
      <c r="J96" s="314"/>
      <c r="K96" s="315"/>
      <c r="L96" s="316"/>
      <c r="M96" s="317"/>
      <c r="N96" s="318"/>
      <c r="O96" s="319"/>
      <c r="P96" s="320"/>
      <c r="Q96" s="321"/>
    </row>
    <row r="97" spans="1:17" ht="11.25" customHeight="1" x14ac:dyDescent="0.15">
      <c r="A97" s="309"/>
      <c r="B97" s="322" t="s">
        <v>416</v>
      </c>
      <c r="C97" s="12" t="s">
        <v>526</v>
      </c>
      <c r="D97" s="14">
        <v>765.83</v>
      </c>
      <c r="E97" s="13">
        <v>69570</v>
      </c>
      <c r="F97" s="310"/>
      <c r="G97" s="311"/>
      <c r="H97" s="312"/>
      <c r="I97" s="313"/>
      <c r="J97" s="314"/>
      <c r="K97" s="315"/>
      <c r="L97" s="316"/>
      <c r="M97" s="317"/>
      <c r="N97" s="318"/>
      <c r="O97" s="319"/>
      <c r="P97" s="320"/>
      <c r="Q97" s="321"/>
    </row>
    <row r="98" spans="1:17" ht="11.25" customHeight="1" x14ac:dyDescent="0.15">
      <c r="A98" s="309"/>
      <c r="B98" s="322" t="s">
        <v>417</v>
      </c>
      <c r="C98" s="12" t="s">
        <v>136</v>
      </c>
      <c r="D98" s="14">
        <v>813.83</v>
      </c>
      <c r="E98" s="13">
        <v>73447</v>
      </c>
      <c r="F98" s="310"/>
      <c r="G98" s="311"/>
      <c r="H98" s="312"/>
      <c r="I98" s="313"/>
      <c r="J98" s="314"/>
      <c r="K98" s="315"/>
      <c r="L98" s="316"/>
      <c r="M98" s="317"/>
      <c r="N98" s="318"/>
      <c r="O98" s="319"/>
      <c r="P98" s="320"/>
      <c r="Q98" s="321"/>
    </row>
    <row r="99" spans="1:17" ht="11.25" customHeight="1" x14ac:dyDescent="0.15">
      <c r="A99" s="309"/>
      <c r="B99" s="322" t="s">
        <v>418</v>
      </c>
      <c r="C99" s="12" t="s">
        <v>137</v>
      </c>
      <c r="D99" s="14">
        <v>4561.07</v>
      </c>
      <c r="E99" s="13">
        <v>74237</v>
      </c>
      <c r="F99" s="310"/>
      <c r="G99" s="311"/>
      <c r="H99" s="312"/>
      <c r="I99" s="313"/>
      <c r="J99" s="314"/>
      <c r="K99" s="315"/>
      <c r="L99" s="316"/>
      <c r="M99" s="317"/>
      <c r="N99" s="318"/>
      <c r="O99" s="319"/>
      <c r="P99" s="320"/>
      <c r="Q99" s="321"/>
    </row>
    <row r="100" spans="1:17" ht="11.25" customHeight="1" x14ac:dyDescent="0.25">
      <c r="A100" s="264"/>
      <c r="B100" s="322" t="s">
        <v>527</v>
      </c>
      <c r="C100" s="12" t="s">
        <v>528</v>
      </c>
      <c r="D100" s="14">
        <v>78.5</v>
      </c>
      <c r="E100" s="13">
        <v>71488</v>
      </c>
      <c r="F100" s="310"/>
      <c r="G100" s="311"/>
      <c r="H100" s="312"/>
      <c r="I100" s="313"/>
      <c r="J100" s="314"/>
      <c r="K100" s="315"/>
      <c r="L100" s="316"/>
      <c r="M100" s="317"/>
      <c r="N100" s="318"/>
      <c r="O100" s="319"/>
      <c r="P100" s="320"/>
      <c r="Q100" s="321"/>
    </row>
    <row r="101" spans="1:17" ht="11.25" customHeight="1" x14ac:dyDescent="0.15">
      <c r="A101" s="309"/>
      <c r="B101" s="322" t="s">
        <v>419</v>
      </c>
      <c r="C101" s="12" t="s">
        <v>138</v>
      </c>
      <c r="D101" s="14">
        <v>248.41</v>
      </c>
      <c r="E101" s="13">
        <v>84707</v>
      </c>
      <c r="F101" s="310"/>
      <c r="G101" s="311"/>
      <c r="H101" s="312"/>
      <c r="I101" s="313"/>
      <c r="J101" s="314"/>
      <c r="K101" s="315"/>
      <c r="L101" s="316"/>
      <c r="M101" s="317"/>
      <c r="N101" s="318"/>
      <c r="O101" s="319"/>
      <c r="P101" s="320"/>
      <c r="Q101" s="321"/>
    </row>
    <row r="102" spans="1:17" ht="11.25" customHeight="1" x14ac:dyDescent="0.15">
      <c r="A102" s="309"/>
      <c r="B102" s="322" t="s">
        <v>421</v>
      </c>
      <c r="C102" s="12" t="s">
        <v>143</v>
      </c>
      <c r="D102" s="14">
        <v>11.35</v>
      </c>
      <c r="E102" s="13">
        <v>78221</v>
      </c>
      <c r="F102" s="310"/>
      <c r="G102" s="311"/>
      <c r="H102" s="312"/>
      <c r="I102" s="313"/>
      <c r="J102" s="314"/>
      <c r="K102" s="315"/>
      <c r="L102" s="316"/>
      <c r="M102" s="317"/>
      <c r="N102" s="318"/>
      <c r="O102" s="319"/>
      <c r="P102" s="320"/>
      <c r="Q102" s="321"/>
    </row>
    <row r="103" spans="1:17" ht="11.25" customHeight="1" x14ac:dyDescent="0.15">
      <c r="A103" s="309"/>
      <c r="B103" s="322" t="s">
        <v>422</v>
      </c>
      <c r="C103" s="12" t="s">
        <v>144</v>
      </c>
      <c r="D103" s="14">
        <v>454.36</v>
      </c>
      <c r="E103" s="13">
        <v>78891</v>
      </c>
      <c r="F103" s="310"/>
      <c r="G103" s="311"/>
      <c r="H103" s="312"/>
      <c r="I103" s="313"/>
      <c r="J103" s="314"/>
      <c r="K103" s="315"/>
      <c r="L103" s="316"/>
      <c r="M103" s="317"/>
      <c r="N103" s="318"/>
      <c r="O103" s="319"/>
      <c r="P103" s="320"/>
      <c r="Q103" s="321"/>
    </row>
    <row r="104" spans="1:17" ht="11.25" customHeight="1" x14ac:dyDescent="0.15">
      <c r="A104" s="309"/>
      <c r="B104" s="322" t="s">
        <v>423</v>
      </c>
      <c r="C104" s="12" t="s">
        <v>145</v>
      </c>
      <c r="D104" s="14">
        <v>14.81</v>
      </c>
      <c r="E104" s="13">
        <v>74921</v>
      </c>
      <c r="F104" s="310"/>
      <c r="G104" s="311"/>
      <c r="H104" s="312"/>
      <c r="I104" s="313"/>
      <c r="J104" s="314"/>
      <c r="K104" s="315"/>
      <c r="L104" s="316"/>
      <c r="M104" s="317"/>
      <c r="N104" s="318"/>
      <c r="O104" s="319"/>
      <c r="P104" s="320"/>
      <c r="Q104" s="321"/>
    </row>
    <row r="105" spans="1:17" ht="11.25" customHeight="1" x14ac:dyDescent="0.15">
      <c r="A105" s="309"/>
      <c r="B105" s="322" t="s">
        <v>424</v>
      </c>
      <c r="C105" s="12" t="s">
        <v>272</v>
      </c>
      <c r="D105" s="14">
        <v>1331.42</v>
      </c>
      <c r="E105" s="13">
        <v>79932</v>
      </c>
      <c r="F105" s="310"/>
      <c r="G105" s="311"/>
      <c r="H105" s="312"/>
      <c r="I105" s="313"/>
      <c r="J105" s="314"/>
      <c r="K105" s="315"/>
      <c r="L105" s="316"/>
      <c r="M105" s="317"/>
      <c r="N105" s="318"/>
      <c r="O105" s="319"/>
      <c r="P105" s="320"/>
      <c r="Q105" s="321"/>
    </row>
    <row r="106" spans="1:17" ht="11.25" customHeight="1" x14ac:dyDescent="0.15">
      <c r="A106" s="309"/>
      <c r="B106" s="322" t="s">
        <v>425</v>
      </c>
      <c r="C106" s="12" t="s">
        <v>146</v>
      </c>
      <c r="D106" s="14">
        <v>877.44</v>
      </c>
      <c r="E106" s="13">
        <v>81003</v>
      </c>
      <c r="F106" s="310"/>
      <c r="G106" s="311"/>
      <c r="H106" s="312"/>
      <c r="I106" s="313"/>
      <c r="J106" s="314"/>
      <c r="K106" s="315"/>
      <c r="L106" s="316"/>
      <c r="M106" s="317"/>
      <c r="N106" s="318"/>
      <c r="O106" s="319"/>
      <c r="P106" s="320"/>
      <c r="Q106" s="321"/>
    </row>
    <row r="107" spans="1:17" ht="11.25" customHeight="1" x14ac:dyDescent="0.15">
      <c r="A107" s="337"/>
      <c r="B107" s="322" t="s">
        <v>426</v>
      </c>
      <c r="C107" s="12" t="s">
        <v>147</v>
      </c>
      <c r="D107" s="14">
        <v>18.07</v>
      </c>
      <c r="E107" s="13">
        <v>69890</v>
      </c>
      <c r="F107" s="310"/>
      <c r="G107" s="311"/>
      <c r="H107" s="312"/>
      <c r="I107" s="313"/>
      <c r="J107" s="314"/>
      <c r="K107" s="315"/>
      <c r="L107" s="316"/>
      <c r="M107" s="317"/>
      <c r="N107" s="318"/>
      <c r="O107" s="319"/>
      <c r="P107" s="320"/>
      <c r="Q107" s="321"/>
    </row>
    <row r="108" spans="1:17" ht="11.25" customHeight="1" x14ac:dyDescent="0.15">
      <c r="A108" s="337"/>
      <c r="B108" s="322" t="s">
        <v>427</v>
      </c>
      <c r="C108" s="12" t="s">
        <v>148</v>
      </c>
      <c r="D108" s="14">
        <v>169.11</v>
      </c>
      <c r="E108" s="13">
        <v>84394</v>
      </c>
      <c r="F108" s="310"/>
      <c r="G108" s="311"/>
      <c r="H108" s="312"/>
      <c r="I108" s="313"/>
      <c r="J108" s="314"/>
      <c r="K108" s="315"/>
      <c r="L108" s="316"/>
      <c r="M108" s="317"/>
      <c r="N108" s="318"/>
      <c r="O108" s="319"/>
      <c r="P108" s="320"/>
      <c r="Q108" s="321"/>
    </row>
    <row r="109" spans="1:17" ht="11.25" customHeight="1" x14ac:dyDescent="0.15">
      <c r="A109" s="309"/>
      <c r="B109" s="322" t="s">
        <v>428</v>
      </c>
      <c r="C109" s="12" t="s">
        <v>576</v>
      </c>
      <c r="D109" s="14">
        <v>2.8</v>
      </c>
      <c r="E109" s="13">
        <v>67884</v>
      </c>
      <c r="F109" s="310"/>
      <c r="G109" s="311"/>
      <c r="H109" s="312"/>
      <c r="I109" s="313"/>
      <c r="J109" s="314"/>
      <c r="K109" s="315"/>
      <c r="L109" s="316"/>
      <c r="M109" s="317"/>
      <c r="N109" s="318"/>
      <c r="O109" s="319"/>
      <c r="P109" s="320"/>
      <c r="Q109" s="321"/>
    </row>
    <row r="110" spans="1:17" ht="11.25" customHeight="1" x14ac:dyDescent="0.15">
      <c r="A110" s="309"/>
      <c r="B110" s="322" t="s">
        <v>430</v>
      </c>
      <c r="C110" s="12" t="s">
        <v>140</v>
      </c>
      <c r="D110" s="14">
        <v>5.51</v>
      </c>
      <c r="E110" s="13">
        <v>54353</v>
      </c>
      <c r="F110" s="310"/>
      <c r="G110" s="311"/>
      <c r="H110" s="312"/>
      <c r="I110" s="313"/>
      <c r="J110" s="314"/>
      <c r="K110" s="315"/>
      <c r="L110" s="316"/>
      <c r="M110" s="317"/>
      <c r="N110" s="318"/>
      <c r="O110" s="319"/>
      <c r="P110" s="320"/>
      <c r="Q110" s="321"/>
    </row>
    <row r="111" spans="1:17" ht="11.25" customHeight="1" x14ac:dyDescent="0.15">
      <c r="A111" s="309"/>
      <c r="B111" s="322" t="s">
        <v>431</v>
      </c>
      <c r="C111" s="12" t="s">
        <v>273</v>
      </c>
      <c r="D111" s="14">
        <v>2.85</v>
      </c>
      <c r="E111" s="13">
        <v>118063</v>
      </c>
      <c r="F111" s="310"/>
      <c r="G111" s="311"/>
      <c r="H111" s="312"/>
      <c r="I111" s="313"/>
      <c r="J111" s="314"/>
      <c r="K111" s="315"/>
      <c r="L111" s="316"/>
      <c r="M111" s="317"/>
      <c r="N111" s="318"/>
      <c r="O111" s="319"/>
      <c r="P111" s="320"/>
      <c r="Q111" s="321"/>
    </row>
    <row r="112" spans="1:17" ht="11.25" customHeight="1" x14ac:dyDescent="0.15">
      <c r="A112" s="309"/>
      <c r="B112" s="322" t="s">
        <v>432</v>
      </c>
      <c r="C112" s="12" t="s">
        <v>198</v>
      </c>
      <c r="D112" s="14">
        <v>28.62</v>
      </c>
      <c r="E112" s="13">
        <v>63251</v>
      </c>
      <c r="F112" s="310"/>
      <c r="G112" s="311"/>
      <c r="H112" s="312"/>
      <c r="I112" s="313"/>
      <c r="J112" s="314"/>
      <c r="K112" s="315"/>
      <c r="L112" s="316"/>
      <c r="M112" s="317"/>
      <c r="N112" s="318"/>
      <c r="O112" s="319"/>
      <c r="P112" s="320"/>
      <c r="Q112" s="321"/>
    </row>
    <row r="113" spans="1:17" ht="11.25" customHeight="1" x14ac:dyDescent="0.15">
      <c r="A113" s="309"/>
      <c r="B113" s="322" t="s">
        <v>433</v>
      </c>
      <c r="C113" s="12" t="s">
        <v>199</v>
      </c>
      <c r="D113" s="14">
        <v>126.02</v>
      </c>
      <c r="E113" s="13">
        <v>69032</v>
      </c>
      <c r="F113" s="310"/>
      <c r="G113" s="311"/>
      <c r="H113" s="312"/>
      <c r="I113" s="313"/>
      <c r="J113" s="314"/>
      <c r="K113" s="315"/>
      <c r="L113" s="316"/>
      <c r="M113" s="317"/>
      <c r="N113" s="318"/>
      <c r="O113" s="319"/>
      <c r="P113" s="320"/>
      <c r="Q113" s="321"/>
    </row>
    <row r="114" spans="1:17" ht="11.25" customHeight="1" x14ac:dyDescent="0.15">
      <c r="A114" s="309"/>
      <c r="B114" s="322" t="s">
        <v>434</v>
      </c>
      <c r="C114" s="12" t="s">
        <v>274</v>
      </c>
      <c r="D114" s="14">
        <v>0</v>
      </c>
      <c r="E114" s="13">
        <v>0</v>
      </c>
      <c r="F114" s="310"/>
      <c r="G114" s="311"/>
      <c r="H114" s="312"/>
      <c r="I114" s="313"/>
      <c r="J114" s="314"/>
      <c r="K114" s="315"/>
      <c r="L114" s="316"/>
      <c r="M114" s="317"/>
      <c r="N114" s="318"/>
      <c r="O114" s="319"/>
      <c r="P114" s="320"/>
      <c r="Q114" s="321"/>
    </row>
    <row r="115" spans="1:17" ht="11.25" customHeight="1" x14ac:dyDescent="0.15">
      <c r="A115" s="309"/>
      <c r="B115" s="322" t="s">
        <v>435</v>
      </c>
      <c r="C115" s="12" t="s">
        <v>110</v>
      </c>
      <c r="D115" s="14">
        <v>7539</v>
      </c>
      <c r="E115" s="13">
        <v>45384</v>
      </c>
      <c r="F115" s="310"/>
      <c r="G115" s="311"/>
      <c r="H115" s="312"/>
      <c r="I115" s="313"/>
      <c r="J115" s="314"/>
      <c r="K115" s="315"/>
      <c r="L115" s="316"/>
      <c r="M115" s="317"/>
      <c r="N115" s="318"/>
      <c r="O115" s="319"/>
      <c r="P115" s="320"/>
      <c r="Q115" s="321"/>
    </row>
    <row r="116" spans="1:17" ht="11.25" customHeight="1" x14ac:dyDescent="0.15">
      <c r="A116" s="309"/>
      <c r="B116" s="322" t="s">
        <v>438</v>
      </c>
      <c r="C116" s="12" t="s">
        <v>113</v>
      </c>
      <c r="D116" s="14">
        <v>346.32</v>
      </c>
      <c r="E116" s="13">
        <v>53962</v>
      </c>
      <c r="F116" s="310"/>
      <c r="G116" s="311"/>
      <c r="H116" s="312"/>
      <c r="I116" s="313"/>
      <c r="J116" s="314"/>
      <c r="K116" s="315"/>
      <c r="L116" s="316"/>
      <c r="M116" s="317"/>
      <c r="N116" s="318"/>
      <c r="O116" s="319"/>
      <c r="P116" s="320"/>
      <c r="Q116" s="321"/>
    </row>
    <row r="117" spans="1:17" ht="11.25" customHeight="1" x14ac:dyDescent="0.15">
      <c r="A117" s="309"/>
      <c r="B117" s="322" t="s">
        <v>440</v>
      </c>
      <c r="C117" s="12" t="s">
        <v>115</v>
      </c>
      <c r="D117" s="14">
        <v>196.55</v>
      </c>
      <c r="E117" s="13">
        <v>68065</v>
      </c>
      <c r="F117" s="310"/>
      <c r="G117" s="311"/>
      <c r="H117" s="312"/>
      <c r="I117" s="313"/>
      <c r="J117" s="314"/>
      <c r="K117" s="315"/>
      <c r="L117" s="316"/>
      <c r="M117" s="317"/>
      <c r="N117" s="318"/>
      <c r="O117" s="319"/>
      <c r="P117" s="320"/>
      <c r="Q117" s="321"/>
    </row>
    <row r="118" spans="1:17" ht="11.25" customHeight="1" x14ac:dyDescent="0.15">
      <c r="A118" s="309"/>
      <c r="B118" s="322" t="s">
        <v>441</v>
      </c>
      <c r="C118" s="12" t="s">
        <v>116</v>
      </c>
      <c r="D118" s="14">
        <v>5.3</v>
      </c>
      <c r="E118" s="13">
        <v>64420</v>
      </c>
      <c r="F118" s="310"/>
      <c r="G118" s="311"/>
      <c r="H118" s="312"/>
      <c r="I118" s="313"/>
      <c r="J118" s="314"/>
      <c r="K118" s="315"/>
      <c r="L118" s="316"/>
      <c r="M118" s="317"/>
      <c r="N118" s="318"/>
      <c r="O118" s="319"/>
      <c r="P118" s="320"/>
      <c r="Q118" s="321"/>
    </row>
    <row r="119" spans="1:17" ht="11.25" customHeight="1" x14ac:dyDescent="0.15">
      <c r="A119" s="309"/>
      <c r="B119" s="322" t="s">
        <v>442</v>
      </c>
      <c r="C119" s="12" t="s">
        <v>117</v>
      </c>
      <c r="D119" s="14">
        <v>67.400000000000006</v>
      </c>
      <c r="E119" s="13">
        <v>70286</v>
      </c>
      <c r="F119" s="310"/>
      <c r="G119" s="311"/>
      <c r="H119" s="312"/>
      <c r="I119" s="313"/>
      <c r="J119" s="314"/>
      <c r="K119" s="315"/>
      <c r="L119" s="316"/>
      <c r="M119" s="317"/>
      <c r="N119" s="318"/>
      <c r="O119" s="319"/>
      <c r="P119" s="320"/>
      <c r="Q119" s="321"/>
    </row>
    <row r="120" spans="1:17" ht="11.25" customHeight="1" x14ac:dyDescent="0.15">
      <c r="A120" s="309"/>
      <c r="B120" s="322" t="s">
        <v>443</v>
      </c>
      <c r="C120" s="12" t="s">
        <v>109</v>
      </c>
      <c r="D120" s="14">
        <v>14.83</v>
      </c>
      <c r="E120" s="13">
        <v>102537</v>
      </c>
      <c r="F120" s="310"/>
      <c r="G120" s="311"/>
      <c r="H120" s="312"/>
      <c r="I120" s="313"/>
      <c r="J120" s="314"/>
      <c r="K120" s="315"/>
      <c r="L120" s="316"/>
      <c r="M120" s="317"/>
      <c r="N120" s="318"/>
      <c r="O120" s="319"/>
      <c r="P120" s="320"/>
      <c r="Q120" s="321"/>
    </row>
    <row r="121" spans="1:17" ht="11.25" customHeight="1" x14ac:dyDescent="0.25">
      <c r="A121" s="264"/>
      <c r="B121" s="309"/>
      <c r="C121" s="337"/>
      <c r="D121" s="132"/>
      <c r="E121" s="98"/>
      <c r="F121" s="324">
        <f>SUM(D90:D113)</f>
        <v>9794.9000000000015</v>
      </c>
      <c r="G121" s="325">
        <f>(SUMPRODUCT(D90:D113,E90:E113))</f>
        <v>758423446.8900001</v>
      </c>
      <c r="H121" s="326">
        <f>SUM(D90:D96)</f>
        <v>284.90000000000003</v>
      </c>
      <c r="I121" s="327">
        <f>(SUMPRODUCT(D90:D96,E90:E96))</f>
        <v>37906137.759999998</v>
      </c>
      <c r="J121" s="328">
        <f>SUM(D97:D109,D112:D113)</f>
        <v>9501.6400000000012</v>
      </c>
      <c r="K121" s="329">
        <f>(SUMPRODUCT(D97:D109,E97:E109))+(SUMPRODUCT(D112:D113,E112:E113))</f>
        <v>719881344.55000007</v>
      </c>
      <c r="L121" s="330">
        <f>SUM(D110:D111)</f>
        <v>8.36</v>
      </c>
      <c r="M121" s="331">
        <f>(SUMPRODUCT(D110:D111,E110:E111))</f>
        <v>635964.57999999996</v>
      </c>
      <c r="N121" s="332">
        <f>+H121+J121+L121</f>
        <v>9794.9000000000015</v>
      </c>
      <c r="O121" s="333">
        <f>+I121+K121+M121</f>
        <v>758423446.8900001</v>
      </c>
      <c r="P121" s="334">
        <f>SUM(D114:D120)</f>
        <v>8169.4</v>
      </c>
      <c r="Q121" s="335">
        <f>(SUMPRODUCT(D114:D120,E114:E120))</f>
        <v>380815597.69999993</v>
      </c>
    </row>
    <row r="122" spans="1:17" ht="11.25" customHeight="1" x14ac:dyDescent="0.15">
      <c r="A122" s="309">
        <v>22</v>
      </c>
      <c r="B122" s="337" t="s">
        <v>489</v>
      </c>
      <c r="C122" s="338"/>
      <c r="D122" s="339"/>
      <c r="E122" s="340"/>
      <c r="F122" s="310"/>
      <c r="G122" s="311"/>
      <c r="H122" s="312"/>
      <c r="I122" s="313"/>
      <c r="J122" s="314"/>
      <c r="K122" s="315"/>
      <c r="L122" s="316"/>
      <c r="M122" s="317"/>
      <c r="N122" s="318"/>
      <c r="O122" s="319"/>
      <c r="P122" s="320"/>
      <c r="Q122" s="321"/>
    </row>
    <row r="123" spans="1:17" ht="11.25" customHeight="1" x14ac:dyDescent="0.15">
      <c r="A123" s="309"/>
      <c r="B123" s="322" t="s">
        <v>410</v>
      </c>
      <c r="C123" s="12" t="s">
        <v>134</v>
      </c>
      <c r="D123" s="14">
        <v>1.08</v>
      </c>
      <c r="E123" s="13">
        <v>131131</v>
      </c>
      <c r="F123" s="310"/>
      <c r="G123" s="311"/>
      <c r="H123" s="312"/>
      <c r="I123" s="313"/>
      <c r="J123" s="314"/>
      <c r="K123" s="315"/>
      <c r="L123" s="316"/>
      <c r="M123" s="317"/>
      <c r="N123" s="318"/>
      <c r="O123" s="319"/>
      <c r="P123" s="320"/>
      <c r="Q123" s="321"/>
    </row>
    <row r="124" spans="1:17" ht="11.25" customHeight="1" x14ac:dyDescent="0.15">
      <c r="A124" s="309"/>
      <c r="B124" s="322" t="s">
        <v>415</v>
      </c>
      <c r="C124" s="12" t="s">
        <v>135</v>
      </c>
      <c r="D124" s="14">
        <v>0.05</v>
      </c>
      <c r="E124" s="13">
        <v>138200</v>
      </c>
      <c r="F124" s="310"/>
      <c r="G124" s="311"/>
      <c r="H124" s="312"/>
      <c r="I124" s="313"/>
      <c r="J124" s="314"/>
      <c r="K124" s="315"/>
      <c r="L124" s="316"/>
      <c r="M124" s="317"/>
      <c r="N124" s="318"/>
      <c r="O124" s="319"/>
      <c r="P124" s="320"/>
      <c r="Q124" s="321"/>
    </row>
    <row r="125" spans="1:17" ht="11.25" customHeight="1" x14ac:dyDescent="0.15">
      <c r="A125" s="309"/>
      <c r="B125" s="322" t="s">
        <v>416</v>
      </c>
      <c r="C125" s="12" t="s">
        <v>526</v>
      </c>
      <c r="D125" s="14">
        <v>4.33</v>
      </c>
      <c r="E125" s="13">
        <v>74007</v>
      </c>
      <c r="F125" s="310"/>
      <c r="G125" s="311"/>
      <c r="H125" s="312"/>
      <c r="I125" s="313"/>
      <c r="J125" s="314"/>
      <c r="K125" s="315"/>
      <c r="L125" s="316"/>
      <c r="M125" s="317"/>
      <c r="N125" s="318"/>
      <c r="O125" s="319"/>
      <c r="P125" s="320"/>
      <c r="Q125" s="321"/>
    </row>
    <row r="126" spans="1:17" ht="11.25" customHeight="1" x14ac:dyDescent="0.15">
      <c r="A126" s="309"/>
      <c r="B126" s="322" t="s">
        <v>418</v>
      </c>
      <c r="C126" s="12" t="s">
        <v>137</v>
      </c>
      <c r="D126" s="14">
        <v>12.03</v>
      </c>
      <c r="E126" s="13">
        <v>87302</v>
      </c>
      <c r="F126" s="310"/>
      <c r="G126" s="311"/>
      <c r="H126" s="312"/>
      <c r="I126" s="313"/>
      <c r="J126" s="314"/>
      <c r="K126" s="315"/>
      <c r="L126" s="316"/>
      <c r="M126" s="317"/>
      <c r="N126" s="318"/>
      <c r="O126" s="319"/>
      <c r="P126" s="320"/>
      <c r="Q126" s="321"/>
    </row>
    <row r="127" spans="1:17" ht="11.25" customHeight="1" x14ac:dyDescent="0.15">
      <c r="A127" s="309"/>
      <c r="B127" s="322" t="s">
        <v>419</v>
      </c>
      <c r="C127" s="12" t="s">
        <v>138</v>
      </c>
      <c r="D127" s="14">
        <v>1.87</v>
      </c>
      <c r="E127" s="13">
        <v>86666</v>
      </c>
      <c r="F127" s="310"/>
      <c r="G127" s="311"/>
      <c r="H127" s="312"/>
      <c r="I127" s="313"/>
      <c r="J127" s="314"/>
      <c r="K127" s="315"/>
      <c r="L127" s="316"/>
      <c r="M127" s="317"/>
      <c r="N127" s="318"/>
      <c r="O127" s="319"/>
      <c r="P127" s="320"/>
      <c r="Q127" s="321"/>
    </row>
    <row r="128" spans="1:17" ht="11.25" customHeight="1" x14ac:dyDescent="0.15">
      <c r="A128" s="309"/>
      <c r="B128" s="322" t="s">
        <v>421</v>
      </c>
      <c r="C128" s="12" t="s">
        <v>143</v>
      </c>
      <c r="D128" s="14">
        <v>0</v>
      </c>
      <c r="E128" s="13">
        <v>0</v>
      </c>
      <c r="F128" s="310"/>
      <c r="G128" s="311"/>
      <c r="H128" s="312"/>
      <c r="I128" s="313"/>
      <c r="J128" s="314"/>
      <c r="K128" s="315"/>
      <c r="L128" s="316"/>
      <c r="M128" s="317"/>
      <c r="N128" s="318"/>
      <c r="O128" s="319"/>
      <c r="P128" s="320"/>
      <c r="Q128" s="321"/>
    </row>
    <row r="129" spans="1:17" ht="11.25" customHeight="1" x14ac:dyDescent="0.15">
      <c r="A129" s="309"/>
      <c r="B129" s="322" t="s">
        <v>422</v>
      </c>
      <c r="C129" s="12" t="s">
        <v>144</v>
      </c>
      <c r="D129" s="14">
        <v>1.73</v>
      </c>
      <c r="E129" s="13">
        <v>80032</v>
      </c>
      <c r="F129" s="310"/>
      <c r="G129" s="311"/>
      <c r="H129" s="312"/>
      <c r="I129" s="313"/>
      <c r="J129" s="314"/>
      <c r="K129" s="315"/>
      <c r="L129" s="316"/>
      <c r="M129" s="317"/>
      <c r="N129" s="318"/>
      <c r="O129" s="319"/>
      <c r="P129" s="320"/>
      <c r="Q129" s="321"/>
    </row>
    <row r="130" spans="1:17" ht="11.25" customHeight="1" x14ac:dyDescent="0.15">
      <c r="A130" s="309"/>
      <c r="B130" s="322" t="s">
        <v>424</v>
      </c>
      <c r="C130" s="12" t="s">
        <v>272</v>
      </c>
      <c r="D130" s="14">
        <v>1.97</v>
      </c>
      <c r="E130" s="13">
        <v>79816</v>
      </c>
      <c r="F130" s="310"/>
      <c r="G130" s="311"/>
      <c r="H130" s="312"/>
      <c r="I130" s="313"/>
      <c r="J130" s="314"/>
      <c r="K130" s="315"/>
      <c r="L130" s="316"/>
      <c r="M130" s="317"/>
      <c r="N130" s="318"/>
      <c r="O130" s="319"/>
      <c r="P130" s="320"/>
      <c r="Q130" s="321"/>
    </row>
    <row r="131" spans="1:17" ht="11.25" customHeight="1" x14ac:dyDescent="0.15">
      <c r="A131" s="309"/>
      <c r="B131" s="322" t="s">
        <v>425</v>
      </c>
      <c r="C131" s="12" t="s">
        <v>146</v>
      </c>
      <c r="D131" s="14">
        <v>2.08</v>
      </c>
      <c r="E131" s="13">
        <v>86374</v>
      </c>
      <c r="F131" s="310"/>
      <c r="G131" s="311"/>
      <c r="H131" s="312"/>
      <c r="I131" s="313"/>
      <c r="J131" s="314"/>
      <c r="K131" s="315"/>
      <c r="L131" s="316"/>
      <c r="M131" s="317"/>
      <c r="N131" s="318"/>
      <c r="O131" s="319"/>
      <c r="P131" s="320"/>
      <c r="Q131" s="321"/>
    </row>
    <row r="132" spans="1:17" ht="11.25" customHeight="1" x14ac:dyDescent="0.15">
      <c r="A132" s="309"/>
      <c r="B132" s="322" t="s">
        <v>426</v>
      </c>
      <c r="C132" s="12" t="s">
        <v>147</v>
      </c>
      <c r="D132" s="14">
        <v>0.25</v>
      </c>
      <c r="E132" s="13">
        <v>93276</v>
      </c>
      <c r="F132" s="310"/>
      <c r="G132" s="311"/>
      <c r="H132" s="312"/>
      <c r="I132" s="313"/>
      <c r="J132" s="314"/>
      <c r="K132" s="315"/>
      <c r="L132" s="316"/>
      <c r="M132" s="317"/>
      <c r="N132" s="318"/>
      <c r="O132" s="319"/>
      <c r="P132" s="320"/>
      <c r="Q132" s="321"/>
    </row>
    <row r="133" spans="1:17" ht="11.25" customHeight="1" x14ac:dyDescent="0.15">
      <c r="A133" s="337"/>
      <c r="B133" s="322" t="s">
        <v>427</v>
      </c>
      <c r="C133" s="12" t="s">
        <v>148</v>
      </c>
      <c r="D133" s="14">
        <v>0.32</v>
      </c>
      <c r="E133" s="13">
        <v>83675</v>
      </c>
      <c r="F133" s="310"/>
      <c r="G133" s="311"/>
      <c r="H133" s="312"/>
      <c r="I133" s="313"/>
      <c r="J133" s="314"/>
      <c r="K133" s="315"/>
      <c r="L133" s="316"/>
      <c r="M133" s="317"/>
      <c r="N133" s="318"/>
      <c r="O133" s="319"/>
      <c r="P133" s="320"/>
      <c r="Q133" s="321"/>
    </row>
    <row r="134" spans="1:17" ht="11.25" customHeight="1" x14ac:dyDescent="0.15">
      <c r="A134" s="337"/>
      <c r="B134" s="322" t="s">
        <v>434</v>
      </c>
      <c r="C134" s="12" t="s">
        <v>274</v>
      </c>
      <c r="D134" s="14">
        <v>0</v>
      </c>
      <c r="E134" s="13">
        <v>0</v>
      </c>
      <c r="F134" s="310"/>
      <c r="G134" s="311"/>
      <c r="H134" s="312"/>
      <c r="I134" s="313"/>
      <c r="J134" s="314"/>
      <c r="K134" s="315"/>
      <c r="L134" s="316"/>
      <c r="M134" s="317"/>
      <c r="N134" s="318"/>
      <c r="O134" s="319"/>
      <c r="P134" s="320"/>
      <c r="Q134" s="321"/>
    </row>
    <row r="135" spans="1:17" ht="11.25" customHeight="1" x14ac:dyDescent="0.15">
      <c r="A135" s="309"/>
      <c r="B135" s="322" t="s">
        <v>435</v>
      </c>
      <c r="C135" s="12" t="s">
        <v>110</v>
      </c>
      <c r="D135" s="14">
        <v>8.02</v>
      </c>
      <c r="E135" s="13">
        <v>40318</v>
      </c>
      <c r="F135" s="310"/>
      <c r="G135" s="311"/>
      <c r="H135" s="312"/>
      <c r="I135" s="313"/>
      <c r="J135" s="314"/>
      <c r="K135" s="315"/>
      <c r="L135" s="316"/>
      <c r="M135" s="317"/>
      <c r="N135" s="318"/>
      <c r="O135" s="319"/>
      <c r="P135" s="320"/>
      <c r="Q135" s="321"/>
    </row>
    <row r="136" spans="1:17" ht="11.25" customHeight="1" x14ac:dyDescent="0.15">
      <c r="A136" s="309"/>
      <c r="B136" s="322" t="s">
        <v>438</v>
      </c>
      <c r="C136" s="12" t="s">
        <v>113</v>
      </c>
      <c r="D136" s="14">
        <v>3.18</v>
      </c>
      <c r="E136" s="13">
        <v>58722</v>
      </c>
      <c r="F136" s="310"/>
      <c r="G136" s="311"/>
      <c r="H136" s="312"/>
      <c r="I136" s="313"/>
      <c r="J136" s="314"/>
      <c r="K136" s="315"/>
      <c r="L136" s="316"/>
      <c r="M136" s="317"/>
      <c r="N136" s="318"/>
      <c r="O136" s="319"/>
      <c r="P136" s="320"/>
      <c r="Q136" s="321"/>
    </row>
    <row r="137" spans="1:17" ht="11.25" customHeight="1" x14ac:dyDescent="0.15">
      <c r="A137" s="309"/>
      <c r="B137" s="322" t="s">
        <v>440</v>
      </c>
      <c r="C137" s="12" t="s">
        <v>115</v>
      </c>
      <c r="D137" s="14">
        <v>2.0699999999999998</v>
      </c>
      <c r="E137" s="13">
        <v>52512</v>
      </c>
      <c r="F137" s="310"/>
      <c r="G137" s="311"/>
      <c r="H137" s="312"/>
      <c r="I137" s="313"/>
      <c r="J137" s="314"/>
      <c r="K137" s="315"/>
      <c r="L137" s="316"/>
      <c r="M137" s="317"/>
      <c r="N137" s="318"/>
      <c r="O137" s="319"/>
      <c r="P137" s="320"/>
      <c r="Q137" s="321"/>
    </row>
    <row r="138" spans="1:17" ht="11.25" customHeight="1" x14ac:dyDescent="0.15">
      <c r="A138" s="309"/>
      <c r="B138" s="322" t="s">
        <v>443</v>
      </c>
      <c r="C138" s="12" t="s">
        <v>109</v>
      </c>
      <c r="D138" s="14">
        <v>0.46</v>
      </c>
      <c r="E138" s="13">
        <v>90779</v>
      </c>
      <c r="F138" s="310"/>
      <c r="G138" s="311"/>
      <c r="H138" s="312"/>
      <c r="I138" s="313"/>
      <c r="J138" s="314"/>
      <c r="K138" s="315"/>
      <c r="L138" s="316"/>
      <c r="M138" s="317"/>
      <c r="N138" s="318"/>
      <c r="O138" s="319"/>
      <c r="P138" s="320"/>
      <c r="Q138" s="321"/>
    </row>
    <row r="139" spans="1:17" ht="11.25" customHeight="1" x14ac:dyDescent="0.25">
      <c r="A139" s="264"/>
      <c r="B139" s="309"/>
      <c r="C139" s="337"/>
      <c r="D139" s="132"/>
      <c r="E139" s="98"/>
      <c r="F139" s="324">
        <f>SUM(D123:D133)</f>
        <v>25.71</v>
      </c>
      <c r="G139" s="325">
        <f>(SUMPRODUCT(D123:D133,E123:E133))</f>
        <v>2206736.0699999998</v>
      </c>
      <c r="H139" s="326">
        <f>SUM(D123:D124)</f>
        <v>1.1300000000000001</v>
      </c>
      <c r="I139" s="327">
        <f>(SUMPRODUCT(D123:D124,E123:E124))</f>
        <v>148531.48000000001</v>
      </c>
      <c r="J139" s="328">
        <f>SUM(D125:D133)</f>
        <v>24.58</v>
      </c>
      <c r="K139" s="329">
        <f>(SUMPRODUCT(D125:D133,E125:E133))</f>
        <v>2058204.5899999999</v>
      </c>
      <c r="L139" s="330"/>
      <c r="M139" s="331"/>
      <c r="N139" s="332">
        <f>+H139+J139+L139</f>
        <v>25.709999999999997</v>
      </c>
      <c r="O139" s="333">
        <f>+I139+K139+M139</f>
        <v>2206736.0699999998</v>
      </c>
      <c r="P139" s="334">
        <f>SUM(D134:D138)</f>
        <v>13.73</v>
      </c>
      <c r="Q139" s="335">
        <f>(SUMPRODUCT(D134:D138,E134:E138))</f>
        <v>660544.5</v>
      </c>
    </row>
    <row r="140" spans="1:17" ht="11.25" customHeight="1" x14ac:dyDescent="0.15">
      <c r="A140" s="309">
        <v>24</v>
      </c>
      <c r="B140" s="337" t="s">
        <v>297</v>
      </c>
      <c r="C140" s="341"/>
      <c r="D140" s="339"/>
      <c r="E140" s="340"/>
      <c r="F140" s="310"/>
      <c r="G140" s="311"/>
      <c r="H140" s="312"/>
      <c r="I140" s="313"/>
      <c r="J140" s="314"/>
      <c r="K140" s="315"/>
      <c r="L140" s="316"/>
      <c r="M140" s="317"/>
      <c r="N140" s="318"/>
      <c r="O140" s="319"/>
      <c r="P140" s="320"/>
      <c r="Q140" s="321"/>
    </row>
    <row r="141" spans="1:17" ht="11.25" customHeight="1" x14ac:dyDescent="0.15">
      <c r="A141" s="309"/>
      <c r="B141" s="322" t="s">
        <v>410</v>
      </c>
      <c r="C141" s="12" t="s">
        <v>134</v>
      </c>
      <c r="D141" s="14">
        <v>6.94</v>
      </c>
      <c r="E141" s="13">
        <v>134777</v>
      </c>
      <c r="F141" s="310"/>
      <c r="G141" s="311"/>
      <c r="H141" s="312"/>
      <c r="I141" s="313"/>
      <c r="J141" s="314"/>
      <c r="K141" s="315"/>
      <c r="L141" s="316"/>
      <c r="M141" s="317"/>
      <c r="N141" s="318"/>
      <c r="O141" s="319"/>
      <c r="P141" s="320"/>
      <c r="Q141" s="321"/>
    </row>
    <row r="142" spans="1:17" ht="11.25" customHeight="1" x14ac:dyDescent="0.15">
      <c r="A142" s="309"/>
      <c r="B142" s="322" t="s">
        <v>415</v>
      </c>
      <c r="C142" s="12" t="s">
        <v>135</v>
      </c>
      <c r="D142" s="14">
        <v>0.2</v>
      </c>
      <c r="E142" s="13">
        <v>116270</v>
      </c>
      <c r="F142" s="310"/>
      <c r="G142" s="311"/>
      <c r="H142" s="312"/>
      <c r="I142" s="313"/>
      <c r="J142" s="314"/>
      <c r="K142" s="315"/>
      <c r="L142" s="316"/>
      <c r="M142" s="317"/>
      <c r="N142" s="318"/>
      <c r="O142" s="319"/>
      <c r="P142" s="320"/>
      <c r="Q142" s="321"/>
    </row>
    <row r="143" spans="1:17" ht="11.25" customHeight="1" x14ac:dyDescent="0.15">
      <c r="A143" s="309"/>
      <c r="B143" s="322" t="s">
        <v>416</v>
      </c>
      <c r="C143" s="12" t="s">
        <v>526</v>
      </c>
      <c r="D143" s="14">
        <v>44.31</v>
      </c>
      <c r="E143" s="13">
        <v>72781</v>
      </c>
      <c r="F143" s="310"/>
      <c r="G143" s="311"/>
      <c r="H143" s="312"/>
      <c r="I143" s="313"/>
      <c r="J143" s="314"/>
      <c r="K143" s="315"/>
      <c r="L143" s="316"/>
      <c r="M143" s="317"/>
      <c r="N143" s="318"/>
      <c r="O143" s="319"/>
      <c r="P143" s="320"/>
      <c r="Q143" s="321"/>
    </row>
    <row r="144" spans="1:17" ht="11.25" customHeight="1" x14ac:dyDescent="0.15">
      <c r="A144" s="309"/>
      <c r="B144" s="322" t="s">
        <v>417</v>
      </c>
      <c r="C144" s="12" t="s">
        <v>136</v>
      </c>
      <c r="D144" s="14">
        <v>163.32</v>
      </c>
      <c r="E144" s="13">
        <v>73711</v>
      </c>
      <c r="F144" s="310"/>
      <c r="G144" s="311"/>
      <c r="H144" s="312"/>
      <c r="I144" s="313"/>
      <c r="J144" s="314"/>
      <c r="K144" s="315"/>
      <c r="L144" s="316"/>
      <c r="M144" s="317"/>
      <c r="N144" s="318"/>
      <c r="O144" s="319"/>
      <c r="P144" s="320"/>
      <c r="Q144" s="321"/>
    </row>
    <row r="145" spans="1:17" ht="11.25" customHeight="1" x14ac:dyDescent="0.15">
      <c r="A145" s="309"/>
      <c r="B145" s="322" t="s">
        <v>418</v>
      </c>
      <c r="C145" s="12" t="s">
        <v>137</v>
      </c>
      <c r="D145" s="14">
        <v>487.12</v>
      </c>
      <c r="E145" s="13">
        <v>78754</v>
      </c>
      <c r="F145" s="310"/>
      <c r="G145" s="311"/>
      <c r="H145" s="312"/>
      <c r="I145" s="313"/>
      <c r="J145" s="314"/>
      <c r="K145" s="315"/>
      <c r="L145" s="316"/>
      <c r="M145" s="317"/>
      <c r="N145" s="318"/>
      <c r="O145" s="319"/>
      <c r="P145" s="320"/>
      <c r="Q145" s="321"/>
    </row>
    <row r="146" spans="1:17" ht="11.25" customHeight="1" x14ac:dyDescent="0.25">
      <c r="A146" s="264"/>
      <c r="B146" s="322" t="s">
        <v>527</v>
      </c>
      <c r="C146" s="12" t="s">
        <v>528</v>
      </c>
      <c r="D146" s="14">
        <v>2.5</v>
      </c>
      <c r="E146" s="13">
        <v>66123</v>
      </c>
      <c r="F146" s="310"/>
      <c r="G146" s="311"/>
      <c r="H146" s="312"/>
      <c r="I146" s="313"/>
      <c r="J146" s="314"/>
      <c r="K146" s="315"/>
      <c r="L146" s="316"/>
      <c r="M146" s="317"/>
      <c r="N146" s="318"/>
      <c r="O146" s="319"/>
      <c r="P146" s="320"/>
      <c r="Q146" s="321"/>
    </row>
    <row r="147" spans="1:17" ht="11.25" customHeight="1" x14ac:dyDescent="0.15">
      <c r="A147" s="337"/>
      <c r="B147" s="322" t="s">
        <v>419</v>
      </c>
      <c r="C147" s="12" t="s">
        <v>138</v>
      </c>
      <c r="D147" s="14">
        <v>49.56</v>
      </c>
      <c r="E147" s="13">
        <v>81787</v>
      </c>
      <c r="F147" s="310"/>
      <c r="G147" s="311"/>
      <c r="H147" s="312"/>
      <c r="I147" s="313"/>
      <c r="J147" s="314"/>
      <c r="K147" s="315"/>
      <c r="L147" s="316"/>
      <c r="M147" s="317"/>
      <c r="N147" s="318"/>
      <c r="O147" s="319"/>
      <c r="P147" s="320"/>
      <c r="Q147" s="321"/>
    </row>
    <row r="148" spans="1:17" ht="11.25" customHeight="1" x14ac:dyDescent="0.15">
      <c r="A148" s="309"/>
      <c r="B148" s="322" t="s">
        <v>421</v>
      </c>
      <c r="C148" s="12" t="s">
        <v>143</v>
      </c>
      <c r="D148" s="14">
        <v>2.27</v>
      </c>
      <c r="E148" s="13">
        <v>86042</v>
      </c>
      <c r="F148" s="310"/>
      <c r="G148" s="311"/>
      <c r="H148" s="312"/>
      <c r="I148" s="313"/>
      <c r="J148" s="314"/>
      <c r="K148" s="315"/>
      <c r="L148" s="316"/>
      <c r="M148" s="317"/>
      <c r="N148" s="318"/>
      <c r="O148" s="319"/>
      <c r="P148" s="320"/>
      <c r="Q148" s="321"/>
    </row>
    <row r="149" spans="1:17" ht="11.25" customHeight="1" x14ac:dyDescent="0.15">
      <c r="A149" s="309"/>
      <c r="B149" s="322" t="s">
        <v>422</v>
      </c>
      <c r="C149" s="12" t="s">
        <v>144</v>
      </c>
      <c r="D149" s="14">
        <v>20.73</v>
      </c>
      <c r="E149" s="13">
        <v>84385</v>
      </c>
      <c r="F149" s="310"/>
      <c r="G149" s="311"/>
      <c r="H149" s="312"/>
      <c r="I149" s="313"/>
      <c r="J149" s="314"/>
      <c r="K149" s="315"/>
      <c r="L149" s="316"/>
      <c r="M149" s="317"/>
      <c r="N149" s="318"/>
      <c r="O149" s="319"/>
      <c r="P149" s="320"/>
      <c r="Q149" s="321"/>
    </row>
    <row r="150" spans="1:17" ht="11.25" customHeight="1" x14ac:dyDescent="0.15">
      <c r="A150" s="309"/>
      <c r="B150" s="322" t="s">
        <v>423</v>
      </c>
      <c r="C150" s="12" t="s">
        <v>145</v>
      </c>
      <c r="D150" s="14">
        <v>4</v>
      </c>
      <c r="E150" s="13">
        <v>87084</v>
      </c>
      <c r="F150" s="310"/>
      <c r="G150" s="311"/>
      <c r="H150" s="312"/>
      <c r="I150" s="313"/>
      <c r="J150" s="314"/>
      <c r="K150" s="315"/>
      <c r="L150" s="316"/>
      <c r="M150" s="317"/>
      <c r="N150" s="318"/>
      <c r="O150" s="319"/>
      <c r="P150" s="320"/>
      <c r="Q150" s="321"/>
    </row>
    <row r="151" spans="1:17" ht="11.25" customHeight="1" x14ac:dyDescent="0.15">
      <c r="A151" s="309"/>
      <c r="B151" s="322" t="s">
        <v>424</v>
      </c>
      <c r="C151" s="12" t="s">
        <v>272</v>
      </c>
      <c r="D151" s="14">
        <v>52.06</v>
      </c>
      <c r="E151" s="13">
        <v>79092</v>
      </c>
      <c r="F151" s="310"/>
      <c r="G151" s="311"/>
      <c r="H151" s="312"/>
      <c r="I151" s="313"/>
      <c r="J151" s="314"/>
      <c r="K151" s="315"/>
      <c r="L151" s="316"/>
      <c r="M151" s="317"/>
      <c r="N151" s="318"/>
      <c r="O151" s="319"/>
      <c r="P151" s="320"/>
      <c r="Q151" s="321"/>
    </row>
    <row r="152" spans="1:17" ht="11.25" customHeight="1" x14ac:dyDescent="0.15">
      <c r="A152" s="309"/>
      <c r="B152" s="322" t="s">
        <v>425</v>
      </c>
      <c r="C152" s="12" t="s">
        <v>146</v>
      </c>
      <c r="D152" s="14">
        <v>166.48</v>
      </c>
      <c r="E152" s="13">
        <v>85736</v>
      </c>
      <c r="F152" s="310"/>
      <c r="G152" s="311"/>
      <c r="H152" s="312"/>
      <c r="I152" s="313"/>
      <c r="J152" s="314"/>
      <c r="K152" s="315"/>
      <c r="L152" s="316"/>
      <c r="M152" s="317"/>
      <c r="N152" s="318"/>
      <c r="O152" s="319"/>
      <c r="P152" s="320"/>
      <c r="Q152" s="321"/>
    </row>
    <row r="153" spans="1:17" ht="11.25" customHeight="1" x14ac:dyDescent="0.15">
      <c r="A153" s="309"/>
      <c r="B153" s="322" t="s">
        <v>426</v>
      </c>
      <c r="C153" s="12" t="s">
        <v>147</v>
      </c>
      <c r="D153" s="14">
        <v>0.8</v>
      </c>
      <c r="E153" s="13">
        <v>71947</v>
      </c>
      <c r="F153" s="310"/>
      <c r="G153" s="311"/>
      <c r="H153" s="312"/>
      <c r="I153" s="313"/>
      <c r="J153" s="314"/>
      <c r="K153" s="315"/>
      <c r="L153" s="316"/>
      <c r="M153" s="317"/>
      <c r="N153" s="318"/>
      <c r="O153" s="319"/>
      <c r="P153" s="320"/>
      <c r="Q153" s="321"/>
    </row>
    <row r="154" spans="1:17" ht="11.25" customHeight="1" x14ac:dyDescent="0.15">
      <c r="A154" s="309"/>
      <c r="B154" s="322" t="s">
        <v>427</v>
      </c>
      <c r="C154" s="12" t="s">
        <v>148</v>
      </c>
      <c r="D154" s="14">
        <v>3.6</v>
      </c>
      <c r="E154" s="13">
        <v>84689</v>
      </c>
      <c r="F154" s="310"/>
      <c r="G154" s="311"/>
      <c r="H154" s="312"/>
      <c r="I154" s="313"/>
      <c r="J154" s="314"/>
      <c r="K154" s="315"/>
      <c r="L154" s="316"/>
      <c r="M154" s="317"/>
      <c r="N154" s="318"/>
      <c r="O154" s="319"/>
      <c r="P154" s="320"/>
      <c r="Q154" s="321"/>
    </row>
    <row r="155" spans="1:17" ht="11.25" customHeight="1" x14ac:dyDescent="0.15">
      <c r="A155" s="309"/>
      <c r="B155" s="322" t="s">
        <v>433</v>
      </c>
      <c r="C155" s="12" t="s">
        <v>199</v>
      </c>
      <c r="D155" s="14">
        <v>8.34</v>
      </c>
      <c r="E155" s="13">
        <v>73998</v>
      </c>
      <c r="F155" s="310"/>
      <c r="G155" s="311"/>
      <c r="H155" s="312"/>
      <c r="I155" s="313"/>
      <c r="J155" s="314"/>
      <c r="K155" s="315"/>
      <c r="L155" s="316"/>
      <c r="M155" s="317"/>
      <c r="N155" s="318"/>
      <c r="O155" s="319"/>
      <c r="P155" s="320"/>
      <c r="Q155" s="321"/>
    </row>
    <row r="156" spans="1:17" ht="11.25" customHeight="1" x14ac:dyDescent="0.15">
      <c r="A156" s="309"/>
      <c r="B156" s="322" t="s">
        <v>435</v>
      </c>
      <c r="C156" s="12" t="s">
        <v>110</v>
      </c>
      <c r="D156" s="14">
        <v>916.65</v>
      </c>
      <c r="E156" s="13">
        <v>43078</v>
      </c>
      <c r="F156" s="310"/>
      <c r="G156" s="311"/>
      <c r="H156" s="312"/>
      <c r="I156" s="313"/>
      <c r="J156" s="314"/>
      <c r="K156" s="315"/>
      <c r="L156" s="316"/>
      <c r="M156" s="317"/>
      <c r="N156" s="318"/>
      <c r="O156" s="319"/>
      <c r="P156" s="320"/>
      <c r="Q156" s="321"/>
    </row>
    <row r="157" spans="1:17" ht="11.25" customHeight="1" x14ac:dyDescent="0.15">
      <c r="A157" s="309"/>
      <c r="B157" s="322" t="s">
        <v>438</v>
      </c>
      <c r="C157" s="12" t="s">
        <v>113</v>
      </c>
      <c r="D157" s="14">
        <v>21.45</v>
      </c>
      <c r="E157" s="13">
        <v>52295</v>
      </c>
      <c r="F157" s="310"/>
      <c r="G157" s="311"/>
      <c r="H157" s="312"/>
      <c r="I157" s="313"/>
      <c r="J157" s="314"/>
      <c r="K157" s="315"/>
      <c r="L157" s="316"/>
      <c r="M157" s="317"/>
      <c r="N157" s="318"/>
      <c r="O157" s="319"/>
      <c r="P157" s="320"/>
      <c r="Q157" s="321"/>
    </row>
    <row r="158" spans="1:17" ht="11.25" customHeight="1" x14ac:dyDescent="0.15">
      <c r="A158" s="309"/>
      <c r="B158" s="322" t="s">
        <v>440</v>
      </c>
      <c r="C158" s="12" t="s">
        <v>115</v>
      </c>
      <c r="D158" s="14">
        <v>18.2</v>
      </c>
      <c r="E158" s="13">
        <v>61387</v>
      </c>
      <c r="F158" s="310"/>
      <c r="G158" s="311"/>
      <c r="H158" s="312"/>
      <c r="I158" s="313"/>
      <c r="J158" s="314"/>
      <c r="K158" s="315"/>
      <c r="L158" s="316"/>
      <c r="M158" s="317"/>
      <c r="N158" s="318"/>
      <c r="O158" s="319"/>
      <c r="P158" s="320"/>
      <c r="Q158" s="321"/>
    </row>
    <row r="159" spans="1:17" ht="11.25" customHeight="1" x14ac:dyDescent="0.15">
      <c r="A159" s="309"/>
      <c r="B159" s="322" t="s">
        <v>442</v>
      </c>
      <c r="C159" s="12" t="s">
        <v>117</v>
      </c>
      <c r="D159" s="14">
        <v>0.79</v>
      </c>
      <c r="E159" s="13">
        <v>77130</v>
      </c>
      <c r="F159" s="310"/>
      <c r="G159" s="311"/>
      <c r="H159" s="312"/>
      <c r="I159" s="313"/>
      <c r="J159" s="314"/>
      <c r="K159" s="315"/>
      <c r="L159" s="316"/>
      <c r="M159" s="317"/>
      <c r="N159" s="318"/>
      <c r="O159" s="319"/>
      <c r="P159" s="320"/>
      <c r="Q159" s="321"/>
    </row>
    <row r="160" spans="1:17" ht="11.25" customHeight="1" x14ac:dyDescent="0.25">
      <c r="A160" s="264"/>
      <c r="B160" s="323"/>
      <c r="C160" s="264"/>
      <c r="D160" s="132"/>
      <c r="E160" s="132"/>
      <c r="F160" s="324">
        <f>SUM(D141:D155)</f>
        <v>1012.23</v>
      </c>
      <c r="G160" s="325">
        <f>(SUMPRODUCT(D141:D155,E141:E155))</f>
        <v>80466725.219999984</v>
      </c>
      <c r="H160" s="326">
        <f>SUM(D141:D142)</f>
        <v>7.1400000000000006</v>
      </c>
      <c r="I160" s="327">
        <f>(SUMPRODUCT(D141:D142,E141:E142))</f>
        <v>958606.38</v>
      </c>
      <c r="J160" s="328">
        <f>SUM(D143:D155)</f>
        <v>1005.0899999999999</v>
      </c>
      <c r="K160" s="329">
        <f>(SUMPRODUCT(D143:D155,E143:E155))</f>
        <v>79508118.839999989</v>
      </c>
      <c r="L160" s="330"/>
      <c r="M160" s="331"/>
      <c r="N160" s="332">
        <f>+H160+J160+L160</f>
        <v>1012.2299999999999</v>
      </c>
      <c r="O160" s="333">
        <f>+I160+K160+M160</f>
        <v>80466725.219999984</v>
      </c>
      <c r="P160" s="334">
        <f>SUM(D156:D159)</f>
        <v>957.09</v>
      </c>
      <c r="Q160" s="335">
        <f>(SUMPRODUCT(D156:D159,E156:E159))</f>
        <v>41787352.549999997</v>
      </c>
    </row>
    <row r="161" spans="1:17" ht="11.25" customHeight="1" x14ac:dyDescent="0.15">
      <c r="A161" s="309">
        <v>26</v>
      </c>
      <c r="B161" s="337" t="s">
        <v>298</v>
      </c>
      <c r="C161" s="338"/>
      <c r="D161" s="339"/>
      <c r="E161" s="340"/>
      <c r="F161" s="310"/>
      <c r="G161" s="311"/>
      <c r="H161" s="312"/>
      <c r="I161" s="313"/>
      <c r="J161" s="314"/>
      <c r="K161" s="315"/>
      <c r="L161" s="316"/>
      <c r="M161" s="317"/>
      <c r="N161" s="318"/>
      <c r="O161" s="319"/>
      <c r="P161" s="320"/>
      <c r="Q161" s="321"/>
    </row>
    <row r="162" spans="1:17" ht="11.25" customHeight="1" x14ac:dyDescent="0.15">
      <c r="A162" s="309"/>
      <c r="B162" s="322" t="s">
        <v>410</v>
      </c>
      <c r="C162" s="12" t="s">
        <v>134</v>
      </c>
      <c r="D162" s="14">
        <v>0</v>
      </c>
      <c r="E162" s="13">
        <v>0</v>
      </c>
      <c r="F162" s="310"/>
      <c r="G162" s="311"/>
      <c r="H162" s="312"/>
      <c r="I162" s="313"/>
      <c r="J162" s="314"/>
      <c r="K162" s="315"/>
      <c r="L162" s="316"/>
      <c r="M162" s="317"/>
      <c r="N162" s="318"/>
      <c r="O162" s="319"/>
      <c r="P162" s="320"/>
      <c r="Q162" s="321"/>
    </row>
    <row r="163" spans="1:17" ht="11.25" customHeight="1" x14ac:dyDescent="0.15">
      <c r="A163" s="309"/>
      <c r="B163" s="322" t="s">
        <v>411</v>
      </c>
      <c r="C163" s="12" t="s">
        <v>141</v>
      </c>
      <c r="D163" s="14">
        <v>0.24</v>
      </c>
      <c r="E163" s="13">
        <v>343444</v>
      </c>
      <c r="F163" s="310"/>
      <c r="G163" s="311"/>
      <c r="H163" s="312"/>
      <c r="I163" s="313"/>
      <c r="J163" s="314"/>
      <c r="K163" s="315"/>
      <c r="L163" s="316"/>
      <c r="M163" s="317"/>
      <c r="N163" s="318"/>
      <c r="O163" s="319"/>
      <c r="P163" s="320"/>
      <c r="Q163" s="321"/>
    </row>
    <row r="164" spans="1:17" ht="11.25" customHeight="1" x14ac:dyDescent="0.15">
      <c r="A164" s="309"/>
      <c r="B164" s="322" t="s">
        <v>413</v>
      </c>
      <c r="C164" s="12" t="s">
        <v>142</v>
      </c>
      <c r="D164" s="14">
        <v>0.76</v>
      </c>
      <c r="E164" s="13">
        <v>112812</v>
      </c>
      <c r="F164" s="310"/>
      <c r="G164" s="311"/>
      <c r="H164" s="312"/>
      <c r="I164" s="313"/>
      <c r="J164" s="314"/>
      <c r="K164" s="315"/>
      <c r="L164" s="316"/>
      <c r="M164" s="317"/>
      <c r="N164" s="318"/>
      <c r="O164" s="319"/>
      <c r="P164" s="320"/>
      <c r="Q164" s="321"/>
    </row>
    <row r="165" spans="1:17" ht="11.25" customHeight="1" x14ac:dyDescent="0.15">
      <c r="A165" s="309"/>
      <c r="B165" s="322" t="s">
        <v>415</v>
      </c>
      <c r="C165" s="12" t="s">
        <v>135</v>
      </c>
      <c r="D165" s="14">
        <v>0.1</v>
      </c>
      <c r="E165" s="13">
        <v>151380</v>
      </c>
      <c r="F165" s="310"/>
      <c r="G165" s="311"/>
      <c r="H165" s="312"/>
      <c r="I165" s="313"/>
      <c r="J165" s="314"/>
      <c r="K165" s="315"/>
      <c r="L165" s="316"/>
      <c r="M165" s="317"/>
      <c r="N165" s="318"/>
      <c r="O165" s="319"/>
      <c r="P165" s="320"/>
      <c r="Q165" s="321"/>
    </row>
    <row r="166" spans="1:17" ht="11.25" customHeight="1" x14ac:dyDescent="0.15">
      <c r="A166" s="309"/>
      <c r="B166" s="322" t="s">
        <v>417</v>
      </c>
      <c r="C166" s="12" t="s">
        <v>136</v>
      </c>
      <c r="D166" s="14">
        <v>3</v>
      </c>
      <c r="E166" s="13">
        <v>57114</v>
      </c>
      <c r="F166" s="310"/>
      <c r="G166" s="311"/>
      <c r="H166" s="312"/>
      <c r="I166" s="313"/>
      <c r="J166" s="314"/>
      <c r="K166" s="315"/>
      <c r="L166" s="316"/>
      <c r="M166" s="317"/>
      <c r="N166" s="318"/>
      <c r="O166" s="319"/>
      <c r="P166" s="320"/>
      <c r="Q166" s="321"/>
    </row>
    <row r="167" spans="1:17" ht="11.25" customHeight="1" x14ac:dyDescent="0.15">
      <c r="A167" s="337"/>
      <c r="B167" s="322" t="s">
        <v>418</v>
      </c>
      <c r="C167" s="12" t="s">
        <v>137</v>
      </c>
      <c r="D167" s="14">
        <v>3.95</v>
      </c>
      <c r="E167" s="13">
        <v>77204</v>
      </c>
      <c r="F167" s="310"/>
      <c r="G167" s="311"/>
      <c r="H167" s="312"/>
      <c r="I167" s="313"/>
      <c r="J167" s="314"/>
      <c r="K167" s="315"/>
      <c r="L167" s="316"/>
      <c r="M167" s="317"/>
      <c r="N167" s="318"/>
      <c r="O167" s="319"/>
      <c r="P167" s="320"/>
      <c r="Q167" s="321"/>
    </row>
    <row r="168" spans="1:17" ht="11.25" customHeight="1" x14ac:dyDescent="0.15">
      <c r="A168" s="337"/>
      <c r="B168" s="322" t="s">
        <v>423</v>
      </c>
      <c r="C168" s="12" t="s">
        <v>145</v>
      </c>
      <c r="D168" s="14">
        <v>1</v>
      </c>
      <c r="E168" s="13">
        <v>68169</v>
      </c>
      <c r="F168" s="310"/>
      <c r="G168" s="311"/>
      <c r="H168" s="312"/>
      <c r="I168" s="313"/>
      <c r="J168" s="314"/>
      <c r="K168" s="315"/>
      <c r="L168" s="316"/>
      <c r="M168" s="317"/>
      <c r="N168" s="318"/>
      <c r="O168" s="319"/>
      <c r="P168" s="320"/>
      <c r="Q168" s="321"/>
    </row>
    <row r="169" spans="1:17" ht="11.25" customHeight="1" x14ac:dyDescent="0.15">
      <c r="A169" s="337"/>
      <c r="B169" s="322" t="s">
        <v>425</v>
      </c>
      <c r="C169" s="12" t="s">
        <v>146</v>
      </c>
      <c r="D169" s="14">
        <v>1</v>
      </c>
      <c r="E169" s="13">
        <v>75994</v>
      </c>
      <c r="F169" s="310"/>
      <c r="G169" s="311"/>
      <c r="H169" s="312"/>
      <c r="I169" s="313"/>
      <c r="J169" s="314"/>
      <c r="K169" s="315"/>
      <c r="L169" s="316"/>
      <c r="M169" s="317"/>
      <c r="N169" s="318"/>
      <c r="O169" s="319"/>
      <c r="P169" s="320"/>
      <c r="Q169" s="321"/>
    </row>
    <row r="170" spans="1:17" ht="11.25" customHeight="1" x14ac:dyDescent="0.15">
      <c r="A170" s="337"/>
      <c r="B170" s="322" t="s">
        <v>433</v>
      </c>
      <c r="C170" s="12" t="s">
        <v>199</v>
      </c>
      <c r="D170" s="14">
        <v>1</v>
      </c>
      <c r="E170" s="13">
        <v>97200</v>
      </c>
      <c r="F170" s="310"/>
      <c r="G170" s="311"/>
      <c r="H170" s="312"/>
      <c r="I170" s="313"/>
      <c r="J170" s="314"/>
      <c r="K170" s="315"/>
      <c r="L170" s="316"/>
      <c r="M170" s="317"/>
      <c r="N170" s="318"/>
      <c r="O170" s="319"/>
      <c r="P170" s="320"/>
      <c r="Q170" s="321"/>
    </row>
    <row r="171" spans="1:17" ht="11.25" customHeight="1" x14ac:dyDescent="0.15">
      <c r="A171" s="309"/>
      <c r="B171" s="322" t="s">
        <v>435</v>
      </c>
      <c r="C171" s="12" t="s">
        <v>110</v>
      </c>
      <c r="D171" s="14">
        <v>3.9</v>
      </c>
      <c r="E171" s="13">
        <v>37427</v>
      </c>
      <c r="F171" s="310"/>
      <c r="G171" s="311"/>
      <c r="H171" s="312"/>
      <c r="I171" s="313"/>
      <c r="J171" s="314"/>
      <c r="K171" s="315"/>
      <c r="L171" s="316"/>
      <c r="M171" s="317"/>
      <c r="N171" s="318"/>
      <c r="O171" s="319"/>
      <c r="P171" s="320"/>
      <c r="Q171" s="321"/>
    </row>
    <row r="172" spans="1:17" ht="11.25" customHeight="1" x14ac:dyDescent="0.15">
      <c r="A172" s="309"/>
      <c r="B172" s="322" t="s">
        <v>438</v>
      </c>
      <c r="C172" s="12" t="s">
        <v>113</v>
      </c>
      <c r="D172" s="14">
        <v>1.01</v>
      </c>
      <c r="E172" s="13">
        <v>60958</v>
      </c>
      <c r="F172" s="310"/>
      <c r="G172" s="311"/>
      <c r="H172" s="312"/>
      <c r="I172" s="313"/>
      <c r="J172" s="314"/>
      <c r="K172" s="315"/>
      <c r="L172" s="316"/>
      <c r="M172" s="317"/>
      <c r="N172" s="318"/>
      <c r="O172" s="319"/>
      <c r="P172" s="320"/>
      <c r="Q172" s="321"/>
    </row>
    <row r="173" spans="1:17" ht="11.25" customHeight="1" x14ac:dyDescent="0.15">
      <c r="A173" s="309"/>
      <c r="B173" s="322" t="s">
        <v>440</v>
      </c>
      <c r="C173" s="12" t="s">
        <v>115</v>
      </c>
      <c r="D173" s="14">
        <v>1.64</v>
      </c>
      <c r="E173" s="13">
        <v>68970</v>
      </c>
      <c r="F173" s="310"/>
      <c r="G173" s="311"/>
      <c r="H173" s="312"/>
      <c r="I173" s="313"/>
      <c r="J173" s="314"/>
      <c r="K173" s="315"/>
      <c r="L173" s="316"/>
      <c r="M173" s="317"/>
      <c r="N173" s="318"/>
      <c r="O173" s="319"/>
      <c r="P173" s="320"/>
      <c r="Q173" s="321"/>
    </row>
    <row r="174" spans="1:17" ht="11.25" customHeight="1" x14ac:dyDescent="0.25">
      <c r="A174" s="264"/>
      <c r="B174" s="323"/>
      <c r="C174" s="264"/>
      <c r="D174" s="132"/>
      <c r="E174" s="98"/>
      <c r="F174" s="324">
        <f>SUM(D162:D170)</f>
        <v>11.05</v>
      </c>
      <c r="G174" s="325">
        <f>(SUMPRODUCT(D162:D170,E162:E170))</f>
        <v>900962.48</v>
      </c>
      <c r="H174" s="326">
        <f>SUM(D162:D165)</f>
        <v>1.1000000000000001</v>
      </c>
      <c r="I174" s="327">
        <f>(SUMPRODUCT(D162:D165,E162:E165))</f>
        <v>183301.68</v>
      </c>
      <c r="J174" s="328">
        <f>SUM(D166:D170)</f>
        <v>9.9499999999999993</v>
      </c>
      <c r="K174" s="329">
        <f>(SUMPRODUCT(D166:D170,E166:E170))</f>
        <v>717660.8</v>
      </c>
      <c r="L174" s="330"/>
      <c r="M174" s="331"/>
      <c r="N174" s="332">
        <f>+H174+J174+L174</f>
        <v>11.049999999999999</v>
      </c>
      <c r="O174" s="333">
        <f>+I174+K174+M174</f>
        <v>900962.48</v>
      </c>
      <c r="P174" s="334">
        <f>SUM(D171:D173)</f>
        <v>6.55</v>
      </c>
      <c r="Q174" s="335">
        <f>(SUMPRODUCT(D171:D173,E171:E173))</f>
        <v>320643.68</v>
      </c>
    </row>
    <row r="175" spans="1:17" ht="11.25" customHeight="1" x14ac:dyDescent="0.15">
      <c r="A175" s="309">
        <v>29</v>
      </c>
      <c r="B175" s="337" t="s">
        <v>299</v>
      </c>
      <c r="C175" s="338"/>
      <c r="D175" s="339"/>
      <c r="E175" s="340"/>
      <c r="F175" s="310"/>
      <c r="G175" s="311"/>
      <c r="H175" s="312"/>
      <c r="I175" s="313"/>
      <c r="J175" s="314"/>
      <c r="K175" s="315"/>
      <c r="L175" s="316"/>
      <c r="M175" s="317"/>
      <c r="N175" s="318"/>
      <c r="O175" s="319"/>
      <c r="P175" s="320"/>
      <c r="Q175" s="321"/>
    </row>
    <row r="176" spans="1:17" ht="11.25" customHeight="1" x14ac:dyDescent="0.15">
      <c r="A176" s="309"/>
      <c r="B176" s="322" t="s">
        <v>410</v>
      </c>
      <c r="C176" s="12" t="s">
        <v>134</v>
      </c>
      <c r="D176" s="14">
        <v>1.1299999999999999</v>
      </c>
      <c r="E176" s="13">
        <v>129173</v>
      </c>
      <c r="F176" s="310"/>
      <c r="G176" s="311"/>
      <c r="H176" s="312"/>
      <c r="I176" s="313"/>
      <c r="J176" s="314"/>
      <c r="K176" s="315"/>
      <c r="L176" s="316"/>
      <c r="M176" s="317"/>
      <c r="N176" s="318"/>
      <c r="O176" s="319"/>
      <c r="P176" s="320"/>
      <c r="Q176" s="321"/>
    </row>
    <row r="177" spans="1:17" ht="11.25" customHeight="1" x14ac:dyDescent="0.15">
      <c r="A177" s="309"/>
      <c r="B177" s="322" t="s">
        <v>415</v>
      </c>
      <c r="C177" s="12" t="s">
        <v>135</v>
      </c>
      <c r="D177" s="14">
        <v>0.83</v>
      </c>
      <c r="E177" s="13">
        <v>125412</v>
      </c>
      <c r="F177" s="310"/>
      <c r="G177" s="311"/>
      <c r="H177" s="312"/>
      <c r="I177" s="313"/>
      <c r="J177" s="314"/>
      <c r="K177" s="315"/>
      <c r="L177" s="316"/>
      <c r="M177" s="317"/>
      <c r="N177" s="318"/>
      <c r="O177" s="319"/>
      <c r="P177" s="320"/>
      <c r="Q177" s="321"/>
    </row>
    <row r="178" spans="1:17" ht="11.25" customHeight="1" x14ac:dyDescent="0.15">
      <c r="A178" s="309"/>
      <c r="B178" s="322" t="s">
        <v>416</v>
      </c>
      <c r="C178" s="12" t="s">
        <v>526</v>
      </c>
      <c r="D178" s="14">
        <v>3.54</v>
      </c>
      <c r="E178" s="13">
        <v>68456</v>
      </c>
      <c r="F178" s="310"/>
      <c r="G178" s="311"/>
      <c r="H178" s="312"/>
      <c r="I178" s="313"/>
      <c r="J178" s="314"/>
      <c r="K178" s="315"/>
      <c r="L178" s="316"/>
      <c r="M178" s="317"/>
      <c r="N178" s="318"/>
      <c r="O178" s="319"/>
      <c r="P178" s="320"/>
      <c r="Q178" s="321"/>
    </row>
    <row r="179" spans="1:17" ht="11.25" customHeight="1" x14ac:dyDescent="0.25">
      <c r="A179" s="264"/>
      <c r="B179" s="322" t="s">
        <v>418</v>
      </c>
      <c r="C179" s="12" t="s">
        <v>137</v>
      </c>
      <c r="D179" s="14">
        <v>14.49</v>
      </c>
      <c r="E179" s="13">
        <v>79090</v>
      </c>
      <c r="F179" s="310"/>
      <c r="G179" s="311"/>
      <c r="H179" s="312"/>
      <c r="I179" s="313"/>
      <c r="J179" s="314"/>
      <c r="K179" s="315"/>
      <c r="L179" s="316"/>
      <c r="M179" s="317"/>
      <c r="N179" s="318"/>
      <c r="O179" s="319"/>
      <c r="P179" s="320"/>
      <c r="Q179" s="321"/>
    </row>
    <row r="180" spans="1:17" ht="11.25" customHeight="1" x14ac:dyDescent="0.25">
      <c r="A180" s="264"/>
      <c r="B180" s="322" t="s">
        <v>419</v>
      </c>
      <c r="C180" s="12" t="s">
        <v>138</v>
      </c>
      <c r="D180" s="14">
        <v>0.3</v>
      </c>
      <c r="E180" s="13">
        <v>68850</v>
      </c>
      <c r="F180" s="310"/>
      <c r="G180" s="311"/>
      <c r="H180" s="312"/>
      <c r="I180" s="313"/>
      <c r="J180" s="314"/>
      <c r="K180" s="315"/>
      <c r="L180" s="316"/>
      <c r="M180" s="317"/>
      <c r="N180" s="318"/>
      <c r="O180" s="319"/>
      <c r="P180" s="320"/>
      <c r="Q180" s="321"/>
    </row>
    <row r="181" spans="1:17" ht="11.25" customHeight="1" x14ac:dyDescent="0.25">
      <c r="A181" s="264"/>
      <c r="B181" s="322" t="s">
        <v>425</v>
      </c>
      <c r="C181" s="12" t="s">
        <v>146</v>
      </c>
      <c r="D181" s="14">
        <v>0</v>
      </c>
      <c r="E181" s="13">
        <v>0</v>
      </c>
      <c r="F181" s="310"/>
      <c r="G181" s="311"/>
      <c r="H181" s="312"/>
      <c r="I181" s="313"/>
      <c r="J181" s="314"/>
      <c r="K181" s="315"/>
      <c r="L181" s="316"/>
      <c r="M181" s="317"/>
      <c r="N181" s="318"/>
      <c r="O181" s="319"/>
      <c r="P181" s="320"/>
      <c r="Q181" s="321"/>
    </row>
    <row r="182" spans="1:17" ht="11.25" customHeight="1" x14ac:dyDescent="0.15">
      <c r="A182" s="309"/>
      <c r="B182" s="322" t="s">
        <v>435</v>
      </c>
      <c r="C182" s="12" t="s">
        <v>110</v>
      </c>
      <c r="D182" s="14">
        <v>15.31</v>
      </c>
      <c r="E182" s="13">
        <v>43113</v>
      </c>
      <c r="F182" s="310"/>
      <c r="G182" s="311"/>
      <c r="H182" s="312"/>
      <c r="I182" s="313"/>
      <c r="J182" s="314"/>
      <c r="K182" s="315"/>
      <c r="L182" s="316"/>
      <c r="M182" s="317"/>
      <c r="N182" s="318"/>
      <c r="O182" s="319"/>
      <c r="P182" s="320"/>
      <c r="Q182" s="321"/>
    </row>
    <row r="183" spans="1:17" ht="11.25" customHeight="1" x14ac:dyDescent="0.15">
      <c r="A183" s="309"/>
      <c r="B183" s="322" t="s">
        <v>438</v>
      </c>
      <c r="C183" s="12" t="s">
        <v>113</v>
      </c>
      <c r="D183" s="14">
        <v>0.17</v>
      </c>
      <c r="E183" s="13">
        <v>52358</v>
      </c>
      <c r="F183" s="310"/>
      <c r="G183" s="311"/>
      <c r="H183" s="312"/>
      <c r="I183" s="313"/>
      <c r="J183" s="314"/>
      <c r="K183" s="315"/>
      <c r="L183" s="316"/>
      <c r="M183" s="317"/>
      <c r="N183" s="318"/>
      <c r="O183" s="319"/>
      <c r="P183" s="320"/>
      <c r="Q183" s="321"/>
    </row>
    <row r="184" spans="1:17" ht="11.25" customHeight="1" x14ac:dyDescent="0.25">
      <c r="A184" s="264"/>
      <c r="B184" s="323"/>
      <c r="C184" s="264"/>
      <c r="D184" s="132"/>
      <c r="E184" s="98"/>
      <c r="F184" s="324">
        <f>SUM(D176:D181)</f>
        <v>20.290000000000003</v>
      </c>
      <c r="G184" s="325">
        <f>(SUMPRODUCT(D176:D181,E176:E181))</f>
        <v>1659060.79</v>
      </c>
      <c r="H184" s="326">
        <f>SUM(D176:D177)</f>
        <v>1.96</v>
      </c>
      <c r="I184" s="327">
        <f>(SUMPRODUCT(D176:D177,E176:E177))</f>
        <v>250057.44999999998</v>
      </c>
      <c r="J184" s="328">
        <f>SUM(D178:D181)</f>
        <v>18.330000000000002</v>
      </c>
      <c r="K184" s="329">
        <f>(SUMPRODUCT(D178:D181,E178:E181))</f>
        <v>1409003.34</v>
      </c>
      <c r="L184" s="330"/>
      <c r="M184" s="331"/>
      <c r="N184" s="332">
        <f>+H184+J184+L184</f>
        <v>20.290000000000003</v>
      </c>
      <c r="O184" s="333">
        <f>+I184+K184+M184</f>
        <v>1659060.79</v>
      </c>
      <c r="P184" s="334">
        <f>SUM(D182:D183)</f>
        <v>15.48</v>
      </c>
      <c r="Q184" s="335">
        <f>(SUMPRODUCT(D182:D183,E182:E183))</f>
        <v>668960.89</v>
      </c>
    </row>
    <row r="185" spans="1:17" ht="11.25" customHeight="1" x14ac:dyDescent="0.15">
      <c r="A185" s="309">
        <v>31</v>
      </c>
      <c r="B185" s="337" t="s">
        <v>300</v>
      </c>
      <c r="C185" s="338"/>
      <c r="D185" s="339"/>
      <c r="E185" s="340"/>
      <c r="F185" s="342"/>
      <c r="G185" s="325"/>
      <c r="H185" s="312"/>
      <c r="I185" s="327"/>
      <c r="J185" s="314"/>
      <c r="K185" s="329"/>
      <c r="L185" s="316"/>
      <c r="M185" s="331"/>
      <c r="N185" s="318"/>
      <c r="O185" s="333"/>
      <c r="P185" s="320"/>
      <c r="Q185" s="335"/>
    </row>
    <row r="186" spans="1:17" ht="11.25" customHeight="1" x14ac:dyDescent="0.15">
      <c r="A186" s="309"/>
      <c r="B186" s="322" t="s">
        <v>409</v>
      </c>
      <c r="C186" s="12" t="s">
        <v>133</v>
      </c>
      <c r="D186" s="14">
        <v>0.9</v>
      </c>
      <c r="E186" s="13">
        <v>186299</v>
      </c>
      <c r="F186" s="310"/>
      <c r="G186" s="311"/>
      <c r="H186" s="312"/>
      <c r="I186" s="313"/>
      <c r="J186" s="314"/>
      <c r="K186" s="315"/>
      <c r="L186" s="316"/>
      <c r="M186" s="317"/>
      <c r="N186" s="318"/>
      <c r="O186" s="319"/>
      <c r="P186" s="320"/>
      <c r="Q186" s="321"/>
    </row>
    <row r="187" spans="1:17" ht="11.25" customHeight="1" x14ac:dyDescent="0.15">
      <c r="A187" s="309"/>
      <c r="B187" s="322" t="s">
        <v>410</v>
      </c>
      <c r="C187" s="12" t="s">
        <v>134</v>
      </c>
      <c r="D187" s="14">
        <v>63.43</v>
      </c>
      <c r="E187" s="13">
        <v>133468</v>
      </c>
      <c r="F187" s="310"/>
      <c r="G187" s="311"/>
      <c r="H187" s="312"/>
      <c r="I187" s="313"/>
      <c r="J187" s="314"/>
      <c r="K187" s="315"/>
      <c r="L187" s="316"/>
      <c r="M187" s="317"/>
      <c r="N187" s="318"/>
      <c r="O187" s="319"/>
      <c r="P187" s="320"/>
      <c r="Q187" s="321"/>
    </row>
    <row r="188" spans="1:17" ht="11.25" customHeight="1" x14ac:dyDescent="0.15">
      <c r="A188" s="309"/>
      <c r="B188" s="322" t="s">
        <v>413</v>
      </c>
      <c r="C188" s="12" t="s">
        <v>142</v>
      </c>
      <c r="D188" s="14">
        <v>0.4</v>
      </c>
      <c r="E188" s="13">
        <v>136975</v>
      </c>
      <c r="F188" s="310"/>
      <c r="G188" s="311"/>
      <c r="H188" s="312"/>
      <c r="I188" s="313"/>
      <c r="J188" s="314"/>
      <c r="K188" s="315"/>
      <c r="L188" s="316"/>
      <c r="M188" s="317"/>
      <c r="N188" s="318"/>
      <c r="O188" s="319"/>
      <c r="P188" s="320"/>
      <c r="Q188" s="321"/>
    </row>
    <row r="189" spans="1:17" ht="11.25" customHeight="1" x14ac:dyDescent="0.15">
      <c r="A189" s="309"/>
      <c r="B189" s="322" t="s">
        <v>415</v>
      </c>
      <c r="C189" s="12" t="s">
        <v>135</v>
      </c>
      <c r="D189" s="14">
        <v>34.36</v>
      </c>
      <c r="E189" s="13">
        <v>128853</v>
      </c>
      <c r="F189" s="310"/>
      <c r="G189" s="311"/>
      <c r="H189" s="312"/>
      <c r="I189" s="313"/>
      <c r="J189" s="314"/>
      <c r="K189" s="315"/>
      <c r="L189" s="316"/>
      <c r="M189" s="317"/>
      <c r="N189" s="318"/>
      <c r="O189" s="319"/>
      <c r="P189" s="320"/>
      <c r="Q189" s="321"/>
    </row>
    <row r="190" spans="1:17" ht="11.25" customHeight="1" x14ac:dyDescent="0.15">
      <c r="A190" s="309"/>
      <c r="B190" s="322" t="s">
        <v>416</v>
      </c>
      <c r="C190" s="12" t="s">
        <v>526</v>
      </c>
      <c r="D190" s="14">
        <v>0.2</v>
      </c>
      <c r="E190" s="13">
        <v>72990</v>
      </c>
      <c r="F190" s="310"/>
      <c r="G190" s="311"/>
      <c r="H190" s="312"/>
      <c r="I190" s="313"/>
      <c r="J190" s="314"/>
      <c r="K190" s="315"/>
      <c r="L190" s="316"/>
      <c r="M190" s="317"/>
      <c r="N190" s="318"/>
      <c r="O190" s="319"/>
      <c r="P190" s="320"/>
      <c r="Q190" s="321"/>
    </row>
    <row r="191" spans="1:17" ht="11.25" customHeight="1" x14ac:dyDescent="0.15">
      <c r="A191" s="309"/>
      <c r="B191" s="322" t="s">
        <v>417</v>
      </c>
      <c r="C191" s="12" t="s">
        <v>136</v>
      </c>
      <c r="D191" s="14">
        <v>2639.39</v>
      </c>
      <c r="E191" s="13">
        <v>77037</v>
      </c>
      <c r="F191" s="310"/>
      <c r="G191" s="311"/>
      <c r="H191" s="312"/>
      <c r="I191" s="313"/>
      <c r="J191" s="314"/>
      <c r="K191" s="315"/>
      <c r="L191" s="316"/>
      <c r="M191" s="317"/>
      <c r="N191" s="318"/>
      <c r="O191" s="319"/>
      <c r="P191" s="320"/>
      <c r="Q191" s="321"/>
    </row>
    <row r="192" spans="1:17" ht="11.25" customHeight="1" x14ac:dyDescent="0.15">
      <c r="A192" s="309"/>
      <c r="B192" s="322" t="s">
        <v>418</v>
      </c>
      <c r="C192" s="12" t="s">
        <v>137</v>
      </c>
      <c r="D192" s="14">
        <v>16.89</v>
      </c>
      <c r="E192" s="13">
        <v>77395</v>
      </c>
      <c r="F192" s="310"/>
      <c r="G192" s="311"/>
      <c r="H192" s="312"/>
      <c r="I192" s="313"/>
      <c r="J192" s="314"/>
      <c r="K192" s="315"/>
      <c r="L192" s="316"/>
      <c r="M192" s="317"/>
      <c r="N192" s="318"/>
      <c r="O192" s="319"/>
      <c r="P192" s="320"/>
      <c r="Q192" s="321"/>
    </row>
    <row r="193" spans="1:17" ht="11.25" customHeight="1" x14ac:dyDescent="0.15">
      <c r="A193" s="309"/>
      <c r="B193" s="322" t="s">
        <v>527</v>
      </c>
      <c r="C193" s="12" t="s">
        <v>528</v>
      </c>
      <c r="D193" s="14">
        <v>0</v>
      </c>
      <c r="E193" s="13">
        <v>0</v>
      </c>
      <c r="F193" s="310"/>
      <c r="G193" s="311"/>
      <c r="H193" s="312"/>
      <c r="I193" s="313"/>
      <c r="J193" s="314"/>
      <c r="K193" s="315"/>
      <c r="L193" s="316"/>
      <c r="M193" s="317"/>
      <c r="N193" s="318"/>
      <c r="O193" s="319"/>
      <c r="P193" s="320"/>
      <c r="Q193" s="321"/>
    </row>
    <row r="194" spans="1:17" ht="11.25" customHeight="1" x14ac:dyDescent="0.15">
      <c r="A194" s="337"/>
      <c r="B194" s="322" t="s">
        <v>419</v>
      </c>
      <c r="C194" s="12" t="s">
        <v>138</v>
      </c>
      <c r="D194" s="14">
        <v>33.049999999999997</v>
      </c>
      <c r="E194" s="13">
        <v>88009</v>
      </c>
      <c r="F194" s="342"/>
      <c r="G194" s="325"/>
      <c r="H194" s="312"/>
      <c r="I194" s="327"/>
      <c r="J194" s="314"/>
      <c r="K194" s="329"/>
      <c r="L194" s="316"/>
      <c r="M194" s="331"/>
      <c r="N194" s="318"/>
      <c r="O194" s="333"/>
      <c r="P194" s="320"/>
      <c r="Q194" s="335"/>
    </row>
    <row r="195" spans="1:17" ht="11.25" customHeight="1" x14ac:dyDescent="0.15">
      <c r="A195" s="309"/>
      <c r="B195" s="322" t="s">
        <v>420</v>
      </c>
      <c r="C195" s="12" t="s">
        <v>149</v>
      </c>
      <c r="D195" s="14">
        <v>3.48</v>
      </c>
      <c r="E195" s="13">
        <v>91913</v>
      </c>
      <c r="F195" s="342"/>
      <c r="G195" s="325"/>
      <c r="H195" s="312"/>
      <c r="I195" s="327"/>
      <c r="J195" s="314"/>
      <c r="K195" s="329"/>
      <c r="L195" s="316"/>
      <c r="M195" s="331"/>
      <c r="N195" s="318"/>
      <c r="O195" s="333"/>
      <c r="P195" s="320"/>
      <c r="Q195" s="335"/>
    </row>
    <row r="196" spans="1:17" ht="11.25" customHeight="1" x14ac:dyDescent="0.15">
      <c r="A196" s="337"/>
      <c r="B196" s="322" t="s">
        <v>421</v>
      </c>
      <c r="C196" s="12" t="s">
        <v>143</v>
      </c>
      <c r="D196" s="14">
        <v>105.87</v>
      </c>
      <c r="E196" s="13">
        <v>81918</v>
      </c>
      <c r="F196" s="342"/>
      <c r="G196" s="325"/>
      <c r="H196" s="312"/>
      <c r="I196" s="327"/>
      <c r="J196" s="314"/>
      <c r="K196" s="329"/>
      <c r="L196" s="316"/>
      <c r="M196" s="331"/>
      <c r="N196" s="318"/>
      <c r="O196" s="333"/>
      <c r="P196" s="320"/>
      <c r="Q196" s="335"/>
    </row>
    <row r="197" spans="1:17" ht="11.25" customHeight="1" x14ac:dyDescent="0.15">
      <c r="A197" s="309"/>
      <c r="B197" s="322" t="s">
        <v>424</v>
      </c>
      <c r="C197" s="12" t="s">
        <v>272</v>
      </c>
      <c r="D197" s="14">
        <v>1</v>
      </c>
      <c r="E197" s="13">
        <v>46085</v>
      </c>
      <c r="F197" s="342"/>
      <c r="G197" s="325"/>
      <c r="H197" s="312"/>
      <c r="I197" s="327"/>
      <c r="J197" s="314"/>
      <c r="K197" s="329"/>
      <c r="L197" s="316"/>
      <c r="M197" s="331"/>
      <c r="N197" s="318"/>
      <c r="O197" s="333"/>
      <c r="P197" s="320"/>
      <c r="Q197" s="335"/>
    </row>
    <row r="198" spans="1:17" ht="11.25" customHeight="1" x14ac:dyDescent="0.15">
      <c r="A198" s="309"/>
      <c r="B198" s="322" t="s">
        <v>429</v>
      </c>
      <c r="C198" s="12" t="s">
        <v>139</v>
      </c>
      <c r="D198" s="14">
        <v>0</v>
      </c>
      <c r="E198" s="13">
        <v>0</v>
      </c>
      <c r="F198" s="342"/>
      <c r="G198" s="325"/>
      <c r="H198" s="312"/>
      <c r="I198" s="327"/>
      <c r="J198" s="314"/>
      <c r="K198" s="329"/>
      <c r="L198" s="316"/>
      <c r="M198" s="331"/>
      <c r="N198" s="318"/>
      <c r="O198" s="333"/>
      <c r="P198" s="320"/>
      <c r="Q198" s="335"/>
    </row>
    <row r="199" spans="1:17" ht="11.25" customHeight="1" x14ac:dyDescent="0.15">
      <c r="A199" s="309"/>
      <c r="B199" s="322" t="s">
        <v>430</v>
      </c>
      <c r="C199" s="12" t="s">
        <v>140</v>
      </c>
      <c r="D199" s="14">
        <v>0.6</v>
      </c>
      <c r="E199" s="13">
        <v>45260</v>
      </c>
      <c r="F199" s="342"/>
      <c r="G199" s="325"/>
      <c r="H199" s="312"/>
      <c r="I199" s="327"/>
      <c r="J199" s="314"/>
      <c r="K199" s="329"/>
      <c r="L199" s="316"/>
      <c r="M199" s="331"/>
      <c r="N199" s="318"/>
      <c r="O199" s="333"/>
      <c r="P199" s="320"/>
      <c r="Q199" s="335"/>
    </row>
    <row r="200" spans="1:17" ht="11.25" customHeight="1" x14ac:dyDescent="0.15">
      <c r="A200" s="309"/>
      <c r="B200" s="322" t="s">
        <v>431</v>
      </c>
      <c r="C200" s="12" t="s">
        <v>273</v>
      </c>
      <c r="D200" s="14">
        <v>0</v>
      </c>
      <c r="E200" s="13">
        <v>0</v>
      </c>
      <c r="F200" s="310"/>
      <c r="G200" s="311"/>
      <c r="H200" s="312"/>
      <c r="I200" s="313"/>
      <c r="J200" s="314"/>
      <c r="K200" s="315"/>
      <c r="L200" s="316"/>
      <c r="M200" s="317"/>
      <c r="N200" s="318"/>
      <c r="O200" s="319"/>
      <c r="P200" s="320"/>
      <c r="Q200" s="321"/>
    </row>
    <row r="201" spans="1:17" ht="11.25" customHeight="1" x14ac:dyDescent="0.15">
      <c r="A201" s="309"/>
      <c r="B201" s="322" t="s">
        <v>434</v>
      </c>
      <c r="C201" s="12" t="s">
        <v>274</v>
      </c>
      <c r="D201" s="14">
        <v>0</v>
      </c>
      <c r="E201" s="13">
        <v>0</v>
      </c>
      <c r="F201" s="310"/>
      <c r="G201" s="311"/>
      <c r="H201" s="312"/>
      <c r="I201" s="313"/>
      <c r="J201" s="314"/>
      <c r="K201" s="315"/>
      <c r="L201" s="316"/>
      <c r="M201" s="317"/>
      <c r="N201" s="318"/>
      <c r="O201" s="319"/>
      <c r="P201" s="320"/>
      <c r="Q201" s="321"/>
    </row>
    <row r="202" spans="1:17" ht="11.25" customHeight="1" x14ac:dyDescent="0.15">
      <c r="A202" s="309"/>
      <c r="B202" s="322" t="s">
        <v>435</v>
      </c>
      <c r="C202" s="12" t="s">
        <v>110</v>
      </c>
      <c r="D202" s="14">
        <v>132.25</v>
      </c>
      <c r="E202" s="13">
        <v>45783</v>
      </c>
      <c r="F202" s="310"/>
      <c r="G202" s="311"/>
      <c r="H202" s="312"/>
      <c r="I202" s="313"/>
      <c r="J202" s="314"/>
      <c r="K202" s="315"/>
      <c r="L202" s="316"/>
      <c r="M202" s="317"/>
      <c r="N202" s="318"/>
      <c r="O202" s="319"/>
      <c r="P202" s="320"/>
      <c r="Q202" s="321"/>
    </row>
    <row r="203" spans="1:17" ht="11.25" customHeight="1" x14ac:dyDescent="0.15">
      <c r="A203" s="309"/>
      <c r="B203" s="322" t="s">
        <v>438</v>
      </c>
      <c r="C203" s="12" t="s">
        <v>113</v>
      </c>
      <c r="D203" s="14">
        <v>124.44</v>
      </c>
      <c r="E203" s="13">
        <v>52874</v>
      </c>
      <c r="F203" s="310"/>
      <c r="G203" s="311"/>
      <c r="H203" s="312"/>
      <c r="I203" s="313"/>
      <c r="J203" s="314"/>
      <c r="K203" s="315"/>
      <c r="L203" s="316"/>
      <c r="M203" s="317"/>
      <c r="N203" s="318"/>
      <c r="O203" s="319"/>
      <c r="P203" s="320"/>
      <c r="Q203" s="321"/>
    </row>
    <row r="204" spans="1:17" ht="11.25" customHeight="1" x14ac:dyDescent="0.15">
      <c r="A204" s="309"/>
      <c r="B204" s="322" t="s">
        <v>440</v>
      </c>
      <c r="C204" s="12" t="s">
        <v>115</v>
      </c>
      <c r="D204" s="14">
        <v>25.7</v>
      </c>
      <c r="E204" s="13">
        <v>69515</v>
      </c>
      <c r="F204" s="310"/>
      <c r="G204" s="311"/>
      <c r="H204" s="312"/>
      <c r="I204" s="313"/>
      <c r="J204" s="314"/>
      <c r="K204" s="315"/>
      <c r="L204" s="316"/>
      <c r="M204" s="317"/>
      <c r="N204" s="318"/>
      <c r="O204" s="319"/>
      <c r="P204" s="320"/>
      <c r="Q204" s="321"/>
    </row>
    <row r="205" spans="1:17" ht="11.25" customHeight="1" x14ac:dyDescent="0.15">
      <c r="A205" s="309"/>
      <c r="B205" s="322" t="s">
        <v>441</v>
      </c>
      <c r="C205" s="12" t="s">
        <v>116</v>
      </c>
      <c r="D205" s="14">
        <v>5.15</v>
      </c>
      <c r="E205" s="13">
        <v>57125</v>
      </c>
      <c r="F205" s="310"/>
      <c r="G205" s="311"/>
      <c r="H205" s="312"/>
      <c r="I205" s="313"/>
      <c r="J205" s="314"/>
      <c r="K205" s="315"/>
      <c r="L205" s="316"/>
      <c r="M205" s="317"/>
      <c r="N205" s="318"/>
      <c r="O205" s="319"/>
      <c r="P205" s="320"/>
      <c r="Q205" s="321"/>
    </row>
    <row r="206" spans="1:17" ht="11.25" customHeight="1" x14ac:dyDescent="0.15">
      <c r="A206" s="309"/>
      <c r="B206" s="322" t="s">
        <v>442</v>
      </c>
      <c r="C206" s="12" t="s">
        <v>117</v>
      </c>
      <c r="D206" s="14">
        <v>35.340000000000003</v>
      </c>
      <c r="E206" s="13">
        <v>67045</v>
      </c>
      <c r="F206" s="310"/>
      <c r="G206" s="311"/>
      <c r="H206" s="312"/>
      <c r="I206" s="313"/>
      <c r="J206" s="314"/>
      <c r="K206" s="315"/>
      <c r="L206" s="316"/>
      <c r="M206" s="317"/>
      <c r="N206" s="318"/>
      <c r="O206" s="319"/>
      <c r="P206" s="320"/>
      <c r="Q206" s="321"/>
    </row>
    <row r="207" spans="1:17" ht="11.25" customHeight="1" x14ac:dyDescent="0.15">
      <c r="A207" s="337"/>
      <c r="B207" s="322" t="s">
        <v>443</v>
      </c>
      <c r="C207" s="12" t="s">
        <v>109</v>
      </c>
      <c r="D207" s="14">
        <v>5.26</v>
      </c>
      <c r="E207" s="13">
        <v>115877</v>
      </c>
      <c r="F207" s="310"/>
      <c r="G207" s="311"/>
      <c r="H207" s="312"/>
      <c r="I207" s="313"/>
      <c r="J207" s="314"/>
      <c r="K207" s="315"/>
      <c r="L207" s="316"/>
      <c r="M207" s="317"/>
      <c r="N207" s="318"/>
      <c r="O207" s="319"/>
      <c r="P207" s="320"/>
      <c r="Q207" s="321"/>
    </row>
    <row r="208" spans="1:17" ht="11.25" customHeight="1" x14ac:dyDescent="0.25">
      <c r="A208" s="264"/>
      <c r="B208" s="323"/>
      <c r="C208" s="264"/>
      <c r="D208" s="132"/>
      <c r="E208" s="98"/>
      <c r="F208" s="324">
        <f>SUM(D186:D200)</f>
        <v>2899.5699999999997</v>
      </c>
      <c r="G208" s="325">
        <f>(SUMPRODUCT(D186:D200,E186:E200))</f>
        <v>229742664.74999997</v>
      </c>
      <c r="H208" s="326">
        <f>SUM(D186:D189)</f>
        <v>99.09</v>
      </c>
      <c r="I208" s="327">
        <f>(SUMPRODUCT(D186:D189,E186:E189))</f>
        <v>13115723.42</v>
      </c>
      <c r="J208" s="328">
        <f>SUM(D190:D197)</f>
        <v>2799.8799999999997</v>
      </c>
      <c r="K208" s="329">
        <f>(SUMPRODUCT(D190:D197,E190:E197))</f>
        <v>216599785.32999998</v>
      </c>
      <c r="L208" s="330">
        <f>SUM(D198:D200)</f>
        <v>0.6</v>
      </c>
      <c r="M208" s="331">
        <f>(SUMPRODUCT(D198:D200,E198:E200))</f>
        <v>27156</v>
      </c>
      <c r="N208" s="332">
        <f>+H208+J208+L208</f>
        <v>2899.5699999999997</v>
      </c>
      <c r="O208" s="333">
        <f>+I208+K208+M208</f>
        <v>229742664.74999997</v>
      </c>
      <c r="P208" s="334">
        <f>SUM(D201:D207)</f>
        <v>328.14</v>
      </c>
      <c r="Q208" s="335">
        <f>(SUMPRODUCT(D201:D207,E201:E207))</f>
        <v>17694054.879999999</v>
      </c>
    </row>
    <row r="209" spans="1:17" ht="11.25" customHeight="1" x14ac:dyDescent="0.15">
      <c r="A209" s="309">
        <v>34</v>
      </c>
      <c r="B209" s="337" t="s">
        <v>356</v>
      </c>
      <c r="C209" s="338"/>
      <c r="D209" s="339"/>
      <c r="E209" s="340"/>
      <c r="F209" s="310"/>
      <c r="G209" s="311"/>
      <c r="H209" s="312"/>
      <c r="I209" s="313"/>
      <c r="J209" s="314"/>
      <c r="K209" s="315"/>
      <c r="L209" s="316"/>
      <c r="M209" s="317"/>
      <c r="N209" s="318"/>
      <c r="O209" s="319"/>
      <c r="P209" s="320"/>
      <c r="Q209" s="321"/>
    </row>
    <row r="210" spans="1:17" ht="11.25" customHeight="1" x14ac:dyDescent="0.15">
      <c r="A210" s="309"/>
      <c r="B210" s="322" t="s">
        <v>410</v>
      </c>
      <c r="C210" s="12" t="s">
        <v>134</v>
      </c>
      <c r="D210" s="14">
        <v>14.62</v>
      </c>
      <c r="E210" s="13">
        <v>133794</v>
      </c>
      <c r="F210" s="342"/>
      <c r="G210" s="325"/>
      <c r="H210" s="312"/>
      <c r="I210" s="327"/>
      <c r="J210" s="314"/>
      <c r="K210" s="329"/>
      <c r="L210" s="316"/>
      <c r="M210" s="331"/>
      <c r="N210" s="318"/>
      <c r="O210" s="333"/>
      <c r="P210" s="320"/>
      <c r="Q210" s="335"/>
    </row>
    <row r="211" spans="1:17" ht="11.25" customHeight="1" x14ac:dyDescent="0.15">
      <c r="A211" s="309"/>
      <c r="B211" s="322" t="s">
        <v>413</v>
      </c>
      <c r="C211" s="12" t="s">
        <v>142</v>
      </c>
      <c r="D211" s="14">
        <v>0.1</v>
      </c>
      <c r="E211" s="13">
        <v>136980</v>
      </c>
      <c r="F211" s="342"/>
      <c r="G211" s="325"/>
      <c r="H211" s="312"/>
      <c r="I211" s="327"/>
      <c r="J211" s="314"/>
      <c r="K211" s="329"/>
      <c r="L211" s="316"/>
      <c r="M211" s="331"/>
      <c r="N211" s="318"/>
      <c r="O211" s="333"/>
      <c r="P211" s="320"/>
      <c r="Q211" s="335"/>
    </row>
    <row r="212" spans="1:17" ht="11.25" customHeight="1" x14ac:dyDescent="0.15">
      <c r="A212" s="309"/>
      <c r="B212" s="322" t="s">
        <v>415</v>
      </c>
      <c r="C212" s="12" t="s">
        <v>135</v>
      </c>
      <c r="D212" s="14">
        <v>7.27</v>
      </c>
      <c r="E212" s="13">
        <v>129657</v>
      </c>
      <c r="F212" s="342"/>
      <c r="G212" s="325"/>
      <c r="H212" s="312"/>
      <c r="I212" s="327"/>
      <c r="J212" s="314"/>
      <c r="K212" s="329"/>
      <c r="L212" s="316"/>
      <c r="M212" s="331"/>
      <c r="N212" s="318"/>
      <c r="O212" s="333"/>
      <c r="P212" s="320"/>
      <c r="Q212" s="335"/>
    </row>
    <row r="213" spans="1:17" ht="11.25" customHeight="1" x14ac:dyDescent="0.15">
      <c r="A213" s="309"/>
      <c r="B213" s="322" t="s">
        <v>416</v>
      </c>
      <c r="C213" s="12" t="s">
        <v>526</v>
      </c>
      <c r="D213" s="14">
        <v>12.29</v>
      </c>
      <c r="E213" s="13">
        <v>88359</v>
      </c>
      <c r="F213" s="342"/>
      <c r="G213" s="325"/>
      <c r="H213" s="312"/>
      <c r="I213" s="327"/>
      <c r="J213" s="314"/>
      <c r="K213" s="329"/>
      <c r="L213" s="316"/>
      <c r="M213" s="331"/>
      <c r="N213" s="318"/>
      <c r="O213" s="333"/>
      <c r="P213" s="320"/>
      <c r="Q213" s="335"/>
    </row>
    <row r="214" spans="1:17" ht="11.25" customHeight="1" x14ac:dyDescent="0.15">
      <c r="A214" s="309"/>
      <c r="B214" s="322" t="s">
        <v>417</v>
      </c>
      <c r="C214" s="12" t="s">
        <v>136</v>
      </c>
      <c r="D214" s="14">
        <v>466.3</v>
      </c>
      <c r="E214" s="13">
        <v>79370</v>
      </c>
      <c r="F214" s="342"/>
      <c r="G214" s="325"/>
      <c r="H214" s="312"/>
      <c r="I214" s="327"/>
      <c r="J214" s="314"/>
      <c r="K214" s="329"/>
      <c r="L214" s="316"/>
      <c r="M214" s="331"/>
      <c r="N214" s="318"/>
      <c r="O214" s="333"/>
      <c r="P214" s="320"/>
      <c r="Q214" s="335"/>
    </row>
    <row r="215" spans="1:17" ht="11.25" customHeight="1" x14ac:dyDescent="0.15">
      <c r="A215" s="309"/>
      <c r="B215" s="322" t="s">
        <v>418</v>
      </c>
      <c r="C215" s="12" t="s">
        <v>137</v>
      </c>
      <c r="D215" s="14">
        <v>3.47</v>
      </c>
      <c r="E215" s="13">
        <v>81202</v>
      </c>
      <c r="F215" s="342"/>
      <c r="G215" s="325"/>
      <c r="H215" s="312"/>
      <c r="I215" s="327"/>
      <c r="J215" s="314"/>
      <c r="K215" s="329"/>
      <c r="L215" s="316"/>
      <c r="M215" s="331"/>
      <c r="N215" s="318"/>
      <c r="O215" s="333"/>
      <c r="P215" s="320"/>
      <c r="Q215" s="335"/>
    </row>
    <row r="216" spans="1:17" ht="11.25" customHeight="1" x14ac:dyDescent="0.25">
      <c r="A216" s="264"/>
      <c r="B216" s="322" t="s">
        <v>527</v>
      </c>
      <c r="C216" s="12" t="s">
        <v>528</v>
      </c>
      <c r="D216" s="14">
        <v>0.38</v>
      </c>
      <c r="E216" s="13">
        <v>70947</v>
      </c>
      <c r="F216" s="310"/>
      <c r="G216" s="311"/>
      <c r="H216" s="312"/>
      <c r="I216" s="313"/>
      <c r="J216" s="314"/>
      <c r="K216" s="315"/>
      <c r="L216" s="316"/>
      <c r="M216" s="317"/>
      <c r="N216" s="318"/>
      <c r="O216" s="319"/>
      <c r="P216" s="320"/>
      <c r="Q216" s="321"/>
    </row>
    <row r="217" spans="1:17" ht="11.25" customHeight="1" x14ac:dyDescent="0.15">
      <c r="A217" s="309"/>
      <c r="B217" s="322" t="s">
        <v>419</v>
      </c>
      <c r="C217" s="12" t="s">
        <v>138</v>
      </c>
      <c r="D217" s="14">
        <v>7.44</v>
      </c>
      <c r="E217" s="13">
        <v>93058</v>
      </c>
      <c r="F217" s="342"/>
      <c r="G217" s="325"/>
      <c r="H217" s="312"/>
      <c r="I217" s="327"/>
      <c r="J217" s="314"/>
      <c r="K217" s="329"/>
      <c r="L217" s="316"/>
      <c r="M217" s="331"/>
      <c r="N217" s="318"/>
      <c r="O217" s="333"/>
      <c r="P217" s="320"/>
      <c r="Q217" s="335"/>
    </row>
    <row r="218" spans="1:17" ht="11.25" customHeight="1" x14ac:dyDescent="0.15">
      <c r="A218" s="309"/>
      <c r="B218" s="322" t="s">
        <v>420</v>
      </c>
      <c r="C218" s="12" t="s">
        <v>149</v>
      </c>
      <c r="D218" s="14">
        <v>1.4</v>
      </c>
      <c r="E218" s="13">
        <v>92378</v>
      </c>
      <c r="F218" s="342"/>
      <c r="G218" s="325"/>
      <c r="H218" s="312"/>
      <c r="I218" s="327"/>
      <c r="J218" s="314"/>
      <c r="K218" s="329"/>
      <c r="L218" s="316"/>
      <c r="M218" s="331"/>
      <c r="N218" s="318"/>
      <c r="O218" s="333"/>
      <c r="P218" s="320"/>
      <c r="Q218" s="335"/>
    </row>
    <row r="219" spans="1:17" ht="11.25" customHeight="1" x14ac:dyDescent="0.15">
      <c r="A219" s="309"/>
      <c r="B219" s="322" t="s">
        <v>421</v>
      </c>
      <c r="C219" s="12" t="s">
        <v>143</v>
      </c>
      <c r="D219" s="14">
        <v>15.84</v>
      </c>
      <c r="E219" s="13">
        <v>79956</v>
      </c>
      <c r="F219" s="342"/>
      <c r="G219" s="325"/>
      <c r="H219" s="312"/>
      <c r="I219" s="327"/>
      <c r="J219" s="314"/>
      <c r="K219" s="329"/>
      <c r="L219" s="316"/>
      <c r="M219" s="331"/>
      <c r="N219" s="318"/>
      <c r="O219" s="333"/>
      <c r="P219" s="320"/>
      <c r="Q219" s="335"/>
    </row>
    <row r="220" spans="1:17" ht="11.25" customHeight="1" x14ac:dyDescent="0.15">
      <c r="A220" s="309"/>
      <c r="B220" s="322" t="s">
        <v>423</v>
      </c>
      <c r="C220" s="12" t="s">
        <v>145</v>
      </c>
      <c r="D220" s="14">
        <v>0.1</v>
      </c>
      <c r="E220" s="13">
        <v>52040</v>
      </c>
      <c r="F220" s="342"/>
      <c r="G220" s="325"/>
      <c r="H220" s="312"/>
      <c r="I220" s="327"/>
      <c r="J220" s="314"/>
      <c r="K220" s="329"/>
      <c r="L220" s="316"/>
      <c r="M220" s="331"/>
      <c r="N220" s="318"/>
      <c r="O220" s="333"/>
      <c r="P220" s="320"/>
      <c r="Q220" s="335"/>
    </row>
    <row r="221" spans="1:17" ht="11.25" customHeight="1" x14ac:dyDescent="0.15">
      <c r="A221" s="309"/>
      <c r="B221" s="322" t="s">
        <v>435</v>
      </c>
      <c r="C221" s="12" t="s">
        <v>110</v>
      </c>
      <c r="D221" s="14">
        <v>4.26</v>
      </c>
      <c r="E221" s="13">
        <v>50308</v>
      </c>
      <c r="F221" s="342"/>
      <c r="G221" s="325"/>
      <c r="H221" s="312"/>
      <c r="I221" s="327"/>
      <c r="J221" s="314"/>
      <c r="K221" s="329"/>
      <c r="L221" s="316"/>
      <c r="M221" s="331"/>
      <c r="N221" s="318"/>
      <c r="O221" s="333"/>
      <c r="P221" s="320"/>
      <c r="Q221" s="335"/>
    </row>
    <row r="222" spans="1:17" ht="11.25" customHeight="1" x14ac:dyDescent="0.15">
      <c r="A222" s="309"/>
      <c r="B222" s="322" t="s">
        <v>438</v>
      </c>
      <c r="C222" s="12" t="s">
        <v>113</v>
      </c>
      <c r="D222" s="14">
        <v>17.75</v>
      </c>
      <c r="E222" s="13">
        <v>55658</v>
      </c>
      <c r="F222" s="342"/>
      <c r="G222" s="325"/>
      <c r="H222" s="312"/>
      <c r="I222" s="327"/>
      <c r="J222" s="314"/>
      <c r="K222" s="329"/>
      <c r="L222" s="316"/>
      <c r="M222" s="331"/>
      <c r="N222" s="318"/>
      <c r="O222" s="333"/>
      <c r="P222" s="320"/>
      <c r="Q222" s="335"/>
    </row>
    <row r="223" spans="1:17" ht="11.25" customHeight="1" x14ac:dyDescent="0.15">
      <c r="A223" s="309"/>
      <c r="B223" s="322" t="s">
        <v>440</v>
      </c>
      <c r="C223" s="12" t="s">
        <v>115</v>
      </c>
      <c r="D223" s="14">
        <v>1.74</v>
      </c>
      <c r="E223" s="13">
        <v>60298</v>
      </c>
      <c r="F223" s="342"/>
      <c r="G223" s="325"/>
      <c r="H223" s="312"/>
      <c r="I223" s="327"/>
      <c r="J223" s="314"/>
      <c r="K223" s="329"/>
      <c r="L223" s="316"/>
      <c r="M223" s="331"/>
      <c r="N223" s="318"/>
      <c r="O223" s="333"/>
      <c r="P223" s="320"/>
      <c r="Q223" s="335"/>
    </row>
    <row r="224" spans="1:17" ht="11.25" customHeight="1" x14ac:dyDescent="0.15">
      <c r="A224" s="309"/>
      <c r="B224" s="322" t="s">
        <v>442</v>
      </c>
      <c r="C224" s="12" t="s">
        <v>117</v>
      </c>
      <c r="D224" s="14">
        <v>9.6</v>
      </c>
      <c r="E224" s="13">
        <v>61971</v>
      </c>
      <c r="F224" s="342"/>
      <c r="G224" s="325"/>
      <c r="H224" s="312"/>
      <c r="I224" s="327"/>
      <c r="J224" s="314"/>
      <c r="K224" s="329"/>
      <c r="L224" s="316"/>
      <c r="M224" s="331"/>
      <c r="N224" s="318"/>
      <c r="O224" s="333"/>
      <c r="P224" s="320"/>
      <c r="Q224" s="335"/>
    </row>
    <row r="225" spans="1:17" ht="11.25" customHeight="1" x14ac:dyDescent="0.15">
      <c r="A225" s="309"/>
      <c r="B225" s="322" t="s">
        <v>443</v>
      </c>
      <c r="C225" s="12" t="s">
        <v>109</v>
      </c>
      <c r="D225" s="14">
        <v>0.87</v>
      </c>
      <c r="E225" s="13">
        <v>126146</v>
      </c>
      <c r="F225" s="342"/>
      <c r="G225" s="325"/>
      <c r="H225" s="312"/>
      <c r="I225" s="327"/>
      <c r="J225" s="314"/>
      <c r="K225" s="329"/>
      <c r="L225" s="316"/>
      <c r="M225" s="331"/>
      <c r="N225" s="318"/>
      <c r="O225" s="333"/>
      <c r="P225" s="320"/>
      <c r="Q225" s="335"/>
    </row>
    <row r="226" spans="1:17" s="214" customFormat="1" ht="11.25" customHeight="1" x14ac:dyDescent="0.25">
      <c r="A226" s="448"/>
      <c r="B226" s="323"/>
      <c r="C226" s="448"/>
      <c r="D226" s="449"/>
      <c r="E226" s="450"/>
      <c r="F226" s="451">
        <f>SUM(D210:D220)</f>
        <v>529.21000000000015</v>
      </c>
      <c r="G226" s="452">
        <f>(SUMPRODUCT(D210:D220,E210:E220))</f>
        <v>43410654.340000004</v>
      </c>
      <c r="H226" s="453">
        <f>SUM(D210:D212)</f>
        <v>21.99</v>
      </c>
      <c r="I226" s="454">
        <f>(SUMPRODUCT(D210:D212,E210:E212))</f>
        <v>2912372.67</v>
      </c>
      <c r="J226" s="455">
        <f>SUM(D213:D220)</f>
        <v>507.22</v>
      </c>
      <c r="K226" s="456">
        <f>(SUMPRODUCT(D213:D220,E213:E220))</f>
        <v>40498281.670000002</v>
      </c>
      <c r="L226" s="457"/>
      <c r="M226" s="458"/>
      <c r="N226" s="459">
        <f>+H226+J226+L226</f>
        <v>529.21</v>
      </c>
      <c r="O226" s="460">
        <f>+I226+K226+M226</f>
        <v>43410654.340000004</v>
      </c>
      <c r="P226" s="461">
        <f>SUM(D221:D225)</f>
        <v>34.219999999999992</v>
      </c>
      <c r="Q226" s="462">
        <f>(SUMPRODUCT(D221:D225,E221:E225))</f>
        <v>2011828.7200000002</v>
      </c>
    </row>
    <row r="227" spans="1:17" ht="11.25" customHeight="1" x14ac:dyDescent="0.15">
      <c r="A227" s="309">
        <v>38</v>
      </c>
      <c r="B227" s="337" t="s">
        <v>301</v>
      </c>
      <c r="C227" s="12"/>
      <c r="D227" s="14"/>
      <c r="E227" s="340"/>
      <c r="F227" s="310"/>
      <c r="G227" s="311"/>
      <c r="H227" s="312"/>
      <c r="I227" s="313"/>
      <c r="J227" s="314"/>
      <c r="K227" s="315"/>
      <c r="L227" s="316"/>
      <c r="M227" s="317"/>
      <c r="N227" s="318"/>
      <c r="O227" s="319"/>
      <c r="P227" s="320"/>
      <c r="Q227" s="321"/>
    </row>
    <row r="228" spans="1:17" ht="11.25" customHeight="1" x14ac:dyDescent="0.15">
      <c r="A228" s="337"/>
      <c r="B228" s="322" t="s">
        <v>417</v>
      </c>
      <c r="C228" s="12" t="s">
        <v>136</v>
      </c>
      <c r="D228" s="14">
        <v>0.56999999999999995</v>
      </c>
      <c r="E228" s="13">
        <v>81061</v>
      </c>
      <c r="F228" s="342"/>
      <c r="G228" s="325"/>
      <c r="H228" s="312"/>
      <c r="I228" s="327"/>
      <c r="J228" s="314"/>
      <c r="K228" s="329"/>
      <c r="L228" s="316"/>
      <c r="M228" s="331"/>
      <c r="N228" s="318"/>
      <c r="O228" s="333"/>
      <c r="P228" s="320"/>
      <c r="Q228" s="335"/>
    </row>
    <row r="229" spans="1:17" ht="11.25" customHeight="1" x14ac:dyDescent="0.15">
      <c r="A229" s="337"/>
      <c r="B229" s="322" t="s">
        <v>419</v>
      </c>
      <c r="C229" s="12" t="s">
        <v>138</v>
      </c>
      <c r="D229" s="14">
        <v>2</v>
      </c>
      <c r="E229" s="13">
        <v>81357</v>
      </c>
      <c r="F229" s="342"/>
      <c r="G229" s="325"/>
      <c r="H229" s="312"/>
      <c r="I229" s="327"/>
      <c r="J229" s="314"/>
      <c r="K229" s="329"/>
      <c r="L229" s="316"/>
      <c r="M229" s="331"/>
      <c r="N229" s="318"/>
      <c r="O229" s="333"/>
      <c r="P229" s="320"/>
      <c r="Q229" s="335"/>
    </row>
    <row r="230" spans="1:17" ht="11.25" customHeight="1" x14ac:dyDescent="0.15">
      <c r="A230" s="309"/>
      <c r="B230" s="322" t="s">
        <v>421</v>
      </c>
      <c r="C230" s="12" t="s">
        <v>143</v>
      </c>
      <c r="D230" s="14">
        <v>2.09</v>
      </c>
      <c r="E230" s="13">
        <v>92583</v>
      </c>
      <c r="F230" s="342"/>
      <c r="G230" s="325"/>
      <c r="H230" s="312"/>
      <c r="I230" s="327"/>
      <c r="J230" s="314"/>
      <c r="K230" s="329"/>
      <c r="L230" s="316"/>
      <c r="M230" s="331"/>
      <c r="N230" s="318"/>
      <c r="O230" s="333"/>
      <c r="P230" s="320"/>
      <c r="Q230" s="335"/>
    </row>
    <row r="231" spans="1:17" ht="11.25" customHeight="1" x14ac:dyDescent="0.15">
      <c r="A231" s="337"/>
      <c r="B231" s="322" t="s">
        <v>435</v>
      </c>
      <c r="C231" s="12" t="s">
        <v>110</v>
      </c>
      <c r="D231" s="14">
        <v>8.61</v>
      </c>
      <c r="E231" s="13">
        <v>53167</v>
      </c>
      <c r="F231" s="310"/>
      <c r="G231" s="311"/>
      <c r="H231" s="312"/>
      <c r="I231" s="313"/>
      <c r="J231" s="314"/>
      <c r="K231" s="315"/>
      <c r="L231" s="316"/>
      <c r="M231" s="317"/>
      <c r="N231" s="318"/>
      <c r="O231" s="319"/>
      <c r="P231" s="320"/>
      <c r="Q231" s="321"/>
    </row>
    <row r="232" spans="1:17" ht="11.25" customHeight="1" x14ac:dyDescent="0.15">
      <c r="A232" s="337"/>
      <c r="B232" s="322" t="s">
        <v>438</v>
      </c>
      <c r="C232" s="12" t="s">
        <v>113</v>
      </c>
      <c r="D232" s="14">
        <v>1.43</v>
      </c>
      <c r="E232" s="13">
        <v>51023</v>
      </c>
      <c r="F232" s="310"/>
      <c r="G232" s="311"/>
      <c r="H232" s="312"/>
      <c r="I232" s="313"/>
      <c r="J232" s="314"/>
      <c r="K232" s="315"/>
      <c r="L232" s="316"/>
      <c r="M232" s="317"/>
      <c r="N232" s="318"/>
      <c r="O232" s="319"/>
      <c r="P232" s="320"/>
      <c r="Q232" s="321"/>
    </row>
    <row r="233" spans="1:17" ht="11.25" customHeight="1" x14ac:dyDescent="0.15">
      <c r="A233" s="309"/>
      <c r="B233" s="322" t="s">
        <v>442</v>
      </c>
      <c r="C233" s="12" t="s">
        <v>117</v>
      </c>
      <c r="D233" s="14">
        <v>0.76</v>
      </c>
      <c r="E233" s="13">
        <v>60288</v>
      </c>
      <c r="F233" s="310"/>
      <c r="G233" s="311"/>
      <c r="H233" s="312"/>
      <c r="I233" s="313"/>
      <c r="J233" s="314"/>
      <c r="K233" s="315"/>
      <c r="L233" s="316"/>
      <c r="M233" s="317"/>
      <c r="N233" s="318"/>
      <c r="O233" s="319"/>
      <c r="P233" s="320"/>
      <c r="Q233" s="321"/>
    </row>
    <row r="234" spans="1:17" s="214" customFormat="1" ht="11.25" customHeight="1" x14ac:dyDescent="0.25">
      <c r="A234" s="448"/>
      <c r="B234" s="323"/>
      <c r="C234" s="448"/>
      <c r="D234" s="449"/>
      <c r="E234" s="450"/>
      <c r="F234" s="451">
        <f>SUM(D228:D230)</f>
        <v>4.66</v>
      </c>
      <c r="G234" s="452">
        <f>(SUMPRODUCT(D228:D230,E228:E230))</f>
        <v>402417.24</v>
      </c>
      <c r="H234" s="453"/>
      <c r="I234" s="454"/>
      <c r="J234" s="455">
        <f>SUM(D228:D230)</f>
        <v>4.66</v>
      </c>
      <c r="K234" s="456">
        <f>(SUMPRODUCT(D228:D230,E228:E230))</f>
        <v>402417.24</v>
      </c>
      <c r="L234" s="457"/>
      <c r="M234" s="458"/>
      <c r="N234" s="459">
        <f>+H234+J234+L234</f>
        <v>4.66</v>
      </c>
      <c r="O234" s="460">
        <f>+I234+K234+M234</f>
        <v>402417.24</v>
      </c>
      <c r="P234" s="461">
        <f>SUM(D231:D233)</f>
        <v>10.799999999999999</v>
      </c>
      <c r="Q234" s="462">
        <f>(SUMPRODUCT(D231:D233,E231:E233))</f>
        <v>576549.64</v>
      </c>
    </row>
    <row r="235" spans="1:17" ht="11.25" customHeight="1" x14ac:dyDescent="0.15">
      <c r="A235" s="309">
        <v>39</v>
      </c>
      <c r="B235" s="337" t="s">
        <v>302</v>
      </c>
      <c r="C235" s="338"/>
      <c r="D235" s="339"/>
      <c r="E235" s="340"/>
      <c r="F235" s="310"/>
      <c r="G235" s="311"/>
      <c r="H235" s="312"/>
      <c r="I235" s="313"/>
      <c r="J235" s="314"/>
      <c r="K235" s="315"/>
      <c r="L235" s="316"/>
      <c r="M235" s="317"/>
      <c r="N235" s="318"/>
      <c r="O235" s="319"/>
      <c r="P235" s="320"/>
      <c r="Q235" s="321"/>
    </row>
    <row r="236" spans="1:17" ht="11.25" customHeight="1" x14ac:dyDescent="0.15">
      <c r="A236" s="309"/>
      <c r="B236" s="322" t="s">
        <v>438</v>
      </c>
      <c r="C236" s="12" t="s">
        <v>113</v>
      </c>
      <c r="D236" s="14">
        <v>0.41</v>
      </c>
      <c r="E236" s="13">
        <v>47251</v>
      </c>
      <c r="F236" s="310"/>
      <c r="G236" s="311"/>
      <c r="H236" s="312"/>
      <c r="I236" s="313"/>
      <c r="J236" s="314"/>
      <c r="K236" s="315"/>
      <c r="L236" s="316"/>
      <c r="M236" s="317"/>
      <c r="N236" s="318"/>
      <c r="O236" s="319"/>
      <c r="P236" s="320"/>
      <c r="Q236" s="321"/>
    </row>
    <row r="237" spans="1:17" ht="11.25" customHeight="1" x14ac:dyDescent="0.15">
      <c r="A237" s="309"/>
      <c r="B237" s="322" t="s">
        <v>440</v>
      </c>
      <c r="C237" s="12" t="s">
        <v>115</v>
      </c>
      <c r="D237" s="14">
        <v>0</v>
      </c>
      <c r="E237" s="13">
        <v>0</v>
      </c>
      <c r="F237" s="310"/>
      <c r="G237" s="311"/>
      <c r="H237" s="312"/>
      <c r="I237" s="313"/>
      <c r="J237" s="314"/>
      <c r="K237" s="315"/>
      <c r="L237" s="316"/>
      <c r="M237" s="317"/>
      <c r="N237" s="318"/>
      <c r="O237" s="319"/>
      <c r="P237" s="320"/>
      <c r="Q237" s="321"/>
    </row>
    <row r="238" spans="1:17" ht="11.25" customHeight="1" x14ac:dyDescent="0.15">
      <c r="A238" s="309"/>
      <c r="B238" s="322" t="s">
        <v>443</v>
      </c>
      <c r="C238" s="12" t="s">
        <v>109</v>
      </c>
      <c r="D238" s="14">
        <v>1.85</v>
      </c>
      <c r="E238" s="13">
        <v>80389</v>
      </c>
      <c r="F238" s="310"/>
      <c r="G238" s="311"/>
      <c r="H238" s="312"/>
      <c r="I238" s="313"/>
      <c r="J238" s="314"/>
      <c r="K238" s="315"/>
      <c r="L238" s="316"/>
      <c r="M238" s="317"/>
      <c r="N238" s="318"/>
      <c r="O238" s="319"/>
      <c r="P238" s="320"/>
      <c r="Q238" s="321"/>
    </row>
    <row r="239" spans="1:17" ht="11.25" customHeight="1" x14ac:dyDescent="0.25">
      <c r="A239" s="264"/>
      <c r="B239" s="323"/>
      <c r="C239" s="264"/>
      <c r="D239" s="132"/>
      <c r="E239" s="98"/>
      <c r="F239" s="324"/>
      <c r="G239" s="325"/>
      <c r="H239" s="326"/>
      <c r="I239" s="327"/>
      <c r="J239" s="328"/>
      <c r="K239" s="329"/>
      <c r="L239" s="330"/>
      <c r="M239" s="331"/>
      <c r="N239" s="332">
        <f>+H239+J239+L239</f>
        <v>0</v>
      </c>
      <c r="O239" s="333">
        <f>+I239+K239+M239</f>
        <v>0</v>
      </c>
      <c r="P239" s="334">
        <f>SUM(D236:D238)</f>
        <v>2.2600000000000002</v>
      </c>
      <c r="Q239" s="335">
        <f>(SUMPRODUCT(D236:D238,E236:E238))</f>
        <v>168092.56</v>
      </c>
    </row>
    <row r="240" spans="1:17" ht="11.25" customHeight="1" x14ac:dyDescent="0.15">
      <c r="A240" s="309">
        <v>45</v>
      </c>
      <c r="B240" s="337" t="s">
        <v>303</v>
      </c>
      <c r="C240" s="338"/>
      <c r="D240" s="339"/>
      <c r="E240" s="340"/>
      <c r="F240" s="310"/>
      <c r="G240" s="311"/>
      <c r="H240" s="312"/>
      <c r="I240" s="313"/>
      <c r="J240" s="314"/>
      <c r="K240" s="315"/>
      <c r="L240" s="316"/>
      <c r="M240" s="317"/>
      <c r="N240" s="318"/>
      <c r="O240" s="319"/>
      <c r="P240" s="320"/>
      <c r="Q240" s="321"/>
    </row>
    <row r="241" spans="1:17" ht="11.25" customHeight="1" x14ac:dyDescent="0.15">
      <c r="A241" s="309"/>
      <c r="B241" s="322" t="s">
        <v>410</v>
      </c>
      <c r="C241" s="12" t="s">
        <v>134</v>
      </c>
      <c r="D241" s="14">
        <v>1</v>
      </c>
      <c r="E241" s="13">
        <v>94663</v>
      </c>
      <c r="F241" s="342"/>
      <c r="G241" s="325"/>
      <c r="H241" s="312"/>
      <c r="I241" s="327"/>
      <c r="J241" s="314"/>
      <c r="K241" s="329"/>
      <c r="L241" s="316"/>
      <c r="M241" s="331"/>
      <c r="N241" s="318"/>
      <c r="O241" s="333"/>
      <c r="P241" s="320"/>
      <c r="Q241" s="335"/>
    </row>
    <row r="242" spans="1:17" ht="11.25" customHeight="1" x14ac:dyDescent="0.15">
      <c r="A242" s="309"/>
      <c r="B242" s="322" t="s">
        <v>413</v>
      </c>
      <c r="C242" s="12" t="s">
        <v>142</v>
      </c>
      <c r="D242" s="14">
        <v>6.17</v>
      </c>
      <c r="E242" s="13">
        <v>139294</v>
      </c>
      <c r="F242" s="310"/>
      <c r="G242" s="311"/>
      <c r="H242" s="312"/>
      <c r="I242" s="313"/>
      <c r="J242" s="314"/>
      <c r="K242" s="315"/>
      <c r="L242" s="316"/>
      <c r="M242" s="317"/>
      <c r="N242" s="318"/>
      <c r="O242" s="319"/>
      <c r="P242" s="320"/>
      <c r="Q242" s="321"/>
    </row>
    <row r="243" spans="1:17" ht="11.25" customHeight="1" x14ac:dyDescent="0.15">
      <c r="A243" s="309"/>
      <c r="B243" s="322" t="s">
        <v>414</v>
      </c>
      <c r="C243" s="12" t="s">
        <v>150</v>
      </c>
      <c r="D243" s="14">
        <v>5.67</v>
      </c>
      <c r="E243" s="13">
        <v>125334</v>
      </c>
      <c r="F243" s="310"/>
      <c r="G243" s="311"/>
      <c r="H243" s="312"/>
      <c r="I243" s="313"/>
      <c r="J243" s="314"/>
      <c r="K243" s="315"/>
      <c r="L243" s="316"/>
      <c r="M243" s="317"/>
      <c r="N243" s="318"/>
      <c r="O243" s="319"/>
      <c r="P243" s="320"/>
      <c r="Q243" s="321"/>
    </row>
    <row r="244" spans="1:17" ht="11.25" customHeight="1" x14ac:dyDescent="0.15">
      <c r="A244" s="309"/>
      <c r="B244" s="322" t="s">
        <v>415</v>
      </c>
      <c r="C244" s="12" t="s">
        <v>135</v>
      </c>
      <c r="D244" s="14">
        <v>13.2</v>
      </c>
      <c r="E244" s="13">
        <v>132257</v>
      </c>
      <c r="F244" s="310"/>
      <c r="G244" s="311"/>
      <c r="H244" s="312"/>
      <c r="I244" s="313"/>
      <c r="J244" s="314"/>
      <c r="K244" s="315"/>
      <c r="L244" s="316"/>
      <c r="M244" s="317"/>
      <c r="N244" s="318"/>
      <c r="O244" s="319"/>
      <c r="P244" s="320"/>
      <c r="Q244" s="321"/>
    </row>
    <row r="245" spans="1:17" ht="11.25" customHeight="1" x14ac:dyDescent="0.15">
      <c r="A245" s="309"/>
      <c r="B245" s="322" t="s">
        <v>417</v>
      </c>
      <c r="C245" s="12" t="s">
        <v>136</v>
      </c>
      <c r="D245" s="14">
        <v>190.58</v>
      </c>
      <c r="E245" s="13">
        <v>71078</v>
      </c>
      <c r="F245" s="310"/>
      <c r="G245" s="311"/>
      <c r="H245" s="312"/>
      <c r="I245" s="313"/>
      <c r="J245" s="314"/>
      <c r="K245" s="315"/>
      <c r="L245" s="316"/>
      <c r="M245" s="317"/>
      <c r="N245" s="318"/>
      <c r="O245" s="319"/>
      <c r="P245" s="320"/>
      <c r="Q245" s="321"/>
    </row>
    <row r="246" spans="1:17" ht="11.25" customHeight="1" x14ac:dyDescent="0.15">
      <c r="A246" s="309"/>
      <c r="B246" s="322" t="s">
        <v>418</v>
      </c>
      <c r="C246" s="12" t="s">
        <v>137</v>
      </c>
      <c r="D246" s="14">
        <v>1</v>
      </c>
      <c r="E246" s="13">
        <v>83225</v>
      </c>
      <c r="F246" s="310"/>
      <c r="G246" s="311"/>
      <c r="H246" s="312"/>
      <c r="I246" s="313"/>
      <c r="J246" s="314"/>
      <c r="K246" s="315"/>
      <c r="L246" s="316"/>
      <c r="M246" s="317"/>
      <c r="N246" s="318"/>
      <c r="O246" s="319"/>
      <c r="P246" s="320"/>
      <c r="Q246" s="321"/>
    </row>
    <row r="247" spans="1:17" ht="11.25" customHeight="1" x14ac:dyDescent="0.15">
      <c r="A247" s="309"/>
      <c r="B247" s="322" t="s">
        <v>419</v>
      </c>
      <c r="C247" s="12" t="s">
        <v>138</v>
      </c>
      <c r="D247" s="14">
        <v>2.5</v>
      </c>
      <c r="E247" s="13">
        <v>81314</v>
      </c>
      <c r="F247" s="310"/>
      <c r="G247" s="311"/>
      <c r="H247" s="312"/>
      <c r="I247" s="313"/>
      <c r="J247" s="314"/>
      <c r="K247" s="315"/>
      <c r="L247" s="316"/>
      <c r="M247" s="317"/>
      <c r="N247" s="318"/>
      <c r="O247" s="319"/>
      <c r="P247" s="320"/>
      <c r="Q247" s="321"/>
    </row>
    <row r="248" spans="1:17" ht="11.25" customHeight="1" x14ac:dyDescent="0.15">
      <c r="A248" s="309"/>
      <c r="B248" s="322" t="s">
        <v>421</v>
      </c>
      <c r="C248" s="12" t="s">
        <v>143</v>
      </c>
      <c r="D248" s="14">
        <v>1.5</v>
      </c>
      <c r="E248" s="13">
        <v>93280</v>
      </c>
      <c r="F248" s="310"/>
      <c r="G248" s="311"/>
      <c r="H248" s="312"/>
      <c r="I248" s="313"/>
      <c r="J248" s="314"/>
      <c r="K248" s="315"/>
      <c r="L248" s="316"/>
      <c r="M248" s="317"/>
      <c r="N248" s="318"/>
      <c r="O248" s="319"/>
      <c r="P248" s="320"/>
      <c r="Q248" s="321"/>
    </row>
    <row r="249" spans="1:17" ht="11.25" customHeight="1" x14ac:dyDescent="0.15">
      <c r="A249" s="309"/>
      <c r="B249" s="322" t="s">
        <v>425</v>
      </c>
      <c r="C249" s="12" t="s">
        <v>146</v>
      </c>
      <c r="D249" s="14">
        <v>0.19</v>
      </c>
      <c r="E249" s="13">
        <v>105902</v>
      </c>
      <c r="F249" s="310"/>
      <c r="G249" s="311"/>
      <c r="H249" s="312"/>
      <c r="I249" s="313"/>
      <c r="J249" s="314"/>
      <c r="K249" s="315"/>
      <c r="L249" s="316"/>
      <c r="M249" s="317"/>
      <c r="N249" s="318"/>
      <c r="O249" s="319"/>
      <c r="P249" s="320"/>
      <c r="Q249" s="321"/>
    </row>
    <row r="250" spans="1:17" ht="11.25" customHeight="1" x14ac:dyDescent="0.15">
      <c r="A250" s="309"/>
      <c r="B250" s="322" t="s">
        <v>426</v>
      </c>
      <c r="C250" s="12" t="s">
        <v>147</v>
      </c>
      <c r="D250" s="14">
        <v>0.2</v>
      </c>
      <c r="E250" s="13">
        <v>71995</v>
      </c>
      <c r="F250" s="310"/>
      <c r="G250" s="311"/>
      <c r="H250" s="312"/>
      <c r="I250" s="313"/>
      <c r="J250" s="314"/>
      <c r="K250" s="315"/>
      <c r="L250" s="316"/>
      <c r="M250" s="317"/>
      <c r="N250" s="318"/>
      <c r="O250" s="319"/>
      <c r="P250" s="320"/>
      <c r="Q250" s="321"/>
    </row>
    <row r="251" spans="1:17" ht="11.25" customHeight="1" x14ac:dyDescent="0.15">
      <c r="A251" s="309"/>
      <c r="B251" s="322" t="s">
        <v>432</v>
      </c>
      <c r="C251" s="12" t="s">
        <v>198</v>
      </c>
      <c r="D251" s="14">
        <v>3.5</v>
      </c>
      <c r="E251" s="13">
        <v>59925</v>
      </c>
      <c r="F251" s="310"/>
      <c r="G251" s="311"/>
      <c r="H251" s="312"/>
      <c r="I251" s="313"/>
      <c r="J251" s="314"/>
      <c r="K251" s="315"/>
      <c r="L251" s="316"/>
      <c r="M251" s="317"/>
      <c r="N251" s="318"/>
      <c r="O251" s="319"/>
      <c r="P251" s="320"/>
      <c r="Q251" s="321"/>
    </row>
    <row r="252" spans="1:17" ht="11.25" customHeight="1" x14ac:dyDescent="0.15">
      <c r="A252" s="309"/>
      <c r="B252" s="322" t="s">
        <v>435</v>
      </c>
      <c r="C252" s="12" t="s">
        <v>110</v>
      </c>
      <c r="D252" s="14">
        <v>12.27</v>
      </c>
      <c r="E252" s="13">
        <v>49642</v>
      </c>
      <c r="F252" s="310"/>
      <c r="G252" s="311"/>
      <c r="H252" s="312"/>
      <c r="I252" s="313"/>
      <c r="J252" s="314"/>
      <c r="K252" s="315"/>
      <c r="L252" s="316"/>
      <c r="M252" s="317"/>
      <c r="N252" s="318"/>
      <c r="O252" s="319"/>
      <c r="P252" s="320"/>
      <c r="Q252" s="321"/>
    </row>
    <row r="253" spans="1:17" ht="11.25" customHeight="1" x14ac:dyDescent="0.15">
      <c r="A253" s="309"/>
      <c r="B253" s="322" t="s">
        <v>436</v>
      </c>
      <c r="C253" s="12" t="s">
        <v>111</v>
      </c>
      <c r="D253" s="14">
        <v>0.22</v>
      </c>
      <c r="E253" s="13">
        <v>69473</v>
      </c>
      <c r="F253" s="310"/>
      <c r="G253" s="311"/>
      <c r="H253" s="312"/>
      <c r="I253" s="313"/>
      <c r="J253" s="314"/>
      <c r="K253" s="315"/>
      <c r="L253" s="316"/>
      <c r="M253" s="317"/>
      <c r="N253" s="318"/>
      <c r="O253" s="319"/>
      <c r="P253" s="320"/>
      <c r="Q253" s="321"/>
    </row>
    <row r="254" spans="1:17" ht="11.25" customHeight="1" x14ac:dyDescent="0.15">
      <c r="A254" s="309"/>
      <c r="B254" s="322" t="s">
        <v>438</v>
      </c>
      <c r="C254" s="12" t="s">
        <v>113</v>
      </c>
      <c r="D254" s="14">
        <v>36.340000000000003</v>
      </c>
      <c r="E254" s="13">
        <v>53043</v>
      </c>
      <c r="F254" s="310"/>
      <c r="G254" s="311"/>
      <c r="H254" s="312"/>
      <c r="I254" s="313"/>
      <c r="J254" s="314"/>
      <c r="K254" s="315"/>
      <c r="L254" s="316"/>
      <c r="M254" s="317"/>
      <c r="N254" s="318"/>
      <c r="O254" s="319"/>
      <c r="P254" s="320"/>
      <c r="Q254" s="321"/>
    </row>
    <row r="255" spans="1:17" ht="11.25" customHeight="1" x14ac:dyDescent="0.15">
      <c r="A255" s="337"/>
      <c r="B255" s="322" t="s">
        <v>440</v>
      </c>
      <c r="C255" s="12" t="s">
        <v>115</v>
      </c>
      <c r="D255" s="14">
        <v>2.86</v>
      </c>
      <c r="E255" s="13">
        <v>70538</v>
      </c>
      <c r="F255" s="310"/>
      <c r="G255" s="311"/>
      <c r="H255" s="312"/>
      <c r="I255" s="313"/>
      <c r="J255" s="314"/>
      <c r="K255" s="315"/>
      <c r="L255" s="316"/>
      <c r="M255" s="317"/>
      <c r="N255" s="318"/>
      <c r="O255" s="319"/>
      <c r="P255" s="320"/>
      <c r="Q255" s="321"/>
    </row>
    <row r="256" spans="1:17" ht="11.25" customHeight="1" x14ac:dyDescent="0.15">
      <c r="A256" s="337"/>
      <c r="B256" s="322" t="s">
        <v>441</v>
      </c>
      <c r="C256" s="12" t="s">
        <v>116</v>
      </c>
      <c r="D256" s="14">
        <v>15.66</v>
      </c>
      <c r="E256" s="13">
        <v>48970</v>
      </c>
      <c r="F256" s="310"/>
      <c r="G256" s="311"/>
      <c r="H256" s="312"/>
      <c r="I256" s="313"/>
      <c r="J256" s="314"/>
      <c r="K256" s="315"/>
      <c r="L256" s="316"/>
      <c r="M256" s="317"/>
      <c r="N256" s="318"/>
      <c r="O256" s="319"/>
      <c r="P256" s="320"/>
      <c r="Q256" s="321"/>
    </row>
    <row r="257" spans="1:17" ht="11.25" customHeight="1" x14ac:dyDescent="0.15">
      <c r="A257" s="337"/>
      <c r="B257" s="322" t="s">
        <v>442</v>
      </c>
      <c r="C257" s="12" t="s">
        <v>117</v>
      </c>
      <c r="D257" s="14">
        <v>1.39</v>
      </c>
      <c r="E257" s="13">
        <v>56187</v>
      </c>
      <c r="F257" s="310"/>
      <c r="G257" s="311"/>
      <c r="H257" s="312"/>
      <c r="I257" s="313"/>
      <c r="J257" s="314"/>
      <c r="K257" s="315"/>
      <c r="L257" s="316"/>
      <c r="M257" s="317"/>
      <c r="N257" s="318"/>
      <c r="O257" s="319"/>
      <c r="P257" s="320"/>
      <c r="Q257" s="321"/>
    </row>
    <row r="258" spans="1:17" ht="11.25" customHeight="1" x14ac:dyDescent="0.15">
      <c r="A258" s="309"/>
      <c r="B258" s="322" t="s">
        <v>443</v>
      </c>
      <c r="C258" s="12" t="s">
        <v>109</v>
      </c>
      <c r="D258" s="14">
        <v>1</v>
      </c>
      <c r="E258" s="13">
        <v>86775</v>
      </c>
      <c r="F258" s="310"/>
      <c r="G258" s="311"/>
      <c r="H258" s="312"/>
      <c r="I258" s="313"/>
      <c r="J258" s="314"/>
      <c r="K258" s="315"/>
      <c r="L258" s="316"/>
      <c r="M258" s="317"/>
      <c r="N258" s="318"/>
      <c r="O258" s="319"/>
      <c r="P258" s="320"/>
      <c r="Q258" s="321"/>
    </row>
    <row r="259" spans="1:17" ht="11.25" customHeight="1" x14ac:dyDescent="0.25">
      <c r="A259" s="264"/>
      <c r="B259" s="323"/>
      <c r="C259" s="264"/>
      <c r="D259" s="132"/>
      <c r="E259" s="98"/>
      <c r="F259" s="324">
        <f>SUM(D241:D251)</f>
        <v>225.51</v>
      </c>
      <c r="G259" s="325">
        <f>(SUMPRODUCT(D241:D251,E241:E251))</f>
        <v>17627276.279999997</v>
      </c>
      <c r="H259" s="326">
        <f>SUM(D241:D244)</f>
        <v>26.04</v>
      </c>
      <c r="I259" s="327">
        <f>(SUMPRODUCT(D241:D244,E241:E244))</f>
        <v>3410543.16</v>
      </c>
      <c r="J259" s="328">
        <f>SUM(D245:D251)</f>
        <v>199.47</v>
      </c>
      <c r="K259" s="343">
        <f>(SUMPRODUCT(D245:D251,E245:E251))</f>
        <v>14216733.120000001</v>
      </c>
      <c r="L259" s="330"/>
      <c r="M259" s="331"/>
      <c r="N259" s="332">
        <f>+H259+J259+L259</f>
        <v>225.51</v>
      </c>
      <c r="O259" s="333">
        <f>+I259+K259+M259</f>
        <v>17627276.280000001</v>
      </c>
      <c r="P259" s="334">
        <f>SUM(D252:D258)</f>
        <v>69.740000000000009</v>
      </c>
      <c r="Q259" s="335">
        <f>(SUMPRODUCT(D252:D258,E252:E258))</f>
        <v>3685457.8300000005</v>
      </c>
    </row>
    <row r="260" spans="1:17" ht="11.25" customHeight="1" x14ac:dyDescent="0.15">
      <c r="A260" s="309">
        <v>46</v>
      </c>
      <c r="B260" s="337" t="s">
        <v>304</v>
      </c>
      <c r="C260" s="338"/>
      <c r="D260" s="339"/>
      <c r="E260" s="340"/>
      <c r="F260" s="310"/>
      <c r="G260" s="311"/>
      <c r="H260" s="312"/>
      <c r="I260" s="313"/>
      <c r="J260" s="314"/>
      <c r="K260" s="315"/>
      <c r="L260" s="316"/>
      <c r="M260" s="317"/>
      <c r="N260" s="318"/>
      <c r="O260" s="319"/>
      <c r="P260" s="320"/>
      <c r="Q260" s="321"/>
    </row>
    <row r="261" spans="1:17" ht="11.25" customHeight="1" x14ac:dyDescent="0.15">
      <c r="A261" s="309"/>
      <c r="B261" s="322" t="s">
        <v>419</v>
      </c>
      <c r="C261" s="12" t="s">
        <v>138</v>
      </c>
      <c r="D261" s="14">
        <v>0.4</v>
      </c>
      <c r="E261" s="13">
        <v>88955</v>
      </c>
      <c r="F261" s="310"/>
      <c r="G261" s="311"/>
      <c r="H261" s="312"/>
      <c r="I261" s="313"/>
      <c r="J261" s="314"/>
      <c r="K261" s="315"/>
      <c r="L261" s="316"/>
      <c r="M261" s="317"/>
      <c r="N261" s="318"/>
      <c r="O261" s="319"/>
      <c r="P261" s="320"/>
      <c r="Q261" s="321"/>
    </row>
    <row r="262" spans="1:17" ht="11.25" customHeight="1" x14ac:dyDescent="0.25">
      <c r="A262" s="264"/>
      <c r="B262" s="323"/>
      <c r="C262" s="264"/>
      <c r="D262" s="132"/>
      <c r="E262" s="98"/>
      <c r="F262" s="324">
        <f>SUM(D261:D261)</f>
        <v>0.4</v>
      </c>
      <c r="G262" s="325">
        <f>(SUMPRODUCT(D261:D261,E261:E261))</f>
        <v>35582</v>
      </c>
      <c r="H262" s="326"/>
      <c r="I262" s="327"/>
      <c r="J262" s="328">
        <f>SUM(D261:D261)</f>
        <v>0.4</v>
      </c>
      <c r="K262" s="329">
        <f>(SUMPRODUCT(D261:D261,E261:E261))</f>
        <v>35582</v>
      </c>
      <c r="L262" s="330"/>
      <c r="M262" s="331"/>
      <c r="N262" s="332">
        <f>+H262+J262+L262</f>
        <v>0.4</v>
      </c>
      <c r="O262" s="333">
        <f>+I262+K262+M262</f>
        <v>35582</v>
      </c>
      <c r="P262" s="334"/>
      <c r="Q262" s="335"/>
    </row>
    <row r="263" spans="1:17" ht="11.25" customHeight="1" x14ac:dyDescent="0.15">
      <c r="A263" s="309">
        <v>51</v>
      </c>
      <c r="B263" s="337" t="s">
        <v>305</v>
      </c>
      <c r="C263" s="338"/>
      <c r="D263" s="339"/>
      <c r="E263" s="340"/>
      <c r="F263" s="342"/>
      <c r="G263" s="325"/>
      <c r="H263" s="312"/>
      <c r="I263" s="327"/>
      <c r="J263" s="314"/>
      <c r="K263" s="329"/>
      <c r="L263" s="316"/>
      <c r="M263" s="331"/>
      <c r="N263" s="318"/>
      <c r="O263" s="333"/>
      <c r="P263" s="320"/>
      <c r="Q263" s="335"/>
    </row>
    <row r="264" spans="1:17" ht="11.25" customHeight="1" x14ac:dyDescent="0.15">
      <c r="A264" s="309"/>
      <c r="B264" s="322" t="s">
        <v>409</v>
      </c>
      <c r="C264" s="12" t="s">
        <v>133</v>
      </c>
      <c r="D264" s="14">
        <v>0.45</v>
      </c>
      <c r="E264" s="13">
        <v>136536</v>
      </c>
      <c r="F264" s="310"/>
      <c r="G264" s="311"/>
      <c r="H264" s="312"/>
      <c r="I264" s="313"/>
      <c r="J264" s="314"/>
      <c r="K264" s="315"/>
      <c r="L264" s="316"/>
      <c r="M264" s="317"/>
      <c r="N264" s="318"/>
      <c r="O264" s="319"/>
      <c r="P264" s="320"/>
      <c r="Q264" s="321"/>
    </row>
    <row r="265" spans="1:17" ht="11.25" customHeight="1" x14ac:dyDescent="0.15">
      <c r="A265" s="309"/>
      <c r="B265" s="322" t="s">
        <v>410</v>
      </c>
      <c r="C265" s="12" t="s">
        <v>134</v>
      </c>
      <c r="D265" s="14">
        <v>31.45</v>
      </c>
      <c r="E265" s="13">
        <v>127534</v>
      </c>
      <c r="F265" s="310"/>
      <c r="G265" s="311"/>
      <c r="H265" s="312"/>
      <c r="I265" s="313"/>
      <c r="J265" s="314"/>
      <c r="K265" s="315"/>
      <c r="L265" s="316"/>
      <c r="M265" s="317"/>
      <c r="N265" s="318"/>
      <c r="O265" s="319"/>
      <c r="P265" s="320"/>
      <c r="Q265" s="321"/>
    </row>
    <row r="266" spans="1:17" ht="11.25" customHeight="1" x14ac:dyDescent="0.15">
      <c r="A266" s="309"/>
      <c r="B266" s="322" t="s">
        <v>412</v>
      </c>
      <c r="C266" s="12" t="s">
        <v>151</v>
      </c>
      <c r="D266" s="14">
        <v>2.61</v>
      </c>
      <c r="E266" s="13">
        <v>128878</v>
      </c>
      <c r="F266" s="310"/>
      <c r="G266" s="311"/>
      <c r="H266" s="312"/>
      <c r="I266" s="313"/>
      <c r="J266" s="314"/>
      <c r="K266" s="315"/>
      <c r="L266" s="316"/>
      <c r="M266" s="317"/>
      <c r="N266" s="318"/>
      <c r="O266" s="319"/>
      <c r="P266" s="320"/>
      <c r="Q266" s="321"/>
    </row>
    <row r="267" spans="1:17" ht="11.25" customHeight="1" x14ac:dyDescent="0.15">
      <c r="A267" s="309"/>
      <c r="B267" s="322" t="s">
        <v>415</v>
      </c>
      <c r="C267" s="12" t="s">
        <v>135</v>
      </c>
      <c r="D267" s="14">
        <v>3.82</v>
      </c>
      <c r="E267" s="13">
        <v>115098</v>
      </c>
      <c r="F267" s="342"/>
      <c r="G267" s="325"/>
      <c r="H267" s="312"/>
      <c r="I267" s="327"/>
      <c r="J267" s="314"/>
      <c r="K267" s="329"/>
      <c r="L267" s="316"/>
      <c r="M267" s="331"/>
      <c r="N267" s="318"/>
      <c r="O267" s="333"/>
      <c r="P267" s="320"/>
      <c r="Q267" s="335"/>
    </row>
    <row r="268" spans="1:17" ht="11.25" customHeight="1" x14ac:dyDescent="0.15">
      <c r="A268" s="309"/>
      <c r="B268" s="322" t="s">
        <v>416</v>
      </c>
      <c r="C268" s="12" t="s">
        <v>526</v>
      </c>
      <c r="D268" s="14">
        <v>187.32</v>
      </c>
      <c r="E268" s="13">
        <v>75246</v>
      </c>
      <c r="F268" s="342"/>
      <c r="G268" s="325"/>
      <c r="H268" s="312"/>
      <c r="I268" s="327"/>
      <c r="J268" s="314"/>
      <c r="K268" s="329"/>
      <c r="L268" s="316"/>
      <c r="M268" s="331"/>
      <c r="N268" s="318"/>
      <c r="O268" s="333"/>
      <c r="P268" s="320"/>
      <c r="Q268" s="335"/>
    </row>
    <row r="269" spans="1:17" ht="11.25" customHeight="1" x14ac:dyDescent="0.15">
      <c r="A269" s="309"/>
      <c r="B269" s="322" t="s">
        <v>417</v>
      </c>
      <c r="C269" s="12" t="s">
        <v>136</v>
      </c>
      <c r="D269" s="14">
        <v>94.01</v>
      </c>
      <c r="E269" s="13">
        <v>74042</v>
      </c>
      <c r="F269" s="342"/>
      <c r="G269" s="325"/>
      <c r="H269" s="312"/>
      <c r="I269" s="327"/>
      <c r="J269" s="314"/>
      <c r="K269" s="329"/>
      <c r="L269" s="316"/>
      <c r="M269" s="331"/>
      <c r="N269" s="318"/>
      <c r="O269" s="333"/>
      <c r="P269" s="320"/>
      <c r="Q269" s="335"/>
    </row>
    <row r="270" spans="1:17" ht="11.25" customHeight="1" x14ac:dyDescent="0.15">
      <c r="A270" s="309"/>
      <c r="B270" s="322" t="s">
        <v>418</v>
      </c>
      <c r="C270" s="12" t="s">
        <v>137</v>
      </c>
      <c r="D270" s="14">
        <v>397.05</v>
      </c>
      <c r="E270" s="13">
        <v>84331</v>
      </c>
      <c r="F270" s="310"/>
      <c r="G270" s="311"/>
      <c r="H270" s="312"/>
      <c r="I270" s="313"/>
      <c r="J270" s="314"/>
      <c r="K270" s="315"/>
      <c r="L270" s="316"/>
      <c r="M270" s="317"/>
      <c r="N270" s="318"/>
      <c r="O270" s="319"/>
      <c r="P270" s="320"/>
      <c r="Q270" s="321"/>
    </row>
    <row r="271" spans="1:17" ht="11.25" customHeight="1" x14ac:dyDescent="0.15">
      <c r="A271" s="309"/>
      <c r="B271" s="322" t="s">
        <v>527</v>
      </c>
      <c r="C271" s="12" t="s">
        <v>528</v>
      </c>
      <c r="D271" s="14">
        <v>128.57</v>
      </c>
      <c r="E271" s="13">
        <v>84000</v>
      </c>
      <c r="F271" s="310"/>
      <c r="G271" s="311"/>
      <c r="H271" s="312"/>
      <c r="I271" s="313"/>
      <c r="J271" s="314"/>
      <c r="K271" s="315"/>
      <c r="L271" s="316"/>
      <c r="M271" s="317"/>
      <c r="N271" s="318"/>
      <c r="O271" s="319"/>
      <c r="P271" s="320"/>
      <c r="Q271" s="321"/>
    </row>
    <row r="272" spans="1:17" ht="11.25" customHeight="1" x14ac:dyDescent="0.15">
      <c r="A272" s="309"/>
      <c r="B272" s="322" t="s">
        <v>419</v>
      </c>
      <c r="C272" s="12" t="s">
        <v>138</v>
      </c>
      <c r="D272" s="14">
        <v>174.51</v>
      </c>
      <c r="E272" s="13">
        <v>84435</v>
      </c>
      <c r="F272" s="310"/>
      <c r="G272" s="311"/>
      <c r="H272" s="312"/>
      <c r="I272" s="313"/>
      <c r="J272" s="314"/>
      <c r="K272" s="315"/>
      <c r="L272" s="316"/>
      <c r="M272" s="317"/>
      <c r="N272" s="318"/>
      <c r="O272" s="319"/>
      <c r="P272" s="320"/>
      <c r="Q272" s="321"/>
    </row>
    <row r="273" spans="1:17" ht="11.25" customHeight="1" x14ac:dyDescent="0.25">
      <c r="A273" s="264"/>
      <c r="B273" s="322" t="s">
        <v>420</v>
      </c>
      <c r="C273" s="12" t="s">
        <v>149</v>
      </c>
      <c r="D273" s="14">
        <v>1.21</v>
      </c>
      <c r="E273" s="13">
        <v>85442</v>
      </c>
      <c r="F273" s="310"/>
      <c r="G273" s="311"/>
      <c r="H273" s="312"/>
      <c r="I273" s="313"/>
      <c r="J273" s="314"/>
      <c r="K273" s="315"/>
      <c r="L273" s="316"/>
      <c r="M273" s="317"/>
      <c r="N273" s="318"/>
      <c r="O273" s="319"/>
      <c r="P273" s="320"/>
      <c r="Q273" s="321"/>
    </row>
    <row r="274" spans="1:17" ht="11.25" customHeight="1" x14ac:dyDescent="0.15">
      <c r="A274" s="309"/>
      <c r="B274" s="322" t="s">
        <v>421</v>
      </c>
      <c r="C274" s="12" t="s">
        <v>143</v>
      </c>
      <c r="D274" s="14">
        <v>30.27</v>
      </c>
      <c r="E274" s="13">
        <v>71401</v>
      </c>
      <c r="F274" s="310"/>
      <c r="G274" s="311"/>
      <c r="H274" s="312"/>
      <c r="I274" s="313"/>
      <c r="J274" s="314"/>
      <c r="K274" s="315"/>
      <c r="L274" s="316"/>
      <c r="M274" s="317"/>
      <c r="N274" s="318"/>
      <c r="O274" s="319"/>
      <c r="P274" s="320"/>
      <c r="Q274" s="321"/>
    </row>
    <row r="275" spans="1:17" ht="11.25" customHeight="1" x14ac:dyDescent="0.15">
      <c r="A275" s="309"/>
      <c r="B275" s="322" t="s">
        <v>422</v>
      </c>
      <c r="C275" s="12" t="s">
        <v>144</v>
      </c>
      <c r="D275" s="14">
        <v>0</v>
      </c>
      <c r="E275" s="13">
        <v>0</v>
      </c>
      <c r="F275" s="310"/>
      <c r="G275" s="311"/>
      <c r="H275" s="312"/>
      <c r="I275" s="313"/>
      <c r="J275" s="314"/>
      <c r="K275" s="315"/>
      <c r="L275" s="316"/>
      <c r="M275" s="317"/>
      <c r="N275" s="318"/>
      <c r="O275" s="319"/>
      <c r="P275" s="320"/>
      <c r="Q275" s="321"/>
    </row>
    <row r="276" spans="1:17" ht="11.25" customHeight="1" x14ac:dyDescent="0.15">
      <c r="A276" s="309"/>
      <c r="B276" s="322" t="s">
        <v>423</v>
      </c>
      <c r="C276" s="12" t="s">
        <v>145</v>
      </c>
      <c r="D276" s="14">
        <v>10.87</v>
      </c>
      <c r="E276" s="13">
        <v>79962</v>
      </c>
      <c r="F276" s="310"/>
      <c r="G276" s="311"/>
      <c r="H276" s="312"/>
      <c r="I276" s="313"/>
      <c r="J276" s="314"/>
      <c r="K276" s="315"/>
      <c r="L276" s="316"/>
      <c r="M276" s="317"/>
      <c r="N276" s="318"/>
      <c r="O276" s="319"/>
      <c r="P276" s="320"/>
      <c r="Q276" s="321"/>
    </row>
    <row r="277" spans="1:17" ht="11.25" customHeight="1" x14ac:dyDescent="0.15">
      <c r="A277" s="309"/>
      <c r="B277" s="322" t="s">
        <v>425</v>
      </c>
      <c r="C277" s="12" t="s">
        <v>146</v>
      </c>
      <c r="D277" s="14">
        <v>0</v>
      </c>
      <c r="E277" s="13">
        <v>0</v>
      </c>
      <c r="F277" s="310"/>
      <c r="G277" s="311"/>
      <c r="H277" s="312"/>
      <c r="I277" s="313"/>
      <c r="J277" s="314"/>
      <c r="K277" s="315"/>
      <c r="L277" s="316"/>
      <c r="M277" s="317"/>
      <c r="N277" s="318"/>
      <c r="O277" s="319"/>
      <c r="P277" s="320"/>
      <c r="Q277" s="321"/>
    </row>
    <row r="278" spans="1:17" ht="11.25" customHeight="1" x14ac:dyDescent="0.15">
      <c r="A278" s="309"/>
      <c r="B278" s="322" t="s">
        <v>426</v>
      </c>
      <c r="C278" s="12" t="s">
        <v>147</v>
      </c>
      <c r="D278" s="14">
        <v>0.06</v>
      </c>
      <c r="E278" s="13">
        <v>53850</v>
      </c>
      <c r="F278" s="310"/>
      <c r="G278" s="311"/>
      <c r="H278" s="312"/>
      <c r="I278" s="313"/>
      <c r="J278" s="314"/>
      <c r="K278" s="315"/>
      <c r="L278" s="316"/>
      <c r="M278" s="317"/>
      <c r="N278" s="318"/>
      <c r="O278" s="319"/>
      <c r="P278" s="320"/>
      <c r="Q278" s="321"/>
    </row>
    <row r="279" spans="1:17" ht="11.25" customHeight="1" x14ac:dyDescent="0.15">
      <c r="A279" s="309"/>
      <c r="B279" s="322" t="s">
        <v>430</v>
      </c>
      <c r="C279" s="12" t="s">
        <v>140</v>
      </c>
      <c r="D279" s="14">
        <v>1</v>
      </c>
      <c r="E279" s="13">
        <v>45260</v>
      </c>
      <c r="F279" s="310"/>
      <c r="G279" s="311"/>
      <c r="H279" s="312"/>
      <c r="I279" s="313"/>
      <c r="J279" s="314"/>
      <c r="K279" s="315"/>
      <c r="L279" s="316"/>
      <c r="M279" s="317"/>
      <c r="N279" s="318"/>
      <c r="O279" s="319"/>
      <c r="P279" s="320"/>
      <c r="Q279" s="321"/>
    </row>
    <row r="280" spans="1:17" ht="11.25" customHeight="1" x14ac:dyDescent="0.15">
      <c r="A280" s="309"/>
      <c r="B280" s="322" t="s">
        <v>435</v>
      </c>
      <c r="C280" s="12" t="s">
        <v>110</v>
      </c>
      <c r="D280" s="14">
        <v>623.14</v>
      </c>
      <c r="E280" s="13">
        <v>41667</v>
      </c>
      <c r="F280" s="310"/>
      <c r="G280" s="311"/>
      <c r="H280" s="312"/>
      <c r="I280" s="313"/>
      <c r="J280" s="314"/>
      <c r="K280" s="315"/>
      <c r="L280" s="316"/>
      <c r="M280" s="317"/>
      <c r="N280" s="318"/>
      <c r="O280" s="319"/>
      <c r="P280" s="320"/>
      <c r="Q280" s="321"/>
    </row>
    <row r="281" spans="1:17" ht="11.25" customHeight="1" x14ac:dyDescent="0.15">
      <c r="A281" s="309"/>
      <c r="B281" s="322" t="s">
        <v>438</v>
      </c>
      <c r="C281" s="12" t="s">
        <v>113</v>
      </c>
      <c r="D281" s="14">
        <v>49.46</v>
      </c>
      <c r="E281" s="13">
        <v>51892</v>
      </c>
      <c r="F281" s="310"/>
      <c r="G281" s="311"/>
      <c r="H281" s="312"/>
      <c r="I281" s="313"/>
      <c r="J281" s="314"/>
      <c r="K281" s="315"/>
      <c r="L281" s="316"/>
      <c r="M281" s="317"/>
      <c r="N281" s="318"/>
      <c r="O281" s="319"/>
      <c r="P281" s="320"/>
      <c r="Q281" s="321"/>
    </row>
    <row r="282" spans="1:17" ht="11.25" customHeight="1" x14ac:dyDescent="0.15">
      <c r="A282" s="309"/>
      <c r="B282" s="322" t="s">
        <v>440</v>
      </c>
      <c r="C282" s="12" t="s">
        <v>115</v>
      </c>
      <c r="D282" s="14">
        <v>59.86</v>
      </c>
      <c r="E282" s="13">
        <v>62265</v>
      </c>
      <c r="F282" s="310"/>
      <c r="G282" s="311"/>
      <c r="H282" s="312"/>
      <c r="I282" s="313"/>
      <c r="J282" s="314"/>
      <c r="K282" s="315"/>
      <c r="L282" s="316"/>
      <c r="M282" s="317"/>
      <c r="N282" s="318"/>
      <c r="O282" s="319"/>
      <c r="P282" s="320"/>
      <c r="Q282" s="321"/>
    </row>
    <row r="283" spans="1:17" ht="11.25" customHeight="1" x14ac:dyDescent="0.15">
      <c r="A283" s="337"/>
      <c r="B283" s="322" t="s">
        <v>441</v>
      </c>
      <c r="C283" s="12" t="s">
        <v>116</v>
      </c>
      <c r="D283" s="14">
        <v>0.09</v>
      </c>
      <c r="E283" s="13">
        <v>56495</v>
      </c>
      <c r="F283" s="310"/>
      <c r="G283" s="311"/>
      <c r="H283" s="312"/>
      <c r="I283" s="313"/>
      <c r="J283" s="314"/>
      <c r="K283" s="315"/>
      <c r="L283" s="316"/>
      <c r="M283" s="317"/>
      <c r="N283" s="318"/>
      <c r="O283" s="319"/>
      <c r="P283" s="320"/>
      <c r="Q283" s="321"/>
    </row>
    <row r="284" spans="1:17" ht="11.25" customHeight="1" x14ac:dyDescent="0.15">
      <c r="A284" s="337"/>
      <c r="B284" s="322" t="s">
        <v>442</v>
      </c>
      <c r="C284" s="12" t="s">
        <v>117</v>
      </c>
      <c r="D284" s="14">
        <v>6.77</v>
      </c>
      <c r="E284" s="13">
        <v>80554</v>
      </c>
      <c r="F284" s="310"/>
      <c r="G284" s="311"/>
      <c r="H284" s="312"/>
      <c r="I284" s="313"/>
      <c r="J284" s="314"/>
      <c r="K284" s="315"/>
      <c r="L284" s="316"/>
      <c r="M284" s="317"/>
      <c r="N284" s="318"/>
      <c r="O284" s="319"/>
      <c r="P284" s="320"/>
      <c r="Q284" s="321"/>
    </row>
    <row r="285" spans="1:17" ht="11.25" customHeight="1" x14ac:dyDescent="0.15">
      <c r="A285" s="309"/>
      <c r="B285" s="322" t="s">
        <v>443</v>
      </c>
      <c r="C285" s="12" t="s">
        <v>109</v>
      </c>
      <c r="D285" s="14">
        <v>9.5</v>
      </c>
      <c r="E285" s="13">
        <v>94279</v>
      </c>
      <c r="F285" s="310"/>
      <c r="G285" s="311"/>
      <c r="H285" s="312"/>
      <c r="I285" s="313"/>
      <c r="J285" s="314"/>
      <c r="K285" s="315"/>
      <c r="L285" s="316"/>
      <c r="M285" s="317"/>
      <c r="N285" s="318"/>
      <c r="O285" s="319"/>
      <c r="P285" s="320"/>
      <c r="Q285" s="321"/>
    </row>
    <row r="286" spans="1:17" ht="11.25" customHeight="1" x14ac:dyDescent="0.25">
      <c r="A286" s="264"/>
      <c r="B286" s="323"/>
      <c r="C286" s="264"/>
      <c r="D286" s="132"/>
      <c r="E286" s="98"/>
      <c r="F286" s="324">
        <f>SUM(D264:D279)</f>
        <v>1063.1999999999998</v>
      </c>
      <c r="G286" s="325">
        <f>(SUMPRODUCT(D264:D279,E264:E279))</f>
        <v>88104827.009999976</v>
      </c>
      <c r="H286" s="326">
        <f>SUM(D264:D267)</f>
        <v>38.33</v>
      </c>
      <c r="I286" s="327">
        <f>(SUMPRODUCT(D264:D267,E264:E267))</f>
        <v>4848431.4400000004</v>
      </c>
      <c r="J286" s="328">
        <f>SUM(D268:D278)</f>
        <v>1023.87</v>
      </c>
      <c r="K286" s="329">
        <f>(SUMPRODUCT(D268:D278,E268:E278))</f>
        <v>83211135.569999978</v>
      </c>
      <c r="L286" s="330">
        <f>SUM(D279:D279)</f>
        <v>1</v>
      </c>
      <c r="M286" s="331">
        <f>(SUMPRODUCT(D279:D279,E279:E279))</f>
        <v>45260</v>
      </c>
      <c r="N286" s="332">
        <f>+H286+J286+L286</f>
        <v>1063.2</v>
      </c>
      <c r="O286" s="333">
        <f>+I286+K286+M286</f>
        <v>88104827.009999976</v>
      </c>
      <c r="P286" s="334">
        <f>SUM(D280:D285)</f>
        <v>748.82</v>
      </c>
      <c r="Q286" s="335">
        <f>(SUMPRODUCT(D280:D285,E280:E285))</f>
        <v>33704221.229999997</v>
      </c>
    </row>
    <row r="287" spans="1:17" ht="11.25" customHeight="1" x14ac:dyDescent="0.15">
      <c r="A287" s="309">
        <v>52</v>
      </c>
      <c r="B287" s="337" t="s">
        <v>306</v>
      </c>
      <c r="C287" s="338"/>
      <c r="D287" s="339"/>
      <c r="E287" s="340"/>
      <c r="F287" s="342"/>
      <c r="G287" s="325"/>
      <c r="H287" s="312"/>
      <c r="I287" s="327"/>
      <c r="J287" s="314"/>
      <c r="K287" s="329"/>
      <c r="L287" s="316"/>
      <c r="M287" s="331"/>
      <c r="N287" s="318"/>
      <c r="O287" s="333"/>
      <c r="P287" s="320"/>
      <c r="Q287" s="335"/>
    </row>
    <row r="288" spans="1:17" ht="11.25" customHeight="1" x14ac:dyDescent="0.15">
      <c r="A288" s="309"/>
      <c r="B288" s="322" t="s">
        <v>410</v>
      </c>
      <c r="C288" s="12" t="s">
        <v>134</v>
      </c>
      <c r="D288" s="14">
        <v>7.54</v>
      </c>
      <c r="E288" s="13">
        <v>110359</v>
      </c>
      <c r="F288" s="342"/>
      <c r="G288" s="325"/>
      <c r="H288" s="312"/>
      <c r="I288" s="327"/>
      <c r="J288" s="314"/>
      <c r="K288" s="329"/>
      <c r="L288" s="316"/>
      <c r="M288" s="331"/>
      <c r="N288" s="318"/>
      <c r="O288" s="333"/>
      <c r="P288" s="320"/>
      <c r="Q288" s="335"/>
    </row>
    <row r="289" spans="1:17" ht="11.25" customHeight="1" x14ac:dyDescent="0.15">
      <c r="A289" s="309"/>
      <c r="B289" s="322" t="s">
        <v>411</v>
      </c>
      <c r="C289" s="12" t="s">
        <v>141</v>
      </c>
      <c r="D289" s="14">
        <v>0</v>
      </c>
      <c r="E289" s="13">
        <v>0</v>
      </c>
      <c r="F289" s="342"/>
      <c r="G289" s="325"/>
      <c r="H289" s="312"/>
      <c r="I289" s="327"/>
      <c r="J289" s="314"/>
      <c r="K289" s="329"/>
      <c r="L289" s="316"/>
      <c r="M289" s="331"/>
      <c r="N289" s="318"/>
      <c r="O289" s="333"/>
      <c r="P289" s="320"/>
      <c r="Q289" s="335"/>
    </row>
    <row r="290" spans="1:17" ht="11.25" customHeight="1" x14ac:dyDescent="0.15">
      <c r="A290" s="309"/>
      <c r="B290" s="322" t="s">
        <v>413</v>
      </c>
      <c r="C290" s="12" t="s">
        <v>142</v>
      </c>
      <c r="D290" s="14">
        <v>0.1</v>
      </c>
      <c r="E290" s="13">
        <v>156566</v>
      </c>
      <c r="F290" s="342"/>
      <c r="G290" s="325"/>
      <c r="H290" s="312"/>
      <c r="I290" s="327"/>
      <c r="J290" s="314"/>
      <c r="K290" s="329"/>
      <c r="L290" s="316"/>
      <c r="M290" s="331"/>
      <c r="N290" s="318"/>
      <c r="O290" s="333"/>
      <c r="P290" s="320"/>
      <c r="Q290" s="335"/>
    </row>
    <row r="291" spans="1:17" ht="11.25" customHeight="1" x14ac:dyDescent="0.15">
      <c r="A291" s="309"/>
      <c r="B291" s="322" t="s">
        <v>414</v>
      </c>
      <c r="C291" s="12" t="s">
        <v>150</v>
      </c>
      <c r="D291" s="14">
        <v>0</v>
      </c>
      <c r="E291" s="13">
        <v>0</v>
      </c>
      <c r="F291" s="342"/>
      <c r="G291" s="325"/>
      <c r="H291" s="312"/>
      <c r="I291" s="327"/>
      <c r="J291" s="314"/>
      <c r="K291" s="329"/>
      <c r="L291" s="316"/>
      <c r="M291" s="331"/>
      <c r="N291" s="318"/>
      <c r="O291" s="333"/>
      <c r="P291" s="320"/>
      <c r="Q291" s="335"/>
    </row>
    <row r="292" spans="1:17" ht="11.25" customHeight="1" x14ac:dyDescent="0.15">
      <c r="A292" s="309"/>
      <c r="B292" s="322" t="s">
        <v>415</v>
      </c>
      <c r="C292" s="12" t="s">
        <v>135</v>
      </c>
      <c r="D292" s="14">
        <v>2.31</v>
      </c>
      <c r="E292" s="13">
        <v>135672</v>
      </c>
      <c r="F292" s="342"/>
      <c r="G292" s="325"/>
      <c r="H292" s="312"/>
      <c r="I292" s="327"/>
      <c r="J292" s="314"/>
      <c r="K292" s="329"/>
      <c r="L292" s="316"/>
      <c r="M292" s="331"/>
      <c r="N292" s="318"/>
      <c r="O292" s="333"/>
      <c r="P292" s="320"/>
      <c r="Q292" s="335"/>
    </row>
    <row r="293" spans="1:17" ht="11.25" customHeight="1" x14ac:dyDescent="0.15">
      <c r="A293" s="309"/>
      <c r="B293" s="322" t="s">
        <v>416</v>
      </c>
      <c r="C293" s="12" t="s">
        <v>526</v>
      </c>
      <c r="D293" s="14">
        <v>11.94</v>
      </c>
      <c r="E293" s="13">
        <v>69202</v>
      </c>
      <c r="F293" s="342"/>
      <c r="G293" s="325"/>
      <c r="H293" s="312"/>
      <c r="I293" s="327"/>
      <c r="J293" s="314"/>
      <c r="K293" s="329"/>
      <c r="L293" s="316"/>
      <c r="M293" s="331"/>
      <c r="N293" s="318"/>
      <c r="O293" s="333"/>
      <c r="P293" s="320"/>
      <c r="Q293" s="335"/>
    </row>
    <row r="294" spans="1:17" ht="11.25" customHeight="1" x14ac:dyDescent="0.15">
      <c r="A294" s="309"/>
      <c r="B294" s="322" t="s">
        <v>417</v>
      </c>
      <c r="C294" s="12" t="s">
        <v>136</v>
      </c>
      <c r="D294" s="14">
        <v>6.12</v>
      </c>
      <c r="E294" s="13">
        <v>78372</v>
      </c>
      <c r="F294" s="342"/>
      <c r="G294" s="325"/>
      <c r="H294" s="312"/>
      <c r="I294" s="327"/>
      <c r="J294" s="314"/>
      <c r="K294" s="329"/>
      <c r="L294" s="316"/>
      <c r="M294" s="331"/>
      <c r="N294" s="318"/>
      <c r="O294" s="333"/>
      <c r="P294" s="320"/>
      <c r="Q294" s="335"/>
    </row>
    <row r="295" spans="1:17" ht="11.25" customHeight="1" x14ac:dyDescent="0.15">
      <c r="A295" s="309"/>
      <c r="B295" s="322" t="s">
        <v>418</v>
      </c>
      <c r="C295" s="12" t="s">
        <v>137</v>
      </c>
      <c r="D295" s="14">
        <v>16.78</v>
      </c>
      <c r="E295" s="13">
        <v>82356</v>
      </c>
      <c r="F295" s="342"/>
      <c r="G295" s="325"/>
      <c r="H295" s="312"/>
      <c r="I295" s="327"/>
      <c r="J295" s="314"/>
      <c r="K295" s="329"/>
      <c r="L295" s="316"/>
      <c r="M295" s="331"/>
      <c r="N295" s="318"/>
      <c r="O295" s="333"/>
      <c r="P295" s="320"/>
      <c r="Q295" s="335"/>
    </row>
    <row r="296" spans="1:17" ht="11.25" customHeight="1" x14ac:dyDescent="0.15">
      <c r="A296" s="309"/>
      <c r="B296" s="322" t="s">
        <v>527</v>
      </c>
      <c r="C296" s="12" t="s">
        <v>528</v>
      </c>
      <c r="D296" s="14">
        <v>2.09</v>
      </c>
      <c r="E296" s="13">
        <v>91546</v>
      </c>
      <c r="F296" s="342"/>
      <c r="G296" s="325"/>
      <c r="H296" s="312"/>
      <c r="I296" s="327"/>
      <c r="J296" s="314"/>
      <c r="K296" s="329"/>
      <c r="L296" s="316"/>
      <c r="M296" s="331"/>
      <c r="N296" s="318"/>
      <c r="O296" s="333"/>
      <c r="P296" s="320"/>
      <c r="Q296" s="335"/>
    </row>
    <row r="297" spans="1:17" ht="11.25" customHeight="1" x14ac:dyDescent="0.25">
      <c r="A297" s="264"/>
      <c r="B297" s="322" t="s">
        <v>419</v>
      </c>
      <c r="C297" s="12" t="s">
        <v>138</v>
      </c>
      <c r="D297" s="14">
        <v>99.74</v>
      </c>
      <c r="E297" s="13">
        <v>91226</v>
      </c>
      <c r="F297" s="310"/>
      <c r="G297" s="311"/>
      <c r="H297" s="312"/>
      <c r="I297" s="313"/>
      <c r="J297" s="314"/>
      <c r="K297" s="315"/>
      <c r="L297" s="316"/>
      <c r="M297" s="317"/>
      <c r="N297" s="318"/>
      <c r="O297" s="319"/>
      <c r="P297" s="320"/>
      <c r="Q297" s="321"/>
    </row>
    <row r="298" spans="1:17" ht="11.25" customHeight="1" x14ac:dyDescent="0.15">
      <c r="A298" s="309"/>
      <c r="B298" s="322" t="s">
        <v>420</v>
      </c>
      <c r="C298" s="12" t="s">
        <v>149</v>
      </c>
      <c r="D298" s="14">
        <v>0</v>
      </c>
      <c r="E298" s="13">
        <v>0</v>
      </c>
      <c r="F298" s="342"/>
      <c r="G298" s="325"/>
      <c r="H298" s="312"/>
      <c r="I298" s="327"/>
      <c r="J298" s="314"/>
      <c r="K298" s="329"/>
      <c r="L298" s="316"/>
      <c r="M298" s="331"/>
      <c r="N298" s="318"/>
      <c r="O298" s="333"/>
      <c r="P298" s="320"/>
      <c r="Q298" s="335"/>
    </row>
    <row r="299" spans="1:17" ht="11.25" customHeight="1" x14ac:dyDescent="0.15">
      <c r="A299" s="309"/>
      <c r="B299" s="322" t="s">
        <v>421</v>
      </c>
      <c r="C299" s="12" t="s">
        <v>143</v>
      </c>
      <c r="D299" s="14">
        <v>2.29</v>
      </c>
      <c r="E299" s="13">
        <v>76090</v>
      </c>
      <c r="F299" s="342"/>
      <c r="G299" s="325"/>
      <c r="H299" s="312"/>
      <c r="I299" s="327"/>
      <c r="J299" s="314"/>
      <c r="K299" s="329"/>
      <c r="L299" s="316"/>
      <c r="M299" s="331"/>
      <c r="N299" s="318"/>
      <c r="O299" s="333"/>
      <c r="P299" s="320"/>
      <c r="Q299" s="335"/>
    </row>
    <row r="300" spans="1:17" ht="11.25" customHeight="1" x14ac:dyDescent="0.15">
      <c r="A300" s="309"/>
      <c r="B300" s="322" t="s">
        <v>423</v>
      </c>
      <c r="C300" s="12" t="s">
        <v>145</v>
      </c>
      <c r="D300" s="14">
        <v>3.24</v>
      </c>
      <c r="E300" s="13">
        <v>63472</v>
      </c>
      <c r="F300" s="342"/>
      <c r="G300" s="325"/>
      <c r="H300" s="312"/>
      <c r="I300" s="327"/>
      <c r="J300" s="314"/>
      <c r="K300" s="329"/>
      <c r="L300" s="316"/>
      <c r="M300" s="331"/>
      <c r="N300" s="318"/>
      <c r="O300" s="333"/>
      <c r="P300" s="320"/>
      <c r="Q300" s="335"/>
    </row>
    <row r="301" spans="1:17" ht="11.25" customHeight="1" x14ac:dyDescent="0.15">
      <c r="A301" s="309"/>
      <c r="B301" s="322" t="s">
        <v>424</v>
      </c>
      <c r="C301" s="12" t="s">
        <v>272</v>
      </c>
      <c r="D301" s="14">
        <v>0</v>
      </c>
      <c r="E301" s="13">
        <v>0</v>
      </c>
      <c r="F301" s="342"/>
      <c r="G301" s="325"/>
      <c r="H301" s="312"/>
      <c r="I301" s="327"/>
      <c r="J301" s="314"/>
      <c r="K301" s="329"/>
      <c r="L301" s="316"/>
      <c r="M301" s="331"/>
      <c r="N301" s="318"/>
      <c r="O301" s="333"/>
      <c r="P301" s="320"/>
      <c r="Q301" s="335"/>
    </row>
    <row r="302" spans="1:17" ht="11.25" customHeight="1" x14ac:dyDescent="0.15">
      <c r="A302" s="309"/>
      <c r="B302" s="322" t="s">
        <v>425</v>
      </c>
      <c r="C302" s="12" t="s">
        <v>146</v>
      </c>
      <c r="D302" s="14">
        <v>0.1</v>
      </c>
      <c r="E302" s="13">
        <v>76960</v>
      </c>
      <c r="F302" s="342"/>
      <c r="G302" s="325"/>
      <c r="H302" s="312"/>
      <c r="I302" s="327"/>
      <c r="J302" s="314"/>
      <c r="K302" s="329"/>
      <c r="L302" s="316"/>
      <c r="M302" s="331"/>
      <c r="N302" s="318"/>
      <c r="O302" s="333"/>
      <c r="P302" s="320"/>
      <c r="Q302" s="335"/>
    </row>
    <row r="303" spans="1:17" ht="11.25" customHeight="1" x14ac:dyDescent="0.15">
      <c r="A303" s="309"/>
      <c r="B303" s="322" t="s">
        <v>426</v>
      </c>
      <c r="C303" s="12" t="s">
        <v>147</v>
      </c>
      <c r="D303" s="14">
        <v>0</v>
      </c>
      <c r="E303" s="13">
        <v>0</v>
      </c>
      <c r="F303" s="342"/>
      <c r="G303" s="325"/>
      <c r="H303" s="312"/>
      <c r="I303" s="327"/>
      <c r="J303" s="314"/>
      <c r="K303" s="329"/>
      <c r="L303" s="316"/>
      <c r="M303" s="331"/>
      <c r="N303" s="318"/>
      <c r="O303" s="333"/>
      <c r="P303" s="320"/>
      <c r="Q303" s="335"/>
    </row>
    <row r="304" spans="1:17" ht="11.25" customHeight="1" x14ac:dyDescent="0.15">
      <c r="A304" s="309"/>
      <c r="B304" s="322" t="s">
        <v>430</v>
      </c>
      <c r="C304" s="12" t="s">
        <v>140</v>
      </c>
      <c r="D304" s="14">
        <v>0.21</v>
      </c>
      <c r="E304" s="13">
        <v>24207</v>
      </c>
      <c r="F304" s="342"/>
      <c r="G304" s="325"/>
      <c r="H304" s="312"/>
      <c r="I304" s="327"/>
      <c r="J304" s="314"/>
      <c r="K304" s="329"/>
      <c r="L304" s="316"/>
      <c r="M304" s="331"/>
      <c r="N304" s="318"/>
      <c r="O304" s="333"/>
      <c r="P304" s="320"/>
      <c r="Q304" s="335"/>
    </row>
    <row r="305" spans="1:17" ht="11.25" customHeight="1" x14ac:dyDescent="0.15">
      <c r="A305" s="309"/>
      <c r="B305" s="322" t="s">
        <v>435</v>
      </c>
      <c r="C305" s="12" t="s">
        <v>110</v>
      </c>
      <c r="D305" s="14">
        <v>15.78</v>
      </c>
      <c r="E305" s="13">
        <v>40115</v>
      </c>
      <c r="F305" s="342"/>
      <c r="G305" s="325"/>
      <c r="H305" s="312"/>
      <c r="I305" s="327"/>
      <c r="J305" s="314"/>
      <c r="K305" s="329"/>
      <c r="L305" s="316"/>
      <c r="M305" s="331"/>
      <c r="N305" s="318"/>
      <c r="O305" s="333"/>
      <c r="P305" s="320"/>
      <c r="Q305" s="335"/>
    </row>
    <row r="306" spans="1:17" ht="11.25" customHeight="1" x14ac:dyDescent="0.15">
      <c r="A306" s="309"/>
      <c r="B306" s="322" t="s">
        <v>438</v>
      </c>
      <c r="C306" s="12" t="s">
        <v>113</v>
      </c>
      <c r="D306" s="14">
        <v>5.57</v>
      </c>
      <c r="E306" s="13">
        <v>51178</v>
      </c>
      <c r="F306" s="342"/>
      <c r="G306" s="325"/>
      <c r="H306" s="312"/>
      <c r="I306" s="327"/>
      <c r="J306" s="314"/>
      <c r="K306" s="329"/>
      <c r="L306" s="316"/>
      <c r="M306" s="331"/>
      <c r="N306" s="318"/>
      <c r="O306" s="333"/>
      <c r="P306" s="320"/>
      <c r="Q306" s="335"/>
    </row>
    <row r="307" spans="1:17" ht="11.25" customHeight="1" x14ac:dyDescent="0.15">
      <c r="A307" s="309"/>
      <c r="B307" s="322" t="s">
        <v>440</v>
      </c>
      <c r="C307" s="12" t="s">
        <v>115</v>
      </c>
      <c r="D307" s="14">
        <v>17.920000000000002</v>
      </c>
      <c r="E307" s="13">
        <v>55350</v>
      </c>
      <c r="F307" s="342"/>
      <c r="G307" s="325"/>
      <c r="H307" s="312"/>
      <c r="I307" s="327"/>
      <c r="J307" s="314"/>
      <c r="K307" s="329"/>
      <c r="L307" s="316"/>
      <c r="M307" s="331"/>
      <c r="N307" s="318"/>
      <c r="O307" s="333"/>
      <c r="P307" s="320"/>
      <c r="Q307" s="335"/>
    </row>
    <row r="308" spans="1:17" ht="11.25" customHeight="1" x14ac:dyDescent="0.15">
      <c r="A308" s="337"/>
      <c r="B308" s="322" t="s">
        <v>441</v>
      </c>
      <c r="C308" s="12" t="s">
        <v>116</v>
      </c>
      <c r="D308" s="14">
        <v>0.33</v>
      </c>
      <c r="E308" s="13">
        <v>73982</v>
      </c>
      <c r="F308" s="342"/>
      <c r="G308" s="325"/>
      <c r="H308" s="312"/>
      <c r="I308" s="327"/>
      <c r="J308" s="314"/>
      <c r="K308" s="329"/>
      <c r="L308" s="316"/>
      <c r="M308" s="331"/>
      <c r="N308" s="318"/>
      <c r="O308" s="333"/>
      <c r="P308" s="320"/>
      <c r="Q308" s="335"/>
    </row>
    <row r="309" spans="1:17" ht="11.25" customHeight="1" x14ac:dyDescent="0.15">
      <c r="A309" s="337"/>
      <c r="B309" s="322" t="s">
        <v>442</v>
      </c>
      <c r="C309" s="12" t="s">
        <v>117</v>
      </c>
      <c r="D309" s="14">
        <v>0.62</v>
      </c>
      <c r="E309" s="13">
        <v>69952</v>
      </c>
      <c r="F309" s="342"/>
      <c r="G309" s="325"/>
      <c r="H309" s="312"/>
      <c r="I309" s="327"/>
      <c r="J309" s="314"/>
      <c r="K309" s="329"/>
      <c r="L309" s="316"/>
      <c r="M309" s="331"/>
      <c r="N309" s="318"/>
      <c r="O309" s="333"/>
      <c r="P309" s="320"/>
      <c r="Q309" s="335"/>
    </row>
    <row r="310" spans="1:17" ht="11.25" customHeight="1" x14ac:dyDescent="0.15">
      <c r="A310" s="309"/>
      <c r="B310" s="322" t="s">
        <v>443</v>
      </c>
      <c r="C310" s="12" t="s">
        <v>109</v>
      </c>
      <c r="D310" s="14">
        <v>4.54</v>
      </c>
      <c r="E310" s="13">
        <v>81346</v>
      </c>
      <c r="F310" s="342"/>
      <c r="G310" s="325"/>
      <c r="H310" s="312"/>
      <c r="I310" s="327"/>
      <c r="J310" s="314"/>
      <c r="K310" s="329"/>
      <c r="L310" s="316"/>
      <c r="M310" s="331"/>
      <c r="N310" s="318"/>
      <c r="O310" s="333"/>
      <c r="P310" s="320"/>
      <c r="Q310" s="335"/>
    </row>
    <row r="311" spans="1:17" ht="11.25" customHeight="1" x14ac:dyDescent="0.25">
      <c r="A311" s="264"/>
      <c r="B311" s="323"/>
      <c r="C311" s="264"/>
      <c r="D311" s="132"/>
      <c r="E311" s="98"/>
      <c r="F311" s="324">
        <f>SUM(D288:D304)</f>
        <v>152.46</v>
      </c>
      <c r="G311" s="325">
        <f>(SUMPRODUCT(D288:D304,E288:E304))</f>
        <v>13531895.210000001</v>
      </c>
      <c r="H311" s="326">
        <f>SUM(D288:D292)</f>
        <v>9.9499999999999993</v>
      </c>
      <c r="I311" s="327">
        <f>(SUMPRODUCT(D288:D292,E288:E292))</f>
        <v>1161165.78</v>
      </c>
      <c r="J311" s="328">
        <f>SUM(D293:D303)</f>
        <v>142.30000000000001</v>
      </c>
      <c r="K311" s="329">
        <f>(SUMPRODUCT(D293:D303,E293:E303))</f>
        <v>12365645.959999999</v>
      </c>
      <c r="L311" s="330">
        <f>SUM(D304:D304)</f>
        <v>0.21</v>
      </c>
      <c r="M311" s="331">
        <f>(SUMPRODUCT(D302:D304,E302:E304))</f>
        <v>12779.470000000001</v>
      </c>
      <c r="N311" s="332">
        <f>+H311+J311+L311</f>
        <v>152.46</v>
      </c>
      <c r="O311" s="333">
        <f>+I311+K311+M311</f>
        <v>13539591.209999999</v>
      </c>
      <c r="P311" s="334">
        <f>SUM(D305:D310)</f>
        <v>44.76</v>
      </c>
      <c r="Q311" s="335">
        <f>(SUMPRODUCT(D305:D310,E305:E310))</f>
        <v>2347043.3000000003</v>
      </c>
    </row>
    <row r="312" spans="1:17" ht="11.25" customHeight="1" x14ac:dyDescent="0.15">
      <c r="A312" s="309">
        <v>53</v>
      </c>
      <c r="B312" s="337" t="s">
        <v>307</v>
      </c>
      <c r="C312" s="338"/>
      <c r="D312" s="339"/>
      <c r="E312" s="340"/>
      <c r="F312" s="310"/>
      <c r="G312" s="311"/>
      <c r="H312" s="312"/>
      <c r="I312" s="313"/>
      <c r="J312" s="314"/>
      <c r="K312" s="315"/>
      <c r="L312" s="316"/>
      <c r="M312" s="317"/>
      <c r="N312" s="318"/>
      <c r="O312" s="319"/>
      <c r="P312" s="320"/>
      <c r="Q312" s="321"/>
    </row>
    <row r="313" spans="1:17" ht="11.25" customHeight="1" x14ac:dyDescent="0.15">
      <c r="A313" s="309"/>
      <c r="B313" s="322" t="s">
        <v>409</v>
      </c>
      <c r="C313" s="12" t="s">
        <v>133</v>
      </c>
      <c r="D313" s="14">
        <v>0.1</v>
      </c>
      <c r="E313" s="13">
        <v>124960</v>
      </c>
      <c r="F313" s="310"/>
      <c r="G313" s="311"/>
      <c r="H313" s="312"/>
      <c r="I313" s="313"/>
      <c r="J313" s="314"/>
      <c r="K313" s="315"/>
      <c r="L313" s="316"/>
      <c r="M313" s="317"/>
      <c r="N313" s="318"/>
      <c r="O313" s="319"/>
      <c r="P313" s="320"/>
      <c r="Q313" s="321"/>
    </row>
    <row r="314" spans="1:17" ht="11.25" customHeight="1" x14ac:dyDescent="0.15">
      <c r="A314" s="309"/>
      <c r="B314" s="322" t="s">
        <v>410</v>
      </c>
      <c r="C314" s="12" t="s">
        <v>134</v>
      </c>
      <c r="D314" s="14">
        <v>3.34</v>
      </c>
      <c r="E314" s="13">
        <v>116274</v>
      </c>
      <c r="F314" s="310"/>
      <c r="G314" s="311"/>
      <c r="H314" s="312"/>
      <c r="I314" s="313"/>
      <c r="J314" s="314"/>
      <c r="K314" s="315"/>
      <c r="L314" s="316"/>
      <c r="M314" s="317"/>
      <c r="N314" s="318"/>
      <c r="O314" s="319"/>
      <c r="P314" s="320"/>
      <c r="Q314" s="321"/>
    </row>
    <row r="315" spans="1:17" ht="11.25" customHeight="1" x14ac:dyDescent="0.15">
      <c r="A315" s="309"/>
      <c r="B315" s="322" t="s">
        <v>413</v>
      </c>
      <c r="C315" s="12" t="s">
        <v>142</v>
      </c>
      <c r="D315" s="14">
        <v>0.86</v>
      </c>
      <c r="E315" s="13">
        <v>137494</v>
      </c>
      <c r="F315" s="342"/>
      <c r="G315" s="325"/>
      <c r="H315" s="312"/>
      <c r="I315" s="327"/>
      <c r="J315" s="314"/>
      <c r="K315" s="329"/>
      <c r="L315" s="316"/>
      <c r="M315" s="331"/>
      <c r="N315" s="318"/>
      <c r="O315" s="333"/>
      <c r="P315" s="320"/>
      <c r="Q315" s="335"/>
    </row>
    <row r="316" spans="1:17" ht="11.25" customHeight="1" x14ac:dyDescent="0.15">
      <c r="A316" s="309"/>
      <c r="B316" s="322" t="s">
        <v>415</v>
      </c>
      <c r="C316" s="12" t="s">
        <v>135</v>
      </c>
      <c r="D316" s="14">
        <v>0.63</v>
      </c>
      <c r="E316" s="13">
        <v>103098</v>
      </c>
      <c r="F316" s="342"/>
      <c r="G316" s="325"/>
      <c r="H316" s="312"/>
      <c r="I316" s="327"/>
      <c r="J316" s="314"/>
      <c r="K316" s="329"/>
      <c r="L316" s="316"/>
      <c r="M316" s="331"/>
      <c r="N316" s="318"/>
      <c r="O316" s="333"/>
      <c r="P316" s="320"/>
      <c r="Q316" s="335"/>
    </row>
    <row r="317" spans="1:17" ht="11.25" customHeight="1" x14ac:dyDescent="0.15">
      <c r="A317" s="309"/>
      <c r="B317" s="322" t="s">
        <v>416</v>
      </c>
      <c r="C317" s="12" t="s">
        <v>526</v>
      </c>
      <c r="D317" s="14">
        <v>0.09</v>
      </c>
      <c r="E317" s="13">
        <v>76637</v>
      </c>
      <c r="F317" s="310"/>
      <c r="G317" s="311"/>
      <c r="H317" s="312"/>
      <c r="I317" s="313"/>
      <c r="J317" s="314"/>
      <c r="K317" s="315"/>
      <c r="L317" s="316"/>
      <c r="M317" s="317"/>
      <c r="N317" s="318"/>
      <c r="O317" s="319"/>
      <c r="P317" s="320"/>
      <c r="Q317" s="321"/>
    </row>
    <row r="318" spans="1:17" ht="11.25" customHeight="1" x14ac:dyDescent="0.15">
      <c r="A318" s="309"/>
      <c r="B318" s="322" t="s">
        <v>417</v>
      </c>
      <c r="C318" s="12" t="s">
        <v>136</v>
      </c>
      <c r="D318" s="14">
        <v>2.46</v>
      </c>
      <c r="E318" s="13">
        <v>78165</v>
      </c>
      <c r="F318" s="310"/>
      <c r="G318" s="311"/>
      <c r="H318" s="312"/>
      <c r="I318" s="313"/>
      <c r="J318" s="314"/>
      <c r="K318" s="315"/>
      <c r="L318" s="316"/>
      <c r="M318" s="317"/>
      <c r="N318" s="318"/>
      <c r="O318" s="319"/>
      <c r="P318" s="320"/>
      <c r="Q318" s="321"/>
    </row>
    <row r="319" spans="1:17" ht="11.25" customHeight="1" x14ac:dyDescent="0.15">
      <c r="A319" s="309"/>
      <c r="B319" s="322" t="s">
        <v>418</v>
      </c>
      <c r="C319" s="12" t="s">
        <v>137</v>
      </c>
      <c r="D319" s="14">
        <v>0.97</v>
      </c>
      <c r="E319" s="13">
        <v>64508</v>
      </c>
      <c r="F319" s="310"/>
      <c r="G319" s="311"/>
      <c r="H319" s="312"/>
      <c r="I319" s="313"/>
      <c r="J319" s="314"/>
      <c r="K319" s="315"/>
      <c r="L319" s="316"/>
      <c r="M319" s="317"/>
      <c r="N319" s="318"/>
      <c r="O319" s="319"/>
      <c r="P319" s="320"/>
      <c r="Q319" s="321"/>
    </row>
    <row r="320" spans="1:17" ht="11.25" customHeight="1" x14ac:dyDescent="0.15">
      <c r="A320" s="309"/>
      <c r="B320" s="322" t="s">
        <v>419</v>
      </c>
      <c r="C320" s="12" t="s">
        <v>138</v>
      </c>
      <c r="D320" s="14">
        <v>4.34</v>
      </c>
      <c r="E320" s="13">
        <v>72715</v>
      </c>
      <c r="F320" s="310"/>
      <c r="G320" s="311"/>
      <c r="H320" s="312"/>
      <c r="I320" s="313"/>
      <c r="J320" s="314"/>
      <c r="K320" s="315"/>
      <c r="L320" s="316"/>
      <c r="M320" s="317"/>
      <c r="N320" s="318"/>
      <c r="O320" s="319"/>
      <c r="P320" s="320"/>
      <c r="Q320" s="321"/>
    </row>
    <row r="321" spans="1:17" ht="11.25" customHeight="1" x14ac:dyDescent="0.15">
      <c r="A321" s="309"/>
      <c r="B321" s="322" t="s">
        <v>421</v>
      </c>
      <c r="C321" s="12" t="s">
        <v>143</v>
      </c>
      <c r="D321" s="14">
        <v>12.13</v>
      </c>
      <c r="E321" s="13">
        <v>69083</v>
      </c>
      <c r="F321" s="310"/>
      <c r="G321" s="311"/>
      <c r="H321" s="312"/>
      <c r="I321" s="313"/>
      <c r="J321" s="314"/>
      <c r="K321" s="315"/>
      <c r="L321" s="316"/>
      <c r="M321" s="317"/>
      <c r="N321" s="318"/>
      <c r="O321" s="319"/>
      <c r="P321" s="320"/>
      <c r="Q321" s="321"/>
    </row>
    <row r="322" spans="1:17" ht="11.25" customHeight="1" x14ac:dyDescent="0.15">
      <c r="A322" s="309"/>
      <c r="B322" s="322" t="s">
        <v>423</v>
      </c>
      <c r="C322" s="12" t="s">
        <v>145</v>
      </c>
      <c r="D322" s="14">
        <v>3</v>
      </c>
      <c r="E322" s="13">
        <v>70355</v>
      </c>
      <c r="F322" s="310"/>
      <c r="G322" s="311"/>
      <c r="H322" s="312"/>
      <c r="I322" s="313"/>
      <c r="J322" s="314"/>
      <c r="K322" s="315"/>
      <c r="L322" s="316"/>
      <c r="M322" s="317"/>
      <c r="N322" s="318"/>
      <c r="O322" s="319"/>
      <c r="P322" s="320"/>
      <c r="Q322" s="321"/>
    </row>
    <row r="323" spans="1:17" ht="11.25" customHeight="1" x14ac:dyDescent="0.15">
      <c r="A323" s="309"/>
      <c r="B323" s="322" t="s">
        <v>426</v>
      </c>
      <c r="C323" s="12" t="s">
        <v>147</v>
      </c>
      <c r="D323" s="14">
        <v>0.6</v>
      </c>
      <c r="E323" s="13">
        <v>64117</v>
      </c>
      <c r="F323" s="310"/>
      <c r="G323" s="311"/>
      <c r="H323" s="312"/>
      <c r="I323" s="313"/>
      <c r="J323" s="314"/>
      <c r="K323" s="315"/>
      <c r="L323" s="316"/>
      <c r="M323" s="317"/>
      <c r="N323" s="318"/>
      <c r="O323" s="319"/>
      <c r="P323" s="320"/>
      <c r="Q323" s="321"/>
    </row>
    <row r="324" spans="1:17" ht="11.25" customHeight="1" x14ac:dyDescent="0.15">
      <c r="A324" s="309"/>
      <c r="B324" s="322" t="s">
        <v>431</v>
      </c>
      <c r="C324" s="12" t="s">
        <v>273</v>
      </c>
      <c r="D324" s="14">
        <v>0</v>
      </c>
      <c r="E324" s="13">
        <v>0</v>
      </c>
      <c r="F324" s="310"/>
      <c r="G324" s="311"/>
      <c r="H324" s="312"/>
      <c r="I324" s="313"/>
      <c r="J324" s="314"/>
      <c r="K324" s="315"/>
      <c r="L324" s="316"/>
      <c r="M324" s="317"/>
      <c r="N324" s="318"/>
      <c r="O324" s="319"/>
      <c r="P324" s="320"/>
      <c r="Q324" s="321"/>
    </row>
    <row r="325" spans="1:17" ht="11.25" customHeight="1" x14ac:dyDescent="0.15">
      <c r="A325" s="309"/>
      <c r="B325" s="322" t="s">
        <v>435</v>
      </c>
      <c r="C325" s="12" t="s">
        <v>110</v>
      </c>
      <c r="D325" s="14">
        <v>63.21</v>
      </c>
      <c r="E325" s="13">
        <v>41707</v>
      </c>
      <c r="F325" s="310"/>
      <c r="G325" s="311"/>
      <c r="H325" s="312"/>
      <c r="I325" s="313"/>
      <c r="J325" s="314"/>
      <c r="K325" s="315"/>
      <c r="L325" s="316"/>
      <c r="M325" s="317"/>
      <c r="N325" s="318"/>
      <c r="O325" s="319"/>
      <c r="P325" s="320"/>
      <c r="Q325" s="321"/>
    </row>
    <row r="326" spans="1:17" ht="11.25" customHeight="1" x14ac:dyDescent="0.15">
      <c r="A326" s="309"/>
      <c r="B326" s="322" t="s">
        <v>438</v>
      </c>
      <c r="C326" s="12" t="s">
        <v>113</v>
      </c>
      <c r="D326" s="14">
        <v>54.12</v>
      </c>
      <c r="E326" s="13">
        <v>49206</v>
      </c>
      <c r="F326" s="310"/>
      <c r="G326" s="311"/>
      <c r="H326" s="312"/>
      <c r="I326" s="313"/>
      <c r="J326" s="314"/>
      <c r="K326" s="315"/>
      <c r="L326" s="316"/>
      <c r="M326" s="317"/>
      <c r="N326" s="318"/>
      <c r="O326" s="319"/>
      <c r="P326" s="320"/>
      <c r="Q326" s="321"/>
    </row>
    <row r="327" spans="1:17" ht="11.25" customHeight="1" x14ac:dyDescent="0.15">
      <c r="A327" s="309"/>
      <c r="B327" s="322" t="s">
        <v>440</v>
      </c>
      <c r="C327" s="12" t="s">
        <v>115</v>
      </c>
      <c r="D327" s="14">
        <v>14.5</v>
      </c>
      <c r="E327" s="13">
        <v>57204</v>
      </c>
      <c r="F327" s="310"/>
      <c r="G327" s="311"/>
      <c r="H327" s="312"/>
      <c r="I327" s="313"/>
      <c r="J327" s="314"/>
      <c r="K327" s="315"/>
      <c r="L327" s="316"/>
      <c r="M327" s="317"/>
      <c r="N327" s="318"/>
      <c r="O327" s="319"/>
      <c r="P327" s="320"/>
      <c r="Q327" s="321"/>
    </row>
    <row r="328" spans="1:17" ht="11.25" customHeight="1" x14ac:dyDescent="0.15">
      <c r="A328" s="309"/>
      <c r="B328" s="322" t="s">
        <v>441</v>
      </c>
      <c r="C328" s="12" t="s">
        <v>116</v>
      </c>
      <c r="D328" s="14">
        <v>0.16</v>
      </c>
      <c r="E328" s="13">
        <v>36448</v>
      </c>
      <c r="F328" s="310"/>
      <c r="G328" s="311"/>
      <c r="H328" s="312"/>
      <c r="I328" s="313"/>
      <c r="J328" s="314"/>
      <c r="K328" s="315"/>
      <c r="L328" s="316"/>
      <c r="M328" s="317"/>
      <c r="N328" s="318"/>
      <c r="O328" s="319"/>
      <c r="P328" s="320"/>
      <c r="Q328" s="321"/>
    </row>
    <row r="329" spans="1:17" ht="11.25" customHeight="1" x14ac:dyDescent="0.15">
      <c r="A329" s="309"/>
      <c r="B329" s="322" t="s">
        <v>442</v>
      </c>
      <c r="C329" s="12" t="s">
        <v>117</v>
      </c>
      <c r="D329" s="14">
        <v>0.81</v>
      </c>
      <c r="E329" s="13">
        <v>64843</v>
      </c>
      <c r="F329" s="310"/>
      <c r="G329" s="311"/>
      <c r="H329" s="312"/>
      <c r="I329" s="313"/>
      <c r="J329" s="314"/>
      <c r="K329" s="315"/>
      <c r="L329" s="316"/>
      <c r="M329" s="317"/>
      <c r="N329" s="318"/>
      <c r="O329" s="319"/>
      <c r="P329" s="320"/>
      <c r="Q329" s="321"/>
    </row>
    <row r="330" spans="1:17" ht="11.25" customHeight="1" x14ac:dyDescent="0.15">
      <c r="A330" s="309"/>
      <c r="B330" s="322" t="s">
        <v>443</v>
      </c>
      <c r="C330" s="12" t="s">
        <v>109</v>
      </c>
      <c r="D330" s="14">
        <v>1.83</v>
      </c>
      <c r="E330" s="13">
        <v>79091</v>
      </c>
      <c r="F330" s="310"/>
      <c r="G330" s="311"/>
      <c r="H330" s="312"/>
      <c r="I330" s="313"/>
      <c r="J330" s="314"/>
      <c r="K330" s="315"/>
      <c r="L330" s="316"/>
      <c r="M330" s="317"/>
      <c r="N330" s="318"/>
      <c r="O330" s="319"/>
      <c r="P330" s="320"/>
      <c r="Q330" s="321"/>
    </row>
    <row r="331" spans="1:17" ht="11.25" customHeight="1" x14ac:dyDescent="0.25">
      <c r="A331" s="264"/>
      <c r="B331" s="323"/>
      <c r="C331" s="264"/>
      <c r="D331" s="132"/>
      <c r="E331" s="98"/>
      <c r="F331" s="324">
        <f>SUM(D313:D324)</f>
        <v>28.520000000000003</v>
      </c>
      <c r="G331" s="325">
        <f>(SUMPRODUCT(D313:D324,E313:E324))</f>
        <v>2248898.8200000003</v>
      </c>
      <c r="H331" s="326">
        <f>SUM(D313:D316)</f>
        <v>4.93</v>
      </c>
      <c r="I331" s="327">
        <f>(SUMPRODUCT(D313:D316,E313:E316))</f>
        <v>584047.74</v>
      </c>
      <c r="J331" s="328">
        <f>SUM(D317:D323)</f>
        <v>23.590000000000003</v>
      </c>
      <c r="K331" s="329">
        <f>(SUMPRODUCT(D317:D323,E317:E323))</f>
        <v>1664851.0799999998</v>
      </c>
      <c r="L331" s="330"/>
      <c r="M331" s="331"/>
      <c r="N331" s="332">
        <f>+H331+J331+L331</f>
        <v>28.520000000000003</v>
      </c>
      <c r="O331" s="333">
        <f>+I331+K331+M331</f>
        <v>2248898.8199999998</v>
      </c>
      <c r="P331" s="334">
        <f>SUM(D325:D330)</f>
        <v>134.63</v>
      </c>
      <c r="Q331" s="335">
        <f>(SUMPRODUCT(D325:D330,E325:E330))</f>
        <v>6331877.2299999995</v>
      </c>
    </row>
    <row r="332" spans="1:17" ht="11.25" customHeight="1" x14ac:dyDescent="0.15">
      <c r="A332" s="309">
        <v>55</v>
      </c>
      <c r="B332" s="337" t="s">
        <v>308</v>
      </c>
      <c r="C332" s="338"/>
      <c r="D332" s="339"/>
      <c r="E332" s="340"/>
      <c r="F332" s="342"/>
      <c r="G332" s="325"/>
      <c r="H332" s="312"/>
      <c r="I332" s="327"/>
      <c r="J332" s="314"/>
      <c r="K332" s="329"/>
      <c r="L332" s="316"/>
      <c r="M332" s="331"/>
      <c r="N332" s="318"/>
      <c r="O332" s="333"/>
      <c r="P332" s="320"/>
      <c r="Q332" s="335"/>
    </row>
    <row r="333" spans="1:17" ht="11.25" customHeight="1" x14ac:dyDescent="0.15">
      <c r="A333" s="309"/>
      <c r="B333" s="322" t="s">
        <v>409</v>
      </c>
      <c r="C333" s="12" t="s">
        <v>133</v>
      </c>
      <c r="D333" s="14">
        <v>0.7</v>
      </c>
      <c r="E333" s="13">
        <v>149709</v>
      </c>
      <c r="F333" s="310"/>
      <c r="G333" s="311"/>
      <c r="H333" s="312"/>
      <c r="I333" s="313"/>
      <c r="J333" s="314"/>
      <c r="K333" s="315"/>
      <c r="L333" s="316"/>
      <c r="M333" s="317"/>
      <c r="N333" s="318"/>
      <c r="O333" s="319"/>
      <c r="P333" s="320"/>
      <c r="Q333" s="321"/>
    </row>
    <row r="334" spans="1:17" ht="11.25" customHeight="1" x14ac:dyDescent="0.15">
      <c r="A334" s="309"/>
      <c r="B334" s="322" t="s">
        <v>410</v>
      </c>
      <c r="C334" s="12" t="s">
        <v>134</v>
      </c>
      <c r="D334" s="14">
        <v>43.13</v>
      </c>
      <c r="E334" s="13">
        <v>127776</v>
      </c>
      <c r="F334" s="310"/>
      <c r="G334" s="311"/>
      <c r="H334" s="312"/>
      <c r="I334" s="313"/>
      <c r="J334" s="314"/>
      <c r="K334" s="315"/>
      <c r="L334" s="316"/>
      <c r="M334" s="317"/>
      <c r="N334" s="318"/>
      <c r="O334" s="319"/>
      <c r="P334" s="320"/>
      <c r="Q334" s="321"/>
    </row>
    <row r="335" spans="1:17" ht="11.25" customHeight="1" x14ac:dyDescent="0.15">
      <c r="A335" s="309"/>
      <c r="B335" s="322" t="s">
        <v>412</v>
      </c>
      <c r="C335" s="12" t="s">
        <v>151</v>
      </c>
      <c r="D335" s="14">
        <v>0</v>
      </c>
      <c r="E335" s="13">
        <v>128667</v>
      </c>
      <c r="F335" s="310"/>
      <c r="G335" s="311"/>
      <c r="H335" s="312"/>
      <c r="I335" s="313"/>
      <c r="J335" s="314"/>
      <c r="K335" s="315"/>
      <c r="L335" s="316"/>
      <c r="M335" s="317"/>
      <c r="N335" s="318"/>
      <c r="O335" s="319"/>
      <c r="P335" s="320"/>
      <c r="Q335" s="321"/>
    </row>
    <row r="336" spans="1:17" ht="11.25" customHeight="1" x14ac:dyDescent="0.15">
      <c r="A336" s="309"/>
      <c r="B336" s="322" t="s">
        <v>415</v>
      </c>
      <c r="C336" s="12" t="s">
        <v>135</v>
      </c>
      <c r="D336" s="14">
        <v>8.2799999999999994</v>
      </c>
      <c r="E336" s="13">
        <v>121871</v>
      </c>
      <c r="F336" s="310"/>
      <c r="G336" s="311"/>
      <c r="H336" s="312"/>
      <c r="I336" s="313"/>
      <c r="J336" s="314"/>
      <c r="K336" s="315"/>
      <c r="L336" s="316"/>
      <c r="M336" s="317"/>
      <c r="N336" s="318"/>
      <c r="O336" s="319"/>
      <c r="P336" s="320"/>
      <c r="Q336" s="321"/>
    </row>
    <row r="337" spans="1:17" ht="11.25" customHeight="1" x14ac:dyDescent="0.15">
      <c r="A337" s="309"/>
      <c r="B337" s="322" t="s">
        <v>416</v>
      </c>
      <c r="C337" s="12" t="s">
        <v>526</v>
      </c>
      <c r="D337" s="14">
        <v>284.45999999999998</v>
      </c>
      <c r="E337" s="13">
        <v>80097</v>
      </c>
      <c r="F337" s="310"/>
      <c r="G337" s="311"/>
      <c r="H337" s="312"/>
      <c r="I337" s="313"/>
      <c r="J337" s="314"/>
      <c r="K337" s="315"/>
      <c r="L337" s="316"/>
      <c r="M337" s="317"/>
      <c r="N337" s="318"/>
      <c r="O337" s="319"/>
      <c r="P337" s="320"/>
      <c r="Q337" s="321"/>
    </row>
    <row r="338" spans="1:17" ht="11.25" customHeight="1" x14ac:dyDescent="0.15">
      <c r="A338" s="309"/>
      <c r="B338" s="322" t="s">
        <v>417</v>
      </c>
      <c r="C338" s="12" t="s">
        <v>136</v>
      </c>
      <c r="D338" s="14">
        <v>279.25</v>
      </c>
      <c r="E338" s="13">
        <v>75317</v>
      </c>
      <c r="F338" s="310"/>
      <c r="G338" s="311"/>
      <c r="H338" s="312"/>
      <c r="I338" s="313"/>
      <c r="J338" s="314"/>
      <c r="K338" s="315"/>
      <c r="L338" s="316"/>
      <c r="M338" s="317"/>
      <c r="N338" s="318"/>
      <c r="O338" s="319"/>
      <c r="P338" s="320"/>
      <c r="Q338" s="321"/>
    </row>
    <row r="339" spans="1:17" ht="11.25" customHeight="1" x14ac:dyDescent="0.15">
      <c r="A339" s="309"/>
      <c r="B339" s="322" t="s">
        <v>418</v>
      </c>
      <c r="C339" s="12" t="s">
        <v>137</v>
      </c>
      <c r="D339" s="14">
        <v>702.23</v>
      </c>
      <c r="E339" s="13">
        <v>84139</v>
      </c>
      <c r="F339" s="310"/>
      <c r="G339" s="311"/>
      <c r="H339" s="312"/>
      <c r="I339" s="313"/>
      <c r="J339" s="314"/>
      <c r="K339" s="315"/>
      <c r="L339" s="316"/>
      <c r="M339" s="317"/>
      <c r="N339" s="318"/>
      <c r="O339" s="319"/>
      <c r="P339" s="320"/>
      <c r="Q339" s="321"/>
    </row>
    <row r="340" spans="1:17" ht="11.25" customHeight="1" x14ac:dyDescent="0.15">
      <c r="A340" s="309"/>
      <c r="B340" s="322" t="s">
        <v>527</v>
      </c>
      <c r="C340" s="12" t="s">
        <v>528</v>
      </c>
      <c r="D340" s="14">
        <v>289.81</v>
      </c>
      <c r="E340" s="13">
        <v>84446</v>
      </c>
      <c r="F340" s="310"/>
      <c r="G340" s="311"/>
      <c r="H340" s="312"/>
      <c r="I340" s="313"/>
      <c r="J340" s="314"/>
      <c r="K340" s="315"/>
      <c r="L340" s="316"/>
      <c r="M340" s="317"/>
      <c r="N340" s="318"/>
      <c r="O340" s="319"/>
      <c r="P340" s="320"/>
      <c r="Q340" s="321"/>
    </row>
    <row r="341" spans="1:17" ht="11.25" customHeight="1" x14ac:dyDescent="0.15">
      <c r="A341" s="309"/>
      <c r="B341" s="322" t="s">
        <v>419</v>
      </c>
      <c r="C341" s="12" t="s">
        <v>138</v>
      </c>
      <c r="D341" s="14">
        <v>305.55</v>
      </c>
      <c r="E341" s="13">
        <v>86993</v>
      </c>
      <c r="F341" s="310"/>
      <c r="G341" s="311"/>
      <c r="H341" s="312"/>
      <c r="I341" s="313"/>
      <c r="J341" s="314"/>
      <c r="K341" s="315"/>
      <c r="L341" s="316"/>
      <c r="M341" s="317"/>
      <c r="N341" s="318"/>
      <c r="O341" s="319"/>
      <c r="P341" s="320"/>
      <c r="Q341" s="321"/>
    </row>
    <row r="342" spans="1:17" ht="11.25" customHeight="1" x14ac:dyDescent="0.15">
      <c r="A342" s="309"/>
      <c r="B342" s="322" t="s">
        <v>420</v>
      </c>
      <c r="C342" s="12" t="s">
        <v>149</v>
      </c>
      <c r="D342" s="14">
        <v>1</v>
      </c>
      <c r="E342" s="13">
        <v>75031</v>
      </c>
      <c r="F342" s="310"/>
      <c r="G342" s="311"/>
      <c r="H342" s="312"/>
      <c r="I342" s="313"/>
      <c r="J342" s="314"/>
      <c r="K342" s="315"/>
      <c r="L342" s="316"/>
      <c r="M342" s="317"/>
      <c r="N342" s="318"/>
      <c r="O342" s="319"/>
      <c r="P342" s="320"/>
      <c r="Q342" s="321"/>
    </row>
    <row r="343" spans="1:17" ht="11.25" customHeight="1" x14ac:dyDescent="0.15">
      <c r="A343" s="309"/>
      <c r="B343" s="322" t="s">
        <v>421</v>
      </c>
      <c r="C343" s="12" t="s">
        <v>143</v>
      </c>
      <c r="D343" s="14">
        <v>53.58</v>
      </c>
      <c r="E343" s="13">
        <v>71776</v>
      </c>
      <c r="F343" s="310"/>
      <c r="G343" s="311"/>
      <c r="H343" s="312"/>
      <c r="I343" s="313"/>
      <c r="J343" s="314"/>
      <c r="K343" s="315"/>
      <c r="L343" s="316"/>
      <c r="M343" s="317"/>
      <c r="N343" s="318"/>
      <c r="O343" s="319"/>
      <c r="P343" s="320"/>
      <c r="Q343" s="321"/>
    </row>
    <row r="344" spans="1:17" ht="11.25" customHeight="1" x14ac:dyDescent="0.15">
      <c r="A344" s="309"/>
      <c r="B344" s="322" t="s">
        <v>423</v>
      </c>
      <c r="C344" s="12" t="s">
        <v>145</v>
      </c>
      <c r="D344" s="14">
        <v>17.579999999999998</v>
      </c>
      <c r="E344" s="13">
        <v>70138</v>
      </c>
      <c r="F344" s="310"/>
      <c r="G344" s="311"/>
      <c r="H344" s="312"/>
      <c r="I344" s="313"/>
      <c r="J344" s="314"/>
      <c r="K344" s="315"/>
      <c r="L344" s="316"/>
      <c r="M344" s="317"/>
      <c r="N344" s="318"/>
      <c r="O344" s="319"/>
      <c r="P344" s="320"/>
      <c r="Q344" s="321"/>
    </row>
    <row r="345" spans="1:17" ht="11.25" customHeight="1" x14ac:dyDescent="0.15">
      <c r="A345" s="309"/>
      <c r="B345" s="322" t="s">
        <v>424</v>
      </c>
      <c r="C345" s="12" t="s">
        <v>272</v>
      </c>
      <c r="D345" s="14">
        <v>0.21</v>
      </c>
      <c r="E345" s="13">
        <v>75076</v>
      </c>
      <c r="F345" s="310"/>
      <c r="G345" s="311"/>
      <c r="H345" s="312"/>
      <c r="I345" s="313"/>
      <c r="J345" s="314"/>
      <c r="K345" s="315"/>
      <c r="L345" s="316"/>
      <c r="M345" s="317"/>
      <c r="N345" s="318"/>
      <c r="O345" s="319"/>
      <c r="P345" s="320"/>
      <c r="Q345" s="321"/>
    </row>
    <row r="346" spans="1:17" ht="11.25" customHeight="1" x14ac:dyDescent="0.15">
      <c r="A346" s="309"/>
      <c r="B346" s="322" t="s">
        <v>425</v>
      </c>
      <c r="C346" s="12" t="s">
        <v>146</v>
      </c>
      <c r="D346" s="14">
        <v>1.86</v>
      </c>
      <c r="E346" s="13">
        <v>78027</v>
      </c>
      <c r="F346" s="310"/>
      <c r="G346" s="311"/>
      <c r="H346" s="312"/>
      <c r="I346" s="313"/>
      <c r="J346" s="314"/>
      <c r="K346" s="315"/>
      <c r="L346" s="316"/>
      <c r="M346" s="317"/>
      <c r="N346" s="318"/>
      <c r="O346" s="319"/>
      <c r="P346" s="320"/>
      <c r="Q346" s="321"/>
    </row>
    <row r="347" spans="1:17" ht="11.25" customHeight="1" x14ac:dyDescent="0.15">
      <c r="A347" s="309"/>
      <c r="B347" s="322" t="s">
        <v>428</v>
      </c>
      <c r="C347" s="12" t="s">
        <v>576</v>
      </c>
      <c r="D347" s="14">
        <v>0.2</v>
      </c>
      <c r="E347" s="13">
        <v>68895</v>
      </c>
      <c r="F347" s="310"/>
      <c r="G347" s="311"/>
      <c r="H347" s="312"/>
      <c r="I347" s="313"/>
      <c r="J347" s="314"/>
      <c r="K347" s="315"/>
      <c r="L347" s="316"/>
      <c r="M347" s="317"/>
      <c r="N347" s="318"/>
      <c r="O347" s="319"/>
      <c r="P347" s="320"/>
      <c r="Q347" s="321"/>
    </row>
    <row r="348" spans="1:17" ht="11.25" customHeight="1" x14ac:dyDescent="0.15">
      <c r="A348" s="309"/>
      <c r="B348" s="322" t="s">
        <v>430</v>
      </c>
      <c r="C348" s="12" t="s">
        <v>140</v>
      </c>
      <c r="D348" s="14">
        <v>0.57999999999999996</v>
      </c>
      <c r="E348" s="13">
        <v>86928</v>
      </c>
      <c r="F348" s="310"/>
      <c r="G348" s="311"/>
      <c r="H348" s="312"/>
      <c r="I348" s="313"/>
      <c r="J348" s="314"/>
      <c r="K348" s="315"/>
      <c r="L348" s="316"/>
      <c r="M348" s="317"/>
      <c r="N348" s="318"/>
      <c r="O348" s="319"/>
      <c r="P348" s="320"/>
      <c r="Q348" s="321"/>
    </row>
    <row r="349" spans="1:17" ht="11.25" customHeight="1" x14ac:dyDescent="0.15">
      <c r="A349" s="309"/>
      <c r="B349" s="322" t="s">
        <v>431</v>
      </c>
      <c r="C349" s="12" t="s">
        <v>273</v>
      </c>
      <c r="D349" s="14">
        <v>0</v>
      </c>
      <c r="E349" s="13">
        <v>0</v>
      </c>
      <c r="F349" s="310"/>
      <c r="G349" s="311"/>
      <c r="H349" s="312"/>
      <c r="I349" s="313"/>
      <c r="J349" s="314"/>
      <c r="K349" s="315"/>
      <c r="L349" s="316"/>
      <c r="M349" s="317"/>
      <c r="N349" s="318"/>
      <c r="O349" s="319"/>
      <c r="P349" s="320"/>
      <c r="Q349" s="321"/>
    </row>
    <row r="350" spans="1:17" ht="11.25" customHeight="1" x14ac:dyDescent="0.15">
      <c r="A350" s="309"/>
      <c r="B350" s="322" t="s">
        <v>432</v>
      </c>
      <c r="C350" s="12" t="s">
        <v>198</v>
      </c>
      <c r="D350" s="14">
        <v>1.65</v>
      </c>
      <c r="E350" s="13">
        <v>55883</v>
      </c>
      <c r="F350" s="310"/>
      <c r="G350" s="311"/>
      <c r="H350" s="312"/>
      <c r="I350" s="313"/>
      <c r="J350" s="314"/>
      <c r="K350" s="315"/>
      <c r="L350" s="316"/>
      <c r="M350" s="317"/>
      <c r="N350" s="318"/>
      <c r="O350" s="319"/>
      <c r="P350" s="320"/>
      <c r="Q350" s="321"/>
    </row>
    <row r="351" spans="1:17" ht="11.25" customHeight="1" x14ac:dyDescent="0.15">
      <c r="A351" s="309"/>
      <c r="B351" s="322" t="s">
        <v>435</v>
      </c>
      <c r="C351" s="12" t="s">
        <v>110</v>
      </c>
      <c r="D351" s="14">
        <v>1288.82</v>
      </c>
      <c r="E351" s="13">
        <v>41658</v>
      </c>
      <c r="F351" s="310"/>
      <c r="G351" s="311"/>
      <c r="H351" s="312"/>
      <c r="I351" s="313"/>
      <c r="J351" s="314"/>
      <c r="K351" s="315"/>
      <c r="L351" s="316"/>
      <c r="M351" s="317"/>
      <c r="N351" s="318"/>
      <c r="O351" s="319"/>
      <c r="P351" s="320"/>
      <c r="Q351" s="321"/>
    </row>
    <row r="352" spans="1:17" ht="11.25" customHeight="1" x14ac:dyDescent="0.15">
      <c r="A352" s="344"/>
      <c r="B352" s="322" t="s">
        <v>436</v>
      </c>
      <c r="C352" s="12" t="s">
        <v>111</v>
      </c>
      <c r="D352" s="14">
        <v>0</v>
      </c>
      <c r="E352" s="13">
        <v>0</v>
      </c>
      <c r="F352" s="310"/>
      <c r="G352" s="311"/>
      <c r="H352" s="312"/>
      <c r="I352" s="313"/>
      <c r="J352" s="314"/>
      <c r="K352" s="315"/>
      <c r="L352" s="316"/>
      <c r="M352" s="317"/>
      <c r="N352" s="318"/>
      <c r="O352" s="319"/>
      <c r="P352" s="320"/>
      <c r="Q352" s="321"/>
    </row>
    <row r="353" spans="1:17" ht="11.25" customHeight="1" x14ac:dyDescent="0.15">
      <c r="A353" s="344"/>
      <c r="B353" s="322" t="s">
        <v>438</v>
      </c>
      <c r="C353" s="12" t="s">
        <v>113</v>
      </c>
      <c r="D353" s="14">
        <v>42.88</v>
      </c>
      <c r="E353" s="13">
        <v>51558</v>
      </c>
      <c r="F353" s="310"/>
      <c r="G353" s="311"/>
      <c r="H353" s="312"/>
      <c r="I353" s="313"/>
      <c r="J353" s="314"/>
      <c r="K353" s="315"/>
      <c r="L353" s="316"/>
      <c r="M353" s="317"/>
      <c r="N353" s="318"/>
      <c r="O353" s="319"/>
      <c r="P353" s="320"/>
      <c r="Q353" s="321"/>
    </row>
    <row r="354" spans="1:17" ht="11.25" customHeight="1" x14ac:dyDescent="0.15">
      <c r="A354" s="309"/>
      <c r="B354" s="322" t="s">
        <v>440</v>
      </c>
      <c r="C354" s="12" t="s">
        <v>115</v>
      </c>
      <c r="D354" s="14">
        <v>102.9</v>
      </c>
      <c r="E354" s="13">
        <v>58729</v>
      </c>
      <c r="F354" s="310"/>
      <c r="G354" s="311"/>
      <c r="H354" s="312"/>
      <c r="I354" s="313"/>
      <c r="J354" s="314"/>
      <c r="K354" s="315"/>
      <c r="L354" s="316"/>
      <c r="M354" s="317"/>
      <c r="N354" s="318"/>
      <c r="O354" s="319"/>
      <c r="P354" s="320"/>
      <c r="Q354" s="321"/>
    </row>
    <row r="355" spans="1:17" ht="11.25" customHeight="1" x14ac:dyDescent="0.15">
      <c r="A355" s="337"/>
      <c r="B355" s="322" t="s">
        <v>442</v>
      </c>
      <c r="C355" s="12" t="s">
        <v>117</v>
      </c>
      <c r="D355" s="14">
        <v>12.72</v>
      </c>
      <c r="E355" s="13">
        <v>80028</v>
      </c>
      <c r="F355" s="310"/>
      <c r="G355" s="311"/>
      <c r="H355" s="312"/>
      <c r="I355" s="313"/>
      <c r="J355" s="314"/>
      <c r="K355" s="315"/>
      <c r="L355" s="316"/>
      <c r="M355" s="317"/>
      <c r="N355" s="318"/>
      <c r="O355" s="319"/>
      <c r="P355" s="320"/>
      <c r="Q355" s="321"/>
    </row>
    <row r="356" spans="1:17" ht="11.25" customHeight="1" x14ac:dyDescent="0.15">
      <c r="A356" s="309"/>
      <c r="B356" s="322" t="s">
        <v>443</v>
      </c>
      <c r="C356" s="12" t="s">
        <v>109</v>
      </c>
      <c r="D356" s="14">
        <v>7.18</v>
      </c>
      <c r="E356" s="13">
        <v>98222</v>
      </c>
      <c r="F356" s="310"/>
      <c r="G356" s="311"/>
      <c r="H356" s="312"/>
      <c r="I356" s="313"/>
      <c r="J356" s="314"/>
      <c r="K356" s="315"/>
      <c r="L356" s="316"/>
      <c r="M356" s="317"/>
      <c r="N356" s="318"/>
      <c r="O356" s="319"/>
      <c r="P356" s="320"/>
      <c r="Q356" s="321"/>
    </row>
    <row r="357" spans="1:17" ht="11.25" customHeight="1" x14ac:dyDescent="0.25">
      <c r="A357" s="264"/>
      <c r="B357" s="323"/>
      <c r="C357" s="264"/>
      <c r="D357" s="132"/>
      <c r="E357" s="98"/>
      <c r="F357" s="324">
        <f>SUM(D333:D350)</f>
        <v>1990.0699999999997</v>
      </c>
      <c r="G357" s="325">
        <f>(SUMPRODUCT(D333:D350,E333:E350))</f>
        <v>166051583.80000001</v>
      </c>
      <c r="H357" s="326">
        <f>SUM(D333:D336)</f>
        <v>52.110000000000007</v>
      </c>
      <c r="I357" s="327">
        <f>(SUMPRODUCT(D333:D336,E333:E336))</f>
        <v>6624867.0599999996</v>
      </c>
      <c r="J357" s="328">
        <f>SUM(D337:D347,D350:D350)</f>
        <v>1937.3799999999999</v>
      </c>
      <c r="K357" s="329">
        <f>(SUMPRODUCT(D337:D347,E337:E347))+(SUMPRODUCT(D350:D350,E350:E350))</f>
        <v>159376298.5</v>
      </c>
      <c r="L357" s="330">
        <f>SUM(D348:D349)</f>
        <v>0.57999999999999996</v>
      </c>
      <c r="M357" s="331">
        <f>(SUMPRODUCT(D348:D349,E348:E349))</f>
        <v>50418.239999999998</v>
      </c>
      <c r="N357" s="332">
        <f>+H357+J357+L357</f>
        <v>1990.0699999999997</v>
      </c>
      <c r="O357" s="333">
        <f>+I357+K357+M357</f>
        <v>166051583.80000001</v>
      </c>
      <c r="P357" s="334">
        <f>SUM(D351:D356)</f>
        <v>1454.5000000000002</v>
      </c>
      <c r="Q357" s="335">
        <f>(SUMPRODUCT(D351:D356,E351:E356))</f>
        <v>63666874.819999993</v>
      </c>
    </row>
    <row r="358" spans="1:17" ht="11.25" customHeight="1" x14ac:dyDescent="0.15">
      <c r="A358" s="309">
        <v>56</v>
      </c>
      <c r="B358" s="337" t="s">
        <v>309</v>
      </c>
      <c r="C358" s="338"/>
      <c r="D358" s="339"/>
      <c r="E358" s="340"/>
      <c r="F358" s="342"/>
      <c r="G358" s="325"/>
      <c r="H358" s="312"/>
      <c r="I358" s="327"/>
      <c r="J358" s="314"/>
      <c r="K358" s="329"/>
      <c r="L358" s="316"/>
      <c r="M358" s="331"/>
      <c r="N358" s="318"/>
      <c r="O358" s="333"/>
      <c r="P358" s="320"/>
      <c r="Q358" s="335"/>
    </row>
    <row r="359" spans="1:17" ht="11.25" customHeight="1" x14ac:dyDescent="0.15">
      <c r="A359" s="309"/>
      <c r="B359" s="322" t="s">
        <v>410</v>
      </c>
      <c r="C359" s="12" t="s">
        <v>134</v>
      </c>
      <c r="D359" s="14">
        <v>0.25</v>
      </c>
      <c r="E359" s="13">
        <v>125452</v>
      </c>
      <c r="F359" s="310"/>
      <c r="G359" s="311"/>
      <c r="H359" s="312"/>
      <c r="I359" s="313"/>
      <c r="J359" s="314"/>
      <c r="K359" s="315"/>
      <c r="L359" s="316"/>
      <c r="M359" s="317"/>
      <c r="N359" s="318"/>
      <c r="O359" s="319"/>
      <c r="P359" s="320"/>
      <c r="Q359" s="321"/>
    </row>
    <row r="360" spans="1:17" ht="11.25" customHeight="1" x14ac:dyDescent="0.15">
      <c r="A360" s="309"/>
      <c r="B360" s="322" t="s">
        <v>413</v>
      </c>
      <c r="C360" s="12" t="s">
        <v>142</v>
      </c>
      <c r="D360" s="14">
        <v>2.2999999999999998</v>
      </c>
      <c r="E360" s="13">
        <v>141536</v>
      </c>
      <c r="F360" s="310"/>
      <c r="G360" s="311"/>
      <c r="H360" s="312"/>
      <c r="I360" s="313"/>
      <c r="J360" s="314"/>
      <c r="K360" s="315"/>
      <c r="L360" s="316"/>
      <c r="M360" s="317"/>
      <c r="N360" s="318"/>
      <c r="O360" s="319"/>
      <c r="P360" s="320"/>
      <c r="Q360" s="321"/>
    </row>
    <row r="361" spans="1:17" ht="11.25" customHeight="1" x14ac:dyDescent="0.15">
      <c r="A361" s="309"/>
      <c r="B361" s="322" t="s">
        <v>414</v>
      </c>
      <c r="C361" s="12" t="s">
        <v>150</v>
      </c>
      <c r="D361" s="14">
        <v>1.86</v>
      </c>
      <c r="E361" s="13">
        <v>131894</v>
      </c>
      <c r="F361" s="310"/>
      <c r="G361" s="311"/>
      <c r="H361" s="312"/>
      <c r="I361" s="313"/>
      <c r="J361" s="314"/>
      <c r="K361" s="315"/>
      <c r="L361" s="316"/>
      <c r="M361" s="317"/>
      <c r="N361" s="318"/>
      <c r="O361" s="319"/>
      <c r="P361" s="320"/>
      <c r="Q361" s="321"/>
    </row>
    <row r="362" spans="1:17" ht="11.25" customHeight="1" x14ac:dyDescent="0.15">
      <c r="A362" s="309"/>
      <c r="B362" s="322" t="s">
        <v>417</v>
      </c>
      <c r="C362" s="12" t="s">
        <v>136</v>
      </c>
      <c r="D362" s="14">
        <v>37.340000000000003</v>
      </c>
      <c r="E362" s="13">
        <v>79388</v>
      </c>
      <c r="F362" s="310"/>
      <c r="G362" s="311"/>
      <c r="H362" s="312"/>
      <c r="I362" s="313"/>
      <c r="J362" s="314"/>
      <c r="K362" s="315"/>
      <c r="L362" s="316"/>
      <c r="M362" s="317"/>
      <c r="N362" s="318"/>
      <c r="O362" s="319"/>
      <c r="P362" s="320"/>
      <c r="Q362" s="321"/>
    </row>
    <row r="363" spans="1:17" ht="11.25" customHeight="1" x14ac:dyDescent="0.15">
      <c r="A363" s="309"/>
      <c r="B363" s="322" t="s">
        <v>418</v>
      </c>
      <c r="C363" s="12" t="s">
        <v>137</v>
      </c>
      <c r="D363" s="14">
        <v>10.46</v>
      </c>
      <c r="E363" s="13">
        <v>82290</v>
      </c>
      <c r="F363" s="310"/>
      <c r="G363" s="311"/>
      <c r="H363" s="312"/>
      <c r="I363" s="313"/>
      <c r="J363" s="314"/>
      <c r="K363" s="315"/>
      <c r="L363" s="316"/>
      <c r="M363" s="317"/>
      <c r="N363" s="318"/>
      <c r="O363" s="319"/>
      <c r="P363" s="320"/>
      <c r="Q363" s="321"/>
    </row>
    <row r="364" spans="1:17" ht="11.25" customHeight="1" x14ac:dyDescent="0.15">
      <c r="A364" s="309"/>
      <c r="B364" s="322" t="s">
        <v>419</v>
      </c>
      <c r="C364" s="12" t="s">
        <v>138</v>
      </c>
      <c r="D364" s="14">
        <v>0</v>
      </c>
      <c r="E364" s="13">
        <v>0</v>
      </c>
      <c r="F364" s="310"/>
      <c r="G364" s="311"/>
      <c r="H364" s="312"/>
      <c r="I364" s="313"/>
      <c r="J364" s="314"/>
      <c r="K364" s="315"/>
      <c r="L364" s="316"/>
      <c r="M364" s="317"/>
      <c r="N364" s="318"/>
      <c r="O364" s="319"/>
      <c r="P364" s="320"/>
      <c r="Q364" s="321"/>
    </row>
    <row r="365" spans="1:17" ht="11.25" customHeight="1" x14ac:dyDescent="0.25">
      <c r="A365" s="264"/>
      <c r="B365" s="322" t="s">
        <v>421</v>
      </c>
      <c r="C365" s="12" t="s">
        <v>143</v>
      </c>
      <c r="D365" s="14">
        <v>0.25</v>
      </c>
      <c r="E365" s="13">
        <v>71412</v>
      </c>
      <c r="F365" s="310"/>
      <c r="G365" s="311"/>
      <c r="H365" s="312"/>
      <c r="I365" s="313"/>
      <c r="J365" s="314"/>
      <c r="K365" s="315"/>
      <c r="L365" s="316"/>
      <c r="M365" s="317"/>
      <c r="N365" s="318"/>
      <c r="O365" s="319"/>
      <c r="P365" s="320"/>
      <c r="Q365" s="321"/>
    </row>
    <row r="366" spans="1:17" ht="11.25" customHeight="1" x14ac:dyDescent="0.15">
      <c r="A366" s="309"/>
      <c r="B366" s="322" t="s">
        <v>435</v>
      </c>
      <c r="C366" s="12" t="s">
        <v>110</v>
      </c>
      <c r="D366" s="14">
        <v>6.42</v>
      </c>
      <c r="E366" s="13">
        <v>48234</v>
      </c>
      <c r="F366" s="310"/>
      <c r="G366" s="311"/>
      <c r="H366" s="312"/>
      <c r="I366" s="313"/>
      <c r="J366" s="314"/>
      <c r="K366" s="315"/>
      <c r="L366" s="316"/>
      <c r="M366" s="317"/>
      <c r="N366" s="318"/>
      <c r="O366" s="319"/>
      <c r="P366" s="320"/>
      <c r="Q366" s="321"/>
    </row>
    <row r="367" spans="1:17" ht="11.25" customHeight="1" x14ac:dyDescent="0.15">
      <c r="A367" s="309"/>
      <c r="B367" s="322" t="s">
        <v>438</v>
      </c>
      <c r="C367" s="12" t="s">
        <v>113</v>
      </c>
      <c r="D367" s="14">
        <v>6.76</v>
      </c>
      <c r="E367" s="13">
        <v>52059</v>
      </c>
      <c r="F367" s="310"/>
      <c r="G367" s="311"/>
      <c r="H367" s="312"/>
      <c r="I367" s="313"/>
      <c r="J367" s="314"/>
      <c r="K367" s="315"/>
      <c r="L367" s="316"/>
      <c r="M367" s="317"/>
      <c r="N367" s="318"/>
      <c r="O367" s="319"/>
      <c r="P367" s="320"/>
      <c r="Q367" s="321"/>
    </row>
    <row r="368" spans="1:17" ht="11.25" customHeight="1" x14ac:dyDescent="0.15">
      <c r="A368" s="309"/>
      <c r="B368" s="322" t="s">
        <v>440</v>
      </c>
      <c r="C368" s="12" t="s">
        <v>115</v>
      </c>
      <c r="D368" s="14">
        <v>0.36</v>
      </c>
      <c r="E368" s="13">
        <v>53335</v>
      </c>
      <c r="F368" s="310"/>
      <c r="G368" s="311"/>
      <c r="H368" s="312"/>
      <c r="I368" s="313"/>
      <c r="J368" s="314"/>
      <c r="K368" s="315"/>
      <c r="L368" s="316"/>
      <c r="M368" s="317"/>
      <c r="N368" s="318"/>
      <c r="O368" s="319"/>
      <c r="P368" s="320"/>
      <c r="Q368" s="321"/>
    </row>
    <row r="369" spans="1:17" ht="11.25" customHeight="1" x14ac:dyDescent="0.15">
      <c r="A369" s="309"/>
      <c r="B369" s="322" t="s">
        <v>442</v>
      </c>
      <c r="C369" s="12" t="s">
        <v>117</v>
      </c>
      <c r="D369" s="14">
        <v>0.41</v>
      </c>
      <c r="E369" s="13">
        <v>58446</v>
      </c>
      <c r="F369" s="310"/>
      <c r="G369" s="311"/>
      <c r="H369" s="312"/>
      <c r="I369" s="313"/>
      <c r="J369" s="314"/>
      <c r="K369" s="315"/>
      <c r="L369" s="316"/>
      <c r="M369" s="317"/>
      <c r="N369" s="318"/>
      <c r="O369" s="319"/>
      <c r="P369" s="320"/>
      <c r="Q369" s="321"/>
    </row>
    <row r="370" spans="1:17" ht="11.25" customHeight="1" x14ac:dyDescent="0.25">
      <c r="A370" s="264"/>
      <c r="B370" s="323"/>
      <c r="C370" s="264"/>
      <c r="D370" s="132"/>
      <c r="E370" s="98"/>
      <c r="F370" s="324">
        <f>SUM(D359:D365)</f>
        <v>52.46</v>
      </c>
      <c r="G370" s="325">
        <f>(SUMPRODUCT(D359:D365,E359:E365))</f>
        <v>4445172.9600000009</v>
      </c>
      <c r="H370" s="326">
        <f>SUM(D359:D361)</f>
        <v>4.41</v>
      </c>
      <c r="I370" s="327">
        <f>(SUMPRODUCT(D359:D361,E359:E361))</f>
        <v>602218.64</v>
      </c>
      <c r="J370" s="328">
        <f>SUM(D362:D365)</f>
        <v>48.050000000000004</v>
      </c>
      <c r="K370" s="329">
        <f>(SUMPRODUCT(D362:D365,E362:E365))</f>
        <v>3842954.3200000003</v>
      </c>
      <c r="L370" s="330"/>
      <c r="M370" s="331"/>
      <c r="N370" s="332">
        <f>+H370+J370+L370</f>
        <v>52.460000000000008</v>
      </c>
      <c r="O370" s="333">
        <f>+I370+K370+M370</f>
        <v>4445172.96</v>
      </c>
      <c r="P370" s="334">
        <f>SUM(D366:D369)</f>
        <v>13.95</v>
      </c>
      <c r="Q370" s="335">
        <f>(SUMPRODUCT(D366:D369,E366:E369))</f>
        <v>704744.57999999984</v>
      </c>
    </row>
    <row r="371" spans="1:17" ht="11.25" customHeight="1" x14ac:dyDescent="0.15">
      <c r="A371" s="309">
        <v>57</v>
      </c>
      <c r="B371" s="337" t="s">
        <v>310</v>
      </c>
      <c r="C371" s="338"/>
      <c r="D371" s="339"/>
      <c r="E371" s="340"/>
      <c r="F371" s="342"/>
      <c r="G371" s="325"/>
      <c r="H371" s="312"/>
      <c r="I371" s="327"/>
      <c r="J371" s="314"/>
      <c r="K371" s="329"/>
      <c r="L371" s="316"/>
      <c r="M371" s="331"/>
      <c r="N371" s="318"/>
      <c r="O371" s="333"/>
      <c r="P371" s="320"/>
      <c r="Q371" s="335"/>
    </row>
    <row r="372" spans="1:17" ht="11.25" customHeight="1" x14ac:dyDescent="0.15">
      <c r="A372" s="309"/>
      <c r="B372" s="322" t="s">
        <v>415</v>
      </c>
      <c r="C372" s="12" t="s">
        <v>135</v>
      </c>
      <c r="D372" s="14">
        <v>0.14000000000000001</v>
      </c>
      <c r="E372" s="13">
        <v>120420</v>
      </c>
      <c r="F372" s="310"/>
      <c r="G372" s="311"/>
      <c r="H372" s="312"/>
      <c r="I372" s="313"/>
      <c r="J372" s="314"/>
      <c r="K372" s="315"/>
      <c r="L372" s="316"/>
      <c r="M372" s="317"/>
      <c r="N372" s="318"/>
      <c r="O372" s="319"/>
      <c r="P372" s="320"/>
      <c r="Q372" s="321"/>
    </row>
    <row r="373" spans="1:17" ht="11.25" customHeight="1" x14ac:dyDescent="0.15">
      <c r="A373" s="309"/>
      <c r="B373" s="322" t="s">
        <v>417</v>
      </c>
      <c r="C373" s="12" t="s">
        <v>136</v>
      </c>
      <c r="D373" s="14">
        <v>2.48</v>
      </c>
      <c r="E373" s="13">
        <v>68225</v>
      </c>
      <c r="F373" s="310"/>
      <c r="G373" s="311"/>
      <c r="H373" s="312"/>
      <c r="I373" s="313"/>
      <c r="J373" s="314"/>
      <c r="K373" s="315"/>
      <c r="L373" s="316"/>
      <c r="M373" s="317"/>
      <c r="N373" s="318"/>
      <c r="O373" s="319"/>
      <c r="P373" s="320"/>
      <c r="Q373" s="321"/>
    </row>
    <row r="374" spans="1:17" ht="11.25" customHeight="1" x14ac:dyDescent="0.15">
      <c r="A374" s="309"/>
      <c r="B374" s="322" t="s">
        <v>419</v>
      </c>
      <c r="C374" s="12" t="s">
        <v>138</v>
      </c>
      <c r="D374" s="14">
        <v>1.7</v>
      </c>
      <c r="E374" s="13">
        <v>65079</v>
      </c>
      <c r="F374" s="310"/>
      <c r="G374" s="311"/>
      <c r="H374" s="312"/>
      <c r="I374" s="313"/>
      <c r="J374" s="314"/>
      <c r="K374" s="315"/>
      <c r="L374" s="316"/>
      <c r="M374" s="317"/>
      <c r="N374" s="318"/>
      <c r="O374" s="319"/>
      <c r="P374" s="320"/>
      <c r="Q374" s="321"/>
    </row>
    <row r="375" spans="1:17" ht="11.25" customHeight="1" x14ac:dyDescent="0.15">
      <c r="A375" s="309"/>
      <c r="B375" s="322" t="s">
        <v>421</v>
      </c>
      <c r="C375" s="12" t="s">
        <v>143</v>
      </c>
      <c r="D375" s="14">
        <v>0.3</v>
      </c>
      <c r="E375" s="13">
        <v>79823</v>
      </c>
      <c r="F375" s="310"/>
      <c r="G375" s="311"/>
      <c r="H375" s="312"/>
      <c r="I375" s="313"/>
      <c r="J375" s="314"/>
      <c r="K375" s="315"/>
      <c r="L375" s="316"/>
      <c r="M375" s="317"/>
      <c r="N375" s="318"/>
      <c r="O375" s="319"/>
      <c r="P375" s="320"/>
      <c r="Q375" s="321"/>
    </row>
    <row r="376" spans="1:17" ht="11.25" customHeight="1" x14ac:dyDescent="0.15">
      <c r="A376" s="309"/>
      <c r="B376" s="322" t="s">
        <v>435</v>
      </c>
      <c r="C376" s="12" t="s">
        <v>110</v>
      </c>
      <c r="D376" s="14">
        <v>11.68</v>
      </c>
      <c r="E376" s="13">
        <v>51796</v>
      </c>
      <c r="F376" s="310"/>
      <c r="G376" s="311"/>
      <c r="H376" s="312"/>
      <c r="I376" s="313"/>
      <c r="J376" s="314"/>
      <c r="K376" s="315"/>
      <c r="L376" s="316"/>
      <c r="M376" s="317"/>
      <c r="N376" s="318"/>
      <c r="O376" s="319"/>
      <c r="P376" s="320"/>
      <c r="Q376" s="321"/>
    </row>
    <row r="377" spans="1:17" ht="11.25" customHeight="1" x14ac:dyDescent="0.15">
      <c r="A377" s="309"/>
      <c r="B377" s="322" t="s">
        <v>438</v>
      </c>
      <c r="C377" s="12" t="s">
        <v>113</v>
      </c>
      <c r="D377" s="14">
        <v>1.01</v>
      </c>
      <c r="E377" s="13">
        <v>41882</v>
      </c>
      <c r="F377" s="310"/>
      <c r="G377" s="311"/>
      <c r="H377" s="312"/>
      <c r="I377" s="313"/>
      <c r="J377" s="314"/>
      <c r="K377" s="315"/>
      <c r="L377" s="316"/>
      <c r="M377" s="317"/>
      <c r="N377" s="318"/>
      <c r="O377" s="319"/>
      <c r="P377" s="320"/>
      <c r="Q377" s="321"/>
    </row>
    <row r="378" spans="1:17" ht="11.25" customHeight="1" x14ac:dyDescent="0.15">
      <c r="A378" s="309"/>
      <c r="B378" s="322" t="s">
        <v>440</v>
      </c>
      <c r="C378" s="12" t="s">
        <v>115</v>
      </c>
      <c r="D378" s="14">
        <v>0.6</v>
      </c>
      <c r="E378" s="13">
        <v>53563</v>
      </c>
      <c r="F378" s="310"/>
      <c r="G378" s="311"/>
      <c r="H378" s="312"/>
      <c r="I378" s="313"/>
      <c r="J378" s="314"/>
      <c r="K378" s="315"/>
      <c r="L378" s="316"/>
      <c r="M378" s="317"/>
      <c r="N378" s="318"/>
      <c r="O378" s="319"/>
      <c r="P378" s="320"/>
      <c r="Q378" s="321"/>
    </row>
    <row r="379" spans="1:17" ht="11.25" customHeight="1" x14ac:dyDescent="0.25">
      <c r="A379" s="264"/>
      <c r="B379" s="323"/>
      <c r="C379" s="264"/>
      <c r="D379" s="132"/>
      <c r="E379" s="98"/>
      <c r="F379" s="324">
        <f>SUM(D372:D375)</f>
        <v>4.62</v>
      </c>
      <c r="G379" s="325">
        <f>(SUMPRODUCT(D372:D375,E372:E375))</f>
        <v>320638</v>
      </c>
      <c r="H379" s="326">
        <f>SUM(D372:D372)</f>
        <v>0.14000000000000001</v>
      </c>
      <c r="I379" s="327">
        <f>(SUMPRODUCT(D372:D372,E372:E372))</f>
        <v>16858.800000000003</v>
      </c>
      <c r="J379" s="328">
        <f>SUM(D373:D375)</f>
        <v>4.4799999999999995</v>
      </c>
      <c r="K379" s="329">
        <f>(SUMPRODUCT(D373:D375,E373:E375))</f>
        <v>303779.20000000001</v>
      </c>
      <c r="L379" s="330"/>
      <c r="M379" s="331"/>
      <c r="N379" s="332">
        <f>+H379+J379+L379</f>
        <v>4.6199999999999992</v>
      </c>
      <c r="O379" s="333">
        <f>+I379+K379+M379</f>
        <v>320638</v>
      </c>
      <c r="P379" s="334">
        <f>SUM(D376:D378)</f>
        <v>13.29</v>
      </c>
      <c r="Q379" s="335">
        <f>(SUMPRODUCT(D376:D378,E376:E378))</f>
        <v>679415.9</v>
      </c>
    </row>
    <row r="380" spans="1:17" ht="11.25" customHeight="1" x14ac:dyDescent="0.15">
      <c r="A380" s="344">
        <v>58</v>
      </c>
      <c r="B380" s="337" t="s">
        <v>311</v>
      </c>
      <c r="C380" s="338"/>
      <c r="D380" s="339"/>
      <c r="E380" s="340"/>
      <c r="F380" s="310"/>
      <c r="G380" s="311"/>
      <c r="H380" s="312"/>
      <c r="I380" s="313"/>
      <c r="J380" s="314"/>
      <c r="K380" s="315"/>
      <c r="L380" s="316"/>
      <c r="M380" s="317"/>
      <c r="N380" s="318"/>
      <c r="O380" s="319"/>
      <c r="P380" s="320"/>
      <c r="Q380" s="321"/>
    </row>
    <row r="381" spans="1:17" ht="11.25" customHeight="1" x14ac:dyDescent="0.15">
      <c r="A381" s="309"/>
      <c r="B381" s="322" t="s">
        <v>410</v>
      </c>
      <c r="C381" s="12" t="s">
        <v>134</v>
      </c>
      <c r="D381" s="14">
        <v>4.12</v>
      </c>
      <c r="E381" s="13">
        <v>148043</v>
      </c>
      <c r="F381" s="310"/>
      <c r="G381" s="311"/>
      <c r="H381" s="312"/>
      <c r="I381" s="313"/>
      <c r="J381" s="314"/>
      <c r="K381" s="315"/>
      <c r="L381" s="316"/>
      <c r="M381" s="317"/>
      <c r="N381" s="318"/>
      <c r="O381" s="319"/>
      <c r="P381" s="320"/>
      <c r="Q381" s="321"/>
    </row>
    <row r="382" spans="1:17" ht="11.25" customHeight="1" x14ac:dyDescent="0.15">
      <c r="A382" s="309"/>
      <c r="B382" s="322" t="s">
        <v>411</v>
      </c>
      <c r="C382" s="12" t="s">
        <v>141</v>
      </c>
      <c r="D382" s="14">
        <v>0.08</v>
      </c>
      <c r="E382" s="13">
        <v>148067</v>
      </c>
      <c r="F382" s="342"/>
      <c r="G382" s="325"/>
      <c r="H382" s="312"/>
      <c r="I382" s="327"/>
      <c r="J382" s="314"/>
      <c r="K382" s="329"/>
      <c r="L382" s="316"/>
      <c r="M382" s="331"/>
      <c r="N382" s="318"/>
      <c r="O382" s="333"/>
      <c r="P382" s="320"/>
      <c r="Q382" s="335"/>
    </row>
    <row r="383" spans="1:17" ht="11.25" customHeight="1" x14ac:dyDescent="0.15">
      <c r="A383" s="309"/>
      <c r="B383" s="322" t="s">
        <v>413</v>
      </c>
      <c r="C383" s="12" t="s">
        <v>142</v>
      </c>
      <c r="D383" s="14">
        <v>0.17</v>
      </c>
      <c r="E383" s="13">
        <v>148063</v>
      </c>
      <c r="F383" s="342"/>
      <c r="G383" s="325"/>
      <c r="H383" s="312"/>
      <c r="I383" s="327"/>
      <c r="J383" s="314"/>
      <c r="K383" s="329"/>
      <c r="L383" s="316"/>
      <c r="M383" s="331"/>
      <c r="N383" s="318"/>
      <c r="O383" s="333"/>
      <c r="P383" s="320"/>
      <c r="Q383" s="335"/>
    </row>
    <row r="384" spans="1:17" ht="11.25" customHeight="1" x14ac:dyDescent="0.15">
      <c r="A384" s="309"/>
      <c r="B384" s="322" t="s">
        <v>414</v>
      </c>
      <c r="C384" s="12" t="s">
        <v>150</v>
      </c>
      <c r="D384" s="14">
        <v>0.25</v>
      </c>
      <c r="E384" s="13">
        <v>131900</v>
      </c>
      <c r="F384" s="342"/>
      <c r="G384" s="325"/>
      <c r="H384" s="312"/>
      <c r="I384" s="327"/>
      <c r="J384" s="314"/>
      <c r="K384" s="329"/>
      <c r="L384" s="316"/>
      <c r="M384" s="331"/>
      <c r="N384" s="318"/>
      <c r="O384" s="333"/>
      <c r="P384" s="320"/>
      <c r="Q384" s="335"/>
    </row>
    <row r="385" spans="1:17" ht="11.25" customHeight="1" x14ac:dyDescent="0.15">
      <c r="A385" s="337"/>
      <c r="B385" s="322" t="s">
        <v>415</v>
      </c>
      <c r="C385" s="12" t="s">
        <v>135</v>
      </c>
      <c r="D385" s="14">
        <v>0.13</v>
      </c>
      <c r="E385" s="13">
        <v>97432</v>
      </c>
      <c r="F385" s="310"/>
      <c r="G385" s="311"/>
      <c r="H385" s="312"/>
      <c r="I385" s="313"/>
      <c r="J385" s="314"/>
      <c r="K385" s="315"/>
      <c r="L385" s="316"/>
      <c r="M385" s="317"/>
      <c r="N385" s="318"/>
      <c r="O385" s="319"/>
      <c r="P385" s="320"/>
      <c r="Q385" s="321"/>
    </row>
    <row r="386" spans="1:17" ht="11.25" customHeight="1" x14ac:dyDescent="0.15">
      <c r="A386" s="309"/>
      <c r="B386" s="322" t="s">
        <v>416</v>
      </c>
      <c r="C386" s="12" t="s">
        <v>526</v>
      </c>
      <c r="D386" s="14">
        <v>2.5499999999999998</v>
      </c>
      <c r="E386" s="13">
        <v>84601</v>
      </c>
      <c r="F386" s="310"/>
      <c r="G386" s="311"/>
      <c r="H386" s="312"/>
      <c r="I386" s="313"/>
      <c r="J386" s="314"/>
      <c r="K386" s="315"/>
      <c r="L386" s="316"/>
      <c r="M386" s="317"/>
      <c r="N386" s="318"/>
      <c r="O386" s="319"/>
      <c r="P386" s="320"/>
      <c r="Q386" s="321"/>
    </row>
    <row r="387" spans="1:17" ht="11.25" customHeight="1" x14ac:dyDescent="0.15">
      <c r="A387" s="309"/>
      <c r="B387" s="322" t="s">
        <v>417</v>
      </c>
      <c r="C387" s="12" t="s">
        <v>136</v>
      </c>
      <c r="D387" s="14">
        <v>1.62</v>
      </c>
      <c r="E387" s="13">
        <v>79269</v>
      </c>
      <c r="F387" s="310"/>
      <c r="G387" s="311"/>
      <c r="H387" s="312"/>
      <c r="I387" s="313"/>
      <c r="J387" s="314"/>
      <c r="K387" s="315"/>
      <c r="L387" s="316"/>
      <c r="M387" s="317"/>
      <c r="N387" s="318"/>
      <c r="O387" s="319"/>
      <c r="P387" s="320"/>
      <c r="Q387" s="321"/>
    </row>
    <row r="388" spans="1:17" ht="11.25" customHeight="1" x14ac:dyDescent="0.15">
      <c r="A388" s="309"/>
      <c r="B388" s="322" t="s">
        <v>418</v>
      </c>
      <c r="C388" s="12" t="s">
        <v>137</v>
      </c>
      <c r="D388" s="14">
        <v>4.7300000000000004</v>
      </c>
      <c r="E388" s="13">
        <v>67662</v>
      </c>
      <c r="F388" s="310"/>
      <c r="G388" s="311"/>
      <c r="H388" s="312"/>
      <c r="I388" s="313"/>
      <c r="J388" s="314"/>
      <c r="K388" s="315"/>
      <c r="L388" s="316"/>
      <c r="M388" s="317"/>
      <c r="N388" s="318"/>
      <c r="O388" s="319"/>
      <c r="P388" s="320"/>
      <c r="Q388" s="321"/>
    </row>
    <row r="389" spans="1:17" ht="11.25" customHeight="1" x14ac:dyDescent="0.15">
      <c r="A389" s="309"/>
      <c r="B389" s="322" t="s">
        <v>527</v>
      </c>
      <c r="C389" s="12" t="s">
        <v>528</v>
      </c>
      <c r="D389" s="14">
        <v>1</v>
      </c>
      <c r="E389" s="13">
        <v>90719</v>
      </c>
      <c r="F389" s="310"/>
      <c r="G389" s="311"/>
      <c r="H389" s="312"/>
      <c r="I389" s="313"/>
      <c r="J389" s="314"/>
      <c r="K389" s="315"/>
      <c r="L389" s="316"/>
      <c r="M389" s="317"/>
      <c r="N389" s="318"/>
      <c r="O389" s="319"/>
      <c r="P389" s="320"/>
      <c r="Q389" s="321"/>
    </row>
    <row r="390" spans="1:17" ht="11.25" customHeight="1" x14ac:dyDescent="0.15">
      <c r="A390" s="309"/>
      <c r="B390" s="322" t="s">
        <v>419</v>
      </c>
      <c r="C390" s="12" t="s">
        <v>138</v>
      </c>
      <c r="D390" s="14">
        <v>25.58</v>
      </c>
      <c r="E390" s="13">
        <v>88730</v>
      </c>
      <c r="F390" s="310"/>
      <c r="G390" s="311"/>
      <c r="H390" s="312"/>
      <c r="I390" s="313"/>
      <c r="J390" s="314"/>
      <c r="K390" s="315"/>
      <c r="L390" s="316"/>
      <c r="M390" s="317"/>
      <c r="N390" s="318"/>
      <c r="O390" s="319"/>
      <c r="P390" s="320"/>
      <c r="Q390" s="321"/>
    </row>
    <row r="391" spans="1:17" ht="11.25" customHeight="1" x14ac:dyDescent="0.15">
      <c r="A391" s="309"/>
      <c r="B391" s="322" t="s">
        <v>420</v>
      </c>
      <c r="C391" s="12" t="s">
        <v>149</v>
      </c>
      <c r="D391" s="14">
        <v>0</v>
      </c>
      <c r="E391" s="13">
        <v>0</v>
      </c>
      <c r="F391" s="310"/>
      <c r="G391" s="311"/>
      <c r="H391" s="312"/>
      <c r="I391" s="313"/>
      <c r="J391" s="314"/>
      <c r="K391" s="315"/>
      <c r="L391" s="316"/>
      <c r="M391" s="317"/>
      <c r="N391" s="318"/>
      <c r="O391" s="319"/>
      <c r="P391" s="320"/>
      <c r="Q391" s="321"/>
    </row>
    <row r="392" spans="1:17" ht="11.25" customHeight="1" x14ac:dyDescent="0.15">
      <c r="A392" s="309"/>
      <c r="B392" s="322" t="s">
        <v>421</v>
      </c>
      <c r="C392" s="12" t="s">
        <v>143</v>
      </c>
      <c r="D392" s="14">
        <v>0.27</v>
      </c>
      <c r="E392" s="13">
        <v>77184</v>
      </c>
      <c r="F392" s="310"/>
      <c r="G392" s="311"/>
      <c r="H392" s="312"/>
      <c r="I392" s="313"/>
      <c r="J392" s="314"/>
      <c r="K392" s="315"/>
      <c r="L392" s="316"/>
      <c r="M392" s="317"/>
      <c r="N392" s="318"/>
      <c r="O392" s="319"/>
      <c r="P392" s="320"/>
      <c r="Q392" s="321"/>
    </row>
    <row r="393" spans="1:17" ht="11.25" customHeight="1" x14ac:dyDescent="0.15">
      <c r="A393" s="309"/>
      <c r="B393" s="322" t="s">
        <v>422</v>
      </c>
      <c r="C393" s="12" t="s">
        <v>144</v>
      </c>
      <c r="D393" s="14">
        <v>0</v>
      </c>
      <c r="E393" s="13">
        <v>0</v>
      </c>
      <c r="F393" s="310"/>
      <c r="G393" s="311"/>
      <c r="H393" s="312"/>
      <c r="I393" s="313"/>
      <c r="J393" s="314"/>
      <c r="K393" s="315"/>
      <c r="L393" s="316"/>
      <c r="M393" s="317"/>
      <c r="N393" s="318"/>
      <c r="O393" s="319"/>
      <c r="P393" s="320"/>
      <c r="Q393" s="321"/>
    </row>
    <row r="394" spans="1:17" ht="11.25" customHeight="1" x14ac:dyDescent="0.15">
      <c r="A394" s="309"/>
      <c r="B394" s="322" t="s">
        <v>424</v>
      </c>
      <c r="C394" s="12" t="s">
        <v>272</v>
      </c>
      <c r="D394" s="14">
        <v>0</v>
      </c>
      <c r="E394" s="13">
        <v>0</v>
      </c>
      <c r="F394" s="310"/>
      <c r="G394" s="311"/>
      <c r="H394" s="312"/>
      <c r="I394" s="313"/>
      <c r="J394" s="314"/>
      <c r="K394" s="315"/>
      <c r="L394" s="316"/>
      <c r="M394" s="317"/>
      <c r="N394" s="318"/>
      <c r="O394" s="319"/>
      <c r="P394" s="320"/>
      <c r="Q394" s="321"/>
    </row>
    <row r="395" spans="1:17" ht="11.25" customHeight="1" x14ac:dyDescent="0.15">
      <c r="A395" s="309"/>
      <c r="B395" s="322" t="s">
        <v>425</v>
      </c>
      <c r="C395" s="12" t="s">
        <v>146</v>
      </c>
      <c r="D395" s="14">
        <v>0.4</v>
      </c>
      <c r="E395" s="13">
        <v>56890</v>
      </c>
      <c r="F395" s="310"/>
      <c r="G395" s="311"/>
      <c r="H395" s="312"/>
      <c r="I395" s="313"/>
      <c r="J395" s="314"/>
      <c r="K395" s="315"/>
      <c r="L395" s="316"/>
      <c r="M395" s="317"/>
      <c r="N395" s="318"/>
      <c r="O395" s="319"/>
      <c r="P395" s="320"/>
      <c r="Q395" s="321"/>
    </row>
    <row r="396" spans="1:17" ht="11.25" customHeight="1" x14ac:dyDescent="0.15">
      <c r="A396" s="309"/>
      <c r="B396" s="322" t="s">
        <v>426</v>
      </c>
      <c r="C396" s="12" t="s">
        <v>147</v>
      </c>
      <c r="D396" s="14">
        <v>0.13</v>
      </c>
      <c r="E396" s="13">
        <v>58563</v>
      </c>
      <c r="F396" s="310"/>
      <c r="G396" s="311"/>
      <c r="H396" s="312"/>
      <c r="I396" s="313"/>
      <c r="J396" s="314"/>
      <c r="K396" s="315"/>
      <c r="L396" s="316"/>
      <c r="M396" s="317"/>
      <c r="N396" s="318"/>
      <c r="O396" s="319"/>
      <c r="P396" s="320"/>
      <c r="Q396" s="321"/>
    </row>
    <row r="397" spans="1:17" ht="11.25" customHeight="1" x14ac:dyDescent="0.15">
      <c r="A397" s="309"/>
      <c r="B397" s="322" t="s">
        <v>427</v>
      </c>
      <c r="C397" s="12" t="s">
        <v>148</v>
      </c>
      <c r="D397" s="14">
        <v>0</v>
      </c>
      <c r="E397" s="13">
        <v>0</v>
      </c>
      <c r="F397" s="310"/>
      <c r="G397" s="311"/>
      <c r="H397" s="312"/>
      <c r="I397" s="313"/>
      <c r="J397" s="314"/>
      <c r="K397" s="315"/>
      <c r="L397" s="316"/>
      <c r="M397" s="317"/>
      <c r="N397" s="318"/>
      <c r="O397" s="319"/>
      <c r="P397" s="320"/>
      <c r="Q397" s="321"/>
    </row>
    <row r="398" spans="1:17" ht="11.25" customHeight="1" x14ac:dyDescent="0.15">
      <c r="A398" s="337"/>
      <c r="B398" s="322" t="s">
        <v>435</v>
      </c>
      <c r="C398" s="12" t="s">
        <v>110</v>
      </c>
      <c r="D398" s="14">
        <v>51.1</v>
      </c>
      <c r="E398" s="13">
        <v>41964</v>
      </c>
      <c r="F398" s="310"/>
      <c r="G398" s="311"/>
      <c r="H398" s="312"/>
      <c r="I398" s="313"/>
      <c r="J398" s="314"/>
      <c r="K398" s="315"/>
      <c r="L398" s="316"/>
      <c r="M398" s="317"/>
      <c r="N398" s="318"/>
      <c r="O398" s="319"/>
      <c r="P398" s="320"/>
      <c r="Q398" s="321"/>
    </row>
    <row r="399" spans="1:17" ht="11.25" customHeight="1" x14ac:dyDescent="0.15">
      <c r="A399" s="337"/>
      <c r="B399" s="322" t="s">
        <v>438</v>
      </c>
      <c r="C399" s="12" t="s">
        <v>113</v>
      </c>
      <c r="D399" s="14">
        <v>7.8</v>
      </c>
      <c r="E399" s="13">
        <v>47910</v>
      </c>
      <c r="F399" s="310"/>
      <c r="G399" s="311"/>
      <c r="H399" s="312"/>
      <c r="I399" s="313"/>
      <c r="J399" s="314"/>
      <c r="K399" s="315"/>
      <c r="L399" s="316"/>
      <c r="M399" s="317"/>
      <c r="N399" s="318"/>
      <c r="O399" s="319"/>
      <c r="P399" s="320"/>
      <c r="Q399" s="321"/>
    </row>
    <row r="400" spans="1:17" ht="11.25" customHeight="1" x14ac:dyDescent="0.15">
      <c r="A400" s="337"/>
      <c r="B400" s="322" t="s">
        <v>440</v>
      </c>
      <c r="C400" s="12" t="s">
        <v>115</v>
      </c>
      <c r="D400" s="14">
        <v>11.28</v>
      </c>
      <c r="E400" s="13">
        <v>55743</v>
      </c>
      <c r="F400" s="310"/>
      <c r="G400" s="311"/>
      <c r="H400" s="312"/>
      <c r="I400" s="313"/>
      <c r="J400" s="314"/>
      <c r="K400" s="315"/>
      <c r="L400" s="316"/>
      <c r="M400" s="317"/>
      <c r="N400" s="318"/>
      <c r="O400" s="319"/>
      <c r="P400" s="320"/>
      <c r="Q400" s="321"/>
    </row>
    <row r="401" spans="1:17" ht="11.25" customHeight="1" x14ac:dyDescent="0.15">
      <c r="A401" s="337"/>
      <c r="B401" s="322" t="s">
        <v>442</v>
      </c>
      <c r="C401" s="12" t="s">
        <v>117</v>
      </c>
      <c r="D401" s="14">
        <v>0.48</v>
      </c>
      <c r="E401" s="13">
        <v>51757</v>
      </c>
      <c r="F401" s="310"/>
      <c r="G401" s="311"/>
      <c r="H401" s="312"/>
      <c r="I401" s="313"/>
      <c r="J401" s="314"/>
      <c r="K401" s="315"/>
      <c r="L401" s="316"/>
      <c r="M401" s="317"/>
      <c r="N401" s="318"/>
      <c r="O401" s="319"/>
      <c r="P401" s="320"/>
      <c r="Q401" s="321"/>
    </row>
    <row r="402" spans="1:17" ht="11.25" customHeight="1" x14ac:dyDescent="0.15">
      <c r="A402" s="337"/>
      <c r="B402" s="322" t="s">
        <v>443</v>
      </c>
      <c r="C402" s="12" t="s">
        <v>109</v>
      </c>
      <c r="D402" s="14">
        <v>3.6</v>
      </c>
      <c r="E402" s="13">
        <v>72418</v>
      </c>
      <c r="F402" s="310"/>
      <c r="G402" s="311"/>
      <c r="H402" s="312"/>
      <c r="I402" s="313"/>
      <c r="J402" s="314"/>
      <c r="K402" s="315"/>
      <c r="L402" s="316"/>
      <c r="M402" s="317"/>
      <c r="N402" s="318"/>
      <c r="O402" s="319"/>
      <c r="P402" s="320"/>
      <c r="Q402" s="321"/>
    </row>
    <row r="403" spans="1:17" ht="11.25" customHeight="1" x14ac:dyDescent="0.25">
      <c r="A403" s="264"/>
      <c r="B403" s="323"/>
      <c r="C403" s="264"/>
      <c r="D403" s="132"/>
      <c r="E403" s="98"/>
      <c r="F403" s="324">
        <f>SUM(D381:D397)</f>
        <v>41.03</v>
      </c>
      <c r="G403" s="325">
        <f>(SUMPRODUCT(D381:D397,E381:E397))</f>
        <v>3768425.25</v>
      </c>
      <c r="H403" s="326">
        <f>SUM(D381:D385)</f>
        <v>4.75</v>
      </c>
      <c r="I403" s="327">
        <f>(SUMPRODUCT(D381:D385,E381:E385))</f>
        <v>692594.39</v>
      </c>
      <c r="J403" s="328">
        <f>SUM(D386:D397)</f>
        <v>36.28</v>
      </c>
      <c r="K403" s="329">
        <f>(SUMPRODUCT(D386:D397,E386:E397))</f>
        <v>3075830.8600000003</v>
      </c>
      <c r="L403" s="330"/>
      <c r="M403" s="331"/>
      <c r="N403" s="332">
        <f>+H403+J403+L403</f>
        <v>41.03</v>
      </c>
      <c r="O403" s="333">
        <f>+I403+K403+M403</f>
        <v>3768425.2500000005</v>
      </c>
      <c r="P403" s="334">
        <f>SUM(D398:D402)</f>
        <v>74.259999999999991</v>
      </c>
      <c r="Q403" s="335">
        <f>(SUMPRODUCT(D398:D402,E398:E402))</f>
        <v>3432387.5999999996</v>
      </c>
    </row>
    <row r="404" spans="1:17" ht="11.25" customHeight="1" x14ac:dyDescent="0.15">
      <c r="A404" s="336">
        <v>59</v>
      </c>
      <c r="B404" s="322" t="s">
        <v>385</v>
      </c>
      <c r="C404" s="12"/>
      <c r="D404" s="14"/>
      <c r="E404" s="13"/>
      <c r="F404" s="310"/>
      <c r="G404" s="311"/>
      <c r="H404" s="312"/>
      <c r="I404" s="313"/>
      <c r="J404" s="314"/>
      <c r="K404" s="315"/>
      <c r="L404" s="316"/>
      <c r="M404" s="317"/>
      <c r="N404" s="318"/>
      <c r="O404" s="319"/>
      <c r="P404" s="320"/>
      <c r="Q404" s="321"/>
    </row>
    <row r="405" spans="1:17" ht="11.25" customHeight="1" x14ac:dyDescent="0.15">
      <c r="A405" s="336"/>
      <c r="B405" s="322" t="s">
        <v>417</v>
      </c>
      <c r="C405" s="12" t="s">
        <v>136</v>
      </c>
      <c r="D405" s="14">
        <v>1</v>
      </c>
      <c r="E405" s="13">
        <v>78184</v>
      </c>
      <c r="F405" s="342"/>
      <c r="G405" s="325"/>
      <c r="H405" s="312"/>
      <c r="I405" s="327"/>
      <c r="J405" s="314"/>
      <c r="K405" s="329"/>
      <c r="L405" s="316"/>
      <c r="M405" s="331"/>
      <c r="N405" s="318"/>
      <c r="O405" s="333"/>
      <c r="P405" s="320"/>
      <c r="Q405" s="335"/>
    </row>
    <row r="406" spans="1:17" ht="11.25" customHeight="1" x14ac:dyDescent="0.15">
      <c r="A406" s="336"/>
      <c r="B406" s="322" t="s">
        <v>419</v>
      </c>
      <c r="C406" s="12" t="s">
        <v>138</v>
      </c>
      <c r="D406" s="14">
        <v>0</v>
      </c>
      <c r="E406" s="13">
        <v>0</v>
      </c>
      <c r="F406" s="342"/>
      <c r="G406" s="325"/>
      <c r="H406" s="312"/>
      <c r="I406" s="327"/>
      <c r="J406" s="314"/>
      <c r="K406" s="329"/>
      <c r="L406" s="316"/>
      <c r="M406" s="331"/>
      <c r="N406" s="318"/>
      <c r="O406" s="333"/>
      <c r="P406" s="320"/>
      <c r="Q406" s="335"/>
    </row>
    <row r="407" spans="1:17" ht="11.25" customHeight="1" x14ac:dyDescent="0.25">
      <c r="A407" s="264"/>
      <c r="B407" s="323"/>
      <c r="C407" s="264"/>
      <c r="D407" s="132"/>
      <c r="E407" s="98"/>
      <c r="F407" s="324">
        <f>SUM(D405:D406)</f>
        <v>1</v>
      </c>
      <c r="G407" s="325">
        <f>(SUMPRODUCT(D405:D406,E405:E406))</f>
        <v>78184</v>
      </c>
      <c r="H407" s="326"/>
      <c r="I407" s="327"/>
      <c r="J407" s="328">
        <f>SUM(D405:D406)</f>
        <v>1</v>
      </c>
      <c r="K407" s="329">
        <f>(SUMPRODUCT(D405:D406,E405:E406))</f>
        <v>78184</v>
      </c>
      <c r="L407" s="330"/>
      <c r="M407" s="331"/>
      <c r="N407" s="332">
        <f>+H407+J407+L407</f>
        <v>1</v>
      </c>
      <c r="O407" s="333">
        <f>+I407+K407+M407</f>
        <v>78184</v>
      </c>
      <c r="P407" s="334"/>
      <c r="Q407" s="335"/>
    </row>
    <row r="408" spans="1:17" ht="11.25" customHeight="1" x14ac:dyDescent="0.15">
      <c r="A408" s="309">
        <v>61</v>
      </c>
      <c r="B408" s="337" t="s">
        <v>312</v>
      </c>
      <c r="C408" s="338"/>
      <c r="D408" s="339"/>
      <c r="E408" s="340"/>
      <c r="F408" s="310"/>
      <c r="G408" s="311"/>
      <c r="H408" s="312"/>
      <c r="I408" s="313"/>
      <c r="J408" s="314"/>
      <c r="K408" s="315"/>
      <c r="L408" s="316"/>
      <c r="M408" s="317"/>
      <c r="N408" s="318"/>
      <c r="O408" s="319"/>
      <c r="P408" s="320"/>
      <c r="Q408" s="321"/>
    </row>
    <row r="409" spans="1:17" ht="11.25" customHeight="1" x14ac:dyDescent="0.15">
      <c r="A409" s="344"/>
      <c r="B409" s="322" t="s">
        <v>410</v>
      </c>
      <c r="C409" s="12" t="s">
        <v>134</v>
      </c>
      <c r="D409" s="14">
        <v>0.55000000000000004</v>
      </c>
      <c r="E409" s="13">
        <v>114989</v>
      </c>
      <c r="F409" s="310"/>
      <c r="G409" s="311"/>
      <c r="H409" s="312"/>
      <c r="I409" s="313"/>
      <c r="J409" s="314"/>
      <c r="K409" s="315"/>
      <c r="L409" s="316"/>
      <c r="M409" s="317"/>
      <c r="N409" s="318"/>
      <c r="O409" s="319"/>
      <c r="P409" s="320"/>
      <c r="Q409" s="321"/>
    </row>
    <row r="410" spans="1:17" ht="11.25" customHeight="1" x14ac:dyDescent="0.15">
      <c r="A410" s="309"/>
      <c r="B410" s="322" t="s">
        <v>411</v>
      </c>
      <c r="C410" s="12" t="s">
        <v>141</v>
      </c>
      <c r="D410" s="14">
        <v>0.1</v>
      </c>
      <c r="E410" s="13">
        <v>146040</v>
      </c>
      <c r="F410" s="310"/>
      <c r="G410" s="311"/>
      <c r="H410" s="312"/>
      <c r="I410" s="313"/>
      <c r="J410" s="314"/>
      <c r="K410" s="315"/>
      <c r="L410" s="316"/>
      <c r="M410" s="317"/>
      <c r="N410" s="318"/>
      <c r="O410" s="319"/>
      <c r="P410" s="320"/>
      <c r="Q410" s="321"/>
    </row>
    <row r="411" spans="1:17" ht="11.25" customHeight="1" x14ac:dyDescent="0.15">
      <c r="A411" s="309"/>
      <c r="B411" s="322" t="s">
        <v>412</v>
      </c>
      <c r="C411" s="12" t="s">
        <v>151</v>
      </c>
      <c r="D411" s="14">
        <v>0.06</v>
      </c>
      <c r="E411" s="13">
        <v>124238</v>
      </c>
      <c r="F411" s="310"/>
      <c r="G411" s="311"/>
      <c r="H411" s="312"/>
      <c r="I411" s="313"/>
      <c r="J411" s="314"/>
      <c r="K411" s="315"/>
      <c r="L411" s="316"/>
      <c r="M411" s="317"/>
      <c r="N411" s="318"/>
      <c r="O411" s="319"/>
      <c r="P411" s="320"/>
      <c r="Q411" s="321"/>
    </row>
    <row r="412" spans="1:17" ht="11.25" customHeight="1" x14ac:dyDescent="0.15">
      <c r="A412" s="309"/>
      <c r="B412" s="322" t="s">
        <v>418</v>
      </c>
      <c r="C412" s="12" t="s">
        <v>137</v>
      </c>
      <c r="D412" s="14">
        <v>3</v>
      </c>
      <c r="E412" s="13">
        <v>59597</v>
      </c>
      <c r="F412" s="310"/>
      <c r="G412" s="311"/>
      <c r="H412" s="312"/>
      <c r="I412" s="313"/>
      <c r="J412" s="314"/>
      <c r="K412" s="315"/>
      <c r="L412" s="316"/>
      <c r="M412" s="317"/>
      <c r="N412" s="318"/>
      <c r="O412" s="319"/>
      <c r="P412" s="320"/>
      <c r="Q412" s="321"/>
    </row>
    <row r="413" spans="1:17" ht="11.25" customHeight="1" x14ac:dyDescent="0.15">
      <c r="A413" s="309"/>
      <c r="B413" s="322" t="s">
        <v>419</v>
      </c>
      <c r="C413" s="12" t="s">
        <v>138</v>
      </c>
      <c r="D413" s="14">
        <v>5.2</v>
      </c>
      <c r="E413" s="13">
        <v>81336</v>
      </c>
      <c r="F413" s="310"/>
      <c r="G413" s="311"/>
      <c r="H413" s="312"/>
      <c r="I413" s="313"/>
      <c r="J413" s="314"/>
      <c r="K413" s="315"/>
      <c r="L413" s="316"/>
      <c r="M413" s="317"/>
      <c r="N413" s="318"/>
      <c r="O413" s="319"/>
      <c r="P413" s="320"/>
      <c r="Q413" s="321"/>
    </row>
    <row r="414" spans="1:17" ht="11.25" customHeight="1" x14ac:dyDescent="0.15">
      <c r="A414" s="309"/>
      <c r="B414" s="322" t="s">
        <v>426</v>
      </c>
      <c r="C414" s="12" t="s">
        <v>147</v>
      </c>
      <c r="D414" s="14">
        <v>2</v>
      </c>
      <c r="E414" s="13">
        <v>87949</v>
      </c>
      <c r="F414" s="310"/>
      <c r="G414" s="311"/>
      <c r="H414" s="312"/>
      <c r="I414" s="313"/>
      <c r="J414" s="314"/>
      <c r="K414" s="315"/>
      <c r="L414" s="316"/>
      <c r="M414" s="317"/>
      <c r="N414" s="318"/>
      <c r="O414" s="319"/>
      <c r="P414" s="320"/>
      <c r="Q414" s="321"/>
    </row>
    <row r="415" spans="1:17" ht="11.25" customHeight="1" x14ac:dyDescent="0.15">
      <c r="A415" s="309"/>
      <c r="B415" s="322" t="s">
        <v>435</v>
      </c>
      <c r="C415" s="12" t="s">
        <v>110</v>
      </c>
      <c r="D415" s="14">
        <v>138.26</v>
      </c>
      <c r="E415" s="13">
        <v>51311</v>
      </c>
      <c r="F415" s="342"/>
      <c r="G415" s="325"/>
      <c r="H415" s="312"/>
      <c r="I415" s="327"/>
      <c r="J415" s="314"/>
      <c r="K415" s="329"/>
      <c r="L415" s="316"/>
      <c r="M415" s="331"/>
      <c r="N415" s="318"/>
      <c r="O415" s="333"/>
      <c r="P415" s="320"/>
      <c r="Q415" s="335"/>
    </row>
    <row r="416" spans="1:17" ht="11.25" customHeight="1" x14ac:dyDescent="0.15">
      <c r="A416" s="309"/>
      <c r="B416" s="322" t="s">
        <v>438</v>
      </c>
      <c r="C416" s="12" t="s">
        <v>113</v>
      </c>
      <c r="D416" s="14">
        <v>6.31</v>
      </c>
      <c r="E416" s="13">
        <v>63727</v>
      </c>
      <c r="F416" s="342"/>
      <c r="G416" s="325"/>
      <c r="H416" s="312"/>
      <c r="I416" s="327"/>
      <c r="J416" s="314"/>
      <c r="K416" s="329"/>
      <c r="L416" s="316"/>
      <c r="M416" s="331"/>
      <c r="N416" s="318"/>
      <c r="O416" s="333"/>
      <c r="P416" s="320"/>
      <c r="Q416" s="335"/>
    </row>
    <row r="417" spans="1:17" ht="11.25" customHeight="1" x14ac:dyDescent="0.15">
      <c r="A417" s="309"/>
      <c r="B417" s="322" t="s">
        <v>440</v>
      </c>
      <c r="C417" s="12" t="s">
        <v>115</v>
      </c>
      <c r="D417" s="14">
        <v>21.22</v>
      </c>
      <c r="E417" s="13">
        <v>70459</v>
      </c>
      <c r="F417" s="310"/>
      <c r="G417" s="311"/>
      <c r="H417" s="312"/>
      <c r="I417" s="313"/>
      <c r="J417" s="314"/>
      <c r="K417" s="315"/>
      <c r="L417" s="316"/>
      <c r="M417" s="317"/>
      <c r="N417" s="318"/>
      <c r="O417" s="319"/>
      <c r="P417" s="320"/>
      <c r="Q417" s="321"/>
    </row>
    <row r="418" spans="1:17" ht="11.25" customHeight="1" x14ac:dyDescent="0.15">
      <c r="A418" s="309"/>
      <c r="B418" s="322" t="s">
        <v>441</v>
      </c>
      <c r="C418" s="12" t="s">
        <v>116</v>
      </c>
      <c r="D418" s="14">
        <v>0.36</v>
      </c>
      <c r="E418" s="13">
        <v>40236</v>
      </c>
      <c r="F418" s="310"/>
      <c r="G418" s="311"/>
      <c r="H418" s="312"/>
      <c r="I418" s="313"/>
      <c r="J418" s="314"/>
      <c r="K418" s="315"/>
      <c r="L418" s="316"/>
      <c r="M418" s="317"/>
      <c r="N418" s="318"/>
      <c r="O418" s="319"/>
      <c r="P418" s="320"/>
      <c r="Q418" s="321"/>
    </row>
    <row r="419" spans="1:17" ht="11.25" customHeight="1" x14ac:dyDescent="0.15">
      <c r="A419" s="309"/>
      <c r="B419" s="322" t="s">
        <v>442</v>
      </c>
      <c r="C419" s="12" t="s">
        <v>117</v>
      </c>
      <c r="D419" s="14">
        <v>7.76</v>
      </c>
      <c r="E419" s="13">
        <v>77768</v>
      </c>
      <c r="F419" s="310"/>
      <c r="G419" s="311"/>
      <c r="H419" s="312"/>
      <c r="I419" s="313"/>
      <c r="J419" s="314"/>
      <c r="K419" s="315"/>
      <c r="L419" s="316"/>
      <c r="M419" s="317"/>
      <c r="N419" s="318"/>
      <c r="O419" s="319"/>
      <c r="P419" s="320"/>
      <c r="Q419" s="321"/>
    </row>
    <row r="420" spans="1:17" ht="11.25" customHeight="1" x14ac:dyDescent="0.15">
      <c r="A420" s="309"/>
      <c r="B420" s="322" t="s">
        <v>443</v>
      </c>
      <c r="C420" s="12" t="s">
        <v>109</v>
      </c>
      <c r="D420" s="14">
        <v>2.75</v>
      </c>
      <c r="E420" s="13">
        <v>117193</v>
      </c>
      <c r="F420" s="310"/>
      <c r="G420" s="311"/>
      <c r="H420" s="312"/>
      <c r="I420" s="313"/>
      <c r="J420" s="314"/>
      <c r="K420" s="315"/>
      <c r="L420" s="316"/>
      <c r="M420" s="317"/>
      <c r="N420" s="318"/>
      <c r="O420" s="319"/>
      <c r="P420" s="320"/>
      <c r="Q420" s="321"/>
    </row>
    <row r="421" spans="1:17" ht="11.25" customHeight="1" x14ac:dyDescent="0.25">
      <c r="A421" s="264"/>
      <c r="B421" s="323"/>
      <c r="C421" s="264"/>
      <c r="D421" s="132"/>
      <c r="E421" s="98"/>
      <c r="F421" s="324">
        <f>SUM(D409:D414)</f>
        <v>10.91</v>
      </c>
      <c r="G421" s="325">
        <f>(SUMPRODUCT(D409:D414,E409:E414))</f>
        <v>862938.42999999993</v>
      </c>
      <c r="H421" s="326">
        <f>SUM(D409:D411)</f>
        <v>0.71</v>
      </c>
      <c r="I421" s="327">
        <f>(SUMPRODUCT(D409:D411,E409:E411))</f>
        <v>85302.23000000001</v>
      </c>
      <c r="J421" s="328">
        <f>SUM(D412:D414)</f>
        <v>10.199999999999999</v>
      </c>
      <c r="K421" s="329">
        <f>(SUMPRODUCT(D412:D414,E412:E414))</f>
        <v>777636.2</v>
      </c>
      <c r="L421" s="330"/>
      <c r="M421" s="331"/>
      <c r="N421" s="332">
        <f>+H421+J421+L421</f>
        <v>10.91</v>
      </c>
      <c r="O421" s="333">
        <f>+I421+K421+M421</f>
        <v>862938.42999999993</v>
      </c>
      <c r="P421" s="334">
        <f>SUM(D415:D420)</f>
        <v>176.66</v>
      </c>
      <c r="Q421" s="335">
        <f>(SUMPRODUCT(D415:D420,E415:E420))</f>
        <v>9931761.5999999996</v>
      </c>
    </row>
    <row r="422" spans="1:17" ht="11.25" customHeight="1" x14ac:dyDescent="0.15">
      <c r="A422" s="309">
        <v>62</v>
      </c>
      <c r="B422" s="337" t="s">
        <v>357</v>
      </c>
      <c r="C422" s="338"/>
      <c r="D422" s="339"/>
      <c r="E422" s="340"/>
      <c r="F422" s="310"/>
      <c r="G422" s="311"/>
      <c r="H422" s="312"/>
      <c r="I422" s="313"/>
      <c r="J422" s="314"/>
      <c r="K422" s="315"/>
      <c r="L422" s="316"/>
      <c r="M422" s="317"/>
      <c r="N422" s="318"/>
      <c r="O422" s="319"/>
      <c r="P422" s="320"/>
      <c r="Q422" s="321"/>
    </row>
    <row r="423" spans="1:17" ht="11.25" customHeight="1" x14ac:dyDescent="0.15">
      <c r="A423" s="309"/>
      <c r="B423" s="322" t="s">
        <v>410</v>
      </c>
      <c r="C423" s="12" t="s">
        <v>134</v>
      </c>
      <c r="D423" s="14">
        <v>0.25</v>
      </c>
      <c r="E423" s="13">
        <v>143624</v>
      </c>
      <c r="F423" s="310"/>
      <c r="G423" s="311"/>
      <c r="H423" s="312"/>
      <c r="I423" s="313"/>
      <c r="J423" s="314"/>
      <c r="K423" s="315"/>
      <c r="L423" s="316"/>
      <c r="M423" s="317"/>
      <c r="N423" s="318"/>
      <c r="O423" s="319"/>
      <c r="P423" s="320"/>
      <c r="Q423" s="321"/>
    </row>
    <row r="424" spans="1:17" ht="11.25" customHeight="1" x14ac:dyDescent="0.15">
      <c r="A424" s="309"/>
      <c r="B424" s="322" t="s">
        <v>435</v>
      </c>
      <c r="C424" s="12" t="s">
        <v>110</v>
      </c>
      <c r="D424" s="14">
        <v>0.21</v>
      </c>
      <c r="E424" s="13">
        <v>38621</v>
      </c>
      <c r="F424" s="342"/>
      <c r="G424" s="325"/>
      <c r="H424" s="312"/>
      <c r="I424" s="327"/>
      <c r="J424" s="314"/>
      <c r="K424" s="329"/>
      <c r="L424" s="316"/>
      <c r="M424" s="331"/>
      <c r="N424" s="318"/>
      <c r="O424" s="333"/>
      <c r="P424" s="320"/>
      <c r="Q424" s="335"/>
    </row>
    <row r="425" spans="1:17" ht="11.25" customHeight="1" x14ac:dyDescent="0.25">
      <c r="A425" s="264"/>
      <c r="B425" s="323"/>
      <c r="C425" s="264"/>
      <c r="D425" s="132"/>
      <c r="E425" s="98"/>
      <c r="F425" s="324">
        <f>SUM(D423:D423)</f>
        <v>0.25</v>
      </c>
      <c r="G425" s="325">
        <f>(SUMPRODUCT(D423:D423,E423:E423))</f>
        <v>35906</v>
      </c>
      <c r="H425" s="326">
        <f>SUM(D423:D423)</f>
        <v>0.25</v>
      </c>
      <c r="I425" s="327">
        <f>(SUMPRODUCT(D423:D423,E423:E423))</f>
        <v>35906</v>
      </c>
      <c r="J425" s="328"/>
      <c r="K425" s="329"/>
      <c r="L425" s="330"/>
      <c r="M425" s="331"/>
      <c r="N425" s="332">
        <f>+H425+J425+L425</f>
        <v>0.25</v>
      </c>
      <c r="O425" s="333">
        <f>+I425+K425+M425</f>
        <v>35906</v>
      </c>
      <c r="P425" s="334">
        <f>SUM(D424:D424)</f>
        <v>0.21</v>
      </c>
      <c r="Q425" s="335">
        <f>(SUMPRODUCT(D424:D424,E424:E424))</f>
        <v>8110.41</v>
      </c>
    </row>
    <row r="426" spans="1:17" ht="11.25" customHeight="1" x14ac:dyDescent="0.15">
      <c r="A426" s="309">
        <v>64</v>
      </c>
      <c r="B426" s="337" t="s">
        <v>313</v>
      </c>
      <c r="C426" s="338"/>
      <c r="D426" s="339"/>
      <c r="E426" s="340"/>
      <c r="F426" s="310"/>
      <c r="G426" s="311"/>
      <c r="H426" s="312"/>
      <c r="I426" s="313"/>
      <c r="J426" s="314"/>
      <c r="K426" s="315"/>
      <c r="L426" s="316"/>
      <c r="M426" s="317"/>
      <c r="N426" s="318"/>
      <c r="O426" s="319"/>
      <c r="P426" s="320"/>
      <c r="Q426" s="321"/>
    </row>
    <row r="427" spans="1:17" ht="11.25" customHeight="1" x14ac:dyDescent="0.15">
      <c r="A427" s="309"/>
      <c r="B427" s="322" t="s">
        <v>410</v>
      </c>
      <c r="C427" s="12" t="s">
        <v>134</v>
      </c>
      <c r="D427" s="14">
        <v>0.14000000000000001</v>
      </c>
      <c r="E427" s="13">
        <v>126890</v>
      </c>
      <c r="F427" s="310"/>
      <c r="G427" s="311"/>
      <c r="H427" s="312"/>
      <c r="I427" s="313"/>
      <c r="J427" s="314"/>
      <c r="K427" s="315"/>
      <c r="L427" s="316"/>
      <c r="M427" s="317"/>
      <c r="N427" s="318"/>
      <c r="O427" s="319"/>
      <c r="P427" s="320"/>
      <c r="Q427" s="321"/>
    </row>
    <row r="428" spans="1:17" ht="11.25" customHeight="1" x14ac:dyDescent="0.15">
      <c r="A428" s="309"/>
      <c r="B428" s="322" t="s">
        <v>415</v>
      </c>
      <c r="C428" s="12" t="s">
        <v>135</v>
      </c>
      <c r="D428" s="14">
        <v>0.35</v>
      </c>
      <c r="E428" s="13">
        <v>130983</v>
      </c>
      <c r="F428" s="310"/>
      <c r="G428" s="311"/>
      <c r="H428" s="312"/>
      <c r="I428" s="313"/>
      <c r="J428" s="314"/>
      <c r="K428" s="315"/>
      <c r="L428" s="316"/>
      <c r="M428" s="317"/>
      <c r="N428" s="318"/>
      <c r="O428" s="319"/>
      <c r="P428" s="320"/>
      <c r="Q428" s="321"/>
    </row>
    <row r="429" spans="1:17" ht="11.25" customHeight="1" x14ac:dyDescent="0.15">
      <c r="A429" s="309"/>
      <c r="B429" s="322" t="s">
        <v>416</v>
      </c>
      <c r="C429" s="12" t="s">
        <v>526</v>
      </c>
      <c r="D429" s="14">
        <v>0.99</v>
      </c>
      <c r="E429" s="13">
        <v>91787</v>
      </c>
      <c r="F429" s="342"/>
      <c r="G429" s="325"/>
      <c r="H429" s="312"/>
      <c r="I429" s="327"/>
      <c r="J429" s="314"/>
      <c r="K429" s="329"/>
      <c r="L429" s="316"/>
      <c r="M429" s="331"/>
      <c r="N429" s="318"/>
      <c r="O429" s="333"/>
      <c r="P429" s="320"/>
      <c r="Q429" s="335"/>
    </row>
    <row r="430" spans="1:17" ht="11.25" customHeight="1" x14ac:dyDescent="0.15">
      <c r="A430" s="344"/>
      <c r="B430" s="322" t="s">
        <v>417</v>
      </c>
      <c r="C430" s="12" t="s">
        <v>136</v>
      </c>
      <c r="D430" s="14">
        <v>2.14</v>
      </c>
      <c r="E430" s="13">
        <v>88003</v>
      </c>
      <c r="F430" s="342"/>
      <c r="G430" s="325"/>
      <c r="H430" s="312"/>
      <c r="I430" s="327"/>
      <c r="J430" s="314"/>
      <c r="K430" s="329"/>
      <c r="L430" s="316"/>
      <c r="M430" s="331"/>
      <c r="N430" s="318"/>
      <c r="O430" s="333"/>
      <c r="P430" s="320"/>
      <c r="Q430" s="335"/>
    </row>
    <row r="431" spans="1:17" ht="11.25" customHeight="1" x14ac:dyDescent="0.15">
      <c r="A431" s="309"/>
      <c r="B431" s="322" t="s">
        <v>418</v>
      </c>
      <c r="C431" s="12" t="s">
        <v>137</v>
      </c>
      <c r="D431" s="14">
        <v>10.72</v>
      </c>
      <c r="E431" s="13">
        <v>84610</v>
      </c>
      <c r="F431" s="342"/>
      <c r="G431" s="325"/>
      <c r="H431" s="312"/>
      <c r="I431" s="327"/>
      <c r="J431" s="314"/>
      <c r="K431" s="329"/>
      <c r="L431" s="316"/>
      <c r="M431" s="331"/>
      <c r="N431" s="318"/>
      <c r="O431" s="333"/>
      <c r="P431" s="320"/>
      <c r="Q431" s="335"/>
    </row>
    <row r="432" spans="1:17" ht="11.25" customHeight="1" x14ac:dyDescent="0.25">
      <c r="A432" s="264"/>
      <c r="B432" s="322" t="s">
        <v>527</v>
      </c>
      <c r="C432" s="12" t="s">
        <v>528</v>
      </c>
      <c r="D432" s="14">
        <v>1.58</v>
      </c>
      <c r="E432" s="13">
        <v>88942</v>
      </c>
      <c r="F432" s="310"/>
      <c r="G432" s="311"/>
      <c r="H432" s="312"/>
      <c r="I432" s="313"/>
      <c r="J432" s="314"/>
      <c r="K432" s="315"/>
      <c r="L432" s="316"/>
      <c r="M432" s="317"/>
      <c r="N432" s="318"/>
      <c r="O432" s="319"/>
      <c r="P432" s="320"/>
      <c r="Q432" s="321"/>
    </row>
    <row r="433" spans="1:17" ht="11.25" customHeight="1" x14ac:dyDescent="0.15">
      <c r="A433" s="309"/>
      <c r="B433" s="322" t="s">
        <v>419</v>
      </c>
      <c r="C433" s="12" t="s">
        <v>138</v>
      </c>
      <c r="D433" s="14">
        <v>37.67</v>
      </c>
      <c r="E433" s="13">
        <v>89211</v>
      </c>
      <c r="F433" s="342"/>
      <c r="G433" s="325"/>
      <c r="H433" s="312"/>
      <c r="I433" s="327"/>
      <c r="J433" s="314"/>
      <c r="K433" s="329"/>
      <c r="L433" s="316"/>
      <c r="M433" s="331"/>
      <c r="N433" s="318"/>
      <c r="O433" s="333"/>
      <c r="P433" s="320"/>
      <c r="Q433" s="335"/>
    </row>
    <row r="434" spans="1:17" ht="11.25" customHeight="1" x14ac:dyDescent="0.15">
      <c r="A434" s="309"/>
      <c r="B434" s="322" t="s">
        <v>421</v>
      </c>
      <c r="C434" s="12" t="s">
        <v>143</v>
      </c>
      <c r="D434" s="14">
        <v>1.4</v>
      </c>
      <c r="E434" s="13">
        <v>66076</v>
      </c>
      <c r="F434" s="342"/>
      <c r="G434" s="325"/>
      <c r="H434" s="312"/>
      <c r="I434" s="327"/>
      <c r="J434" s="314"/>
      <c r="K434" s="329"/>
      <c r="L434" s="316"/>
      <c r="M434" s="331"/>
      <c r="N434" s="318"/>
      <c r="O434" s="333"/>
      <c r="P434" s="320"/>
      <c r="Q434" s="335"/>
    </row>
    <row r="435" spans="1:17" ht="11.25" customHeight="1" x14ac:dyDescent="0.15">
      <c r="A435" s="309"/>
      <c r="B435" s="322" t="s">
        <v>426</v>
      </c>
      <c r="C435" s="12" t="s">
        <v>147</v>
      </c>
      <c r="D435" s="14">
        <v>0</v>
      </c>
      <c r="E435" s="13">
        <v>0</v>
      </c>
      <c r="F435" s="342"/>
      <c r="G435" s="325"/>
      <c r="H435" s="312"/>
      <c r="I435" s="327"/>
      <c r="J435" s="314"/>
      <c r="K435" s="329"/>
      <c r="L435" s="316"/>
      <c r="M435" s="331"/>
      <c r="N435" s="318"/>
      <c r="O435" s="333"/>
      <c r="P435" s="320"/>
      <c r="Q435" s="335"/>
    </row>
    <row r="436" spans="1:17" ht="11.25" customHeight="1" x14ac:dyDescent="0.15">
      <c r="A436" s="309"/>
      <c r="B436" s="322" t="s">
        <v>435</v>
      </c>
      <c r="C436" s="12" t="s">
        <v>110</v>
      </c>
      <c r="D436" s="14">
        <v>10.47</v>
      </c>
      <c r="E436" s="13">
        <v>45354</v>
      </c>
      <c r="F436" s="342"/>
      <c r="G436" s="325"/>
      <c r="H436" s="312"/>
      <c r="I436" s="327"/>
      <c r="J436" s="314"/>
      <c r="K436" s="329"/>
      <c r="L436" s="316"/>
      <c r="M436" s="331"/>
      <c r="N436" s="318"/>
      <c r="O436" s="333"/>
      <c r="P436" s="320"/>
      <c r="Q436" s="335"/>
    </row>
    <row r="437" spans="1:17" ht="11.25" customHeight="1" x14ac:dyDescent="0.15">
      <c r="A437" s="309"/>
      <c r="B437" s="322" t="s">
        <v>438</v>
      </c>
      <c r="C437" s="12" t="s">
        <v>113</v>
      </c>
      <c r="D437" s="14">
        <v>0.56000000000000005</v>
      </c>
      <c r="E437" s="13">
        <v>45733</v>
      </c>
      <c r="F437" s="342"/>
      <c r="G437" s="325"/>
      <c r="H437" s="312"/>
      <c r="I437" s="327"/>
      <c r="J437" s="314"/>
      <c r="K437" s="329"/>
      <c r="L437" s="316"/>
      <c r="M437" s="331"/>
      <c r="N437" s="318"/>
      <c r="O437" s="333"/>
      <c r="P437" s="320"/>
      <c r="Q437" s="335"/>
    </row>
    <row r="438" spans="1:17" ht="11.25" customHeight="1" x14ac:dyDescent="0.15">
      <c r="A438" s="309"/>
      <c r="B438" s="322" t="s">
        <v>440</v>
      </c>
      <c r="C438" s="12" t="s">
        <v>115</v>
      </c>
      <c r="D438" s="14">
        <v>1.1599999999999999</v>
      </c>
      <c r="E438" s="13">
        <v>61914</v>
      </c>
      <c r="F438" s="342"/>
      <c r="G438" s="325"/>
      <c r="H438" s="312"/>
      <c r="I438" s="327"/>
      <c r="J438" s="314"/>
      <c r="K438" s="329"/>
      <c r="L438" s="316"/>
      <c r="M438" s="331"/>
      <c r="N438" s="318"/>
      <c r="O438" s="333"/>
      <c r="P438" s="320"/>
      <c r="Q438" s="335"/>
    </row>
    <row r="439" spans="1:17" ht="11.25" customHeight="1" x14ac:dyDescent="0.15">
      <c r="A439" s="309"/>
      <c r="B439" s="322" t="s">
        <v>442</v>
      </c>
      <c r="C439" s="12" t="s">
        <v>117</v>
      </c>
      <c r="D439" s="14">
        <v>0.04</v>
      </c>
      <c r="E439" s="13">
        <v>97275</v>
      </c>
      <c r="F439" s="342"/>
      <c r="G439" s="325"/>
      <c r="H439" s="312"/>
      <c r="I439" s="327"/>
      <c r="J439" s="314"/>
      <c r="K439" s="329"/>
      <c r="L439" s="316"/>
      <c r="M439" s="331"/>
      <c r="N439" s="318"/>
      <c r="O439" s="333"/>
      <c r="P439" s="320"/>
      <c r="Q439" s="335"/>
    </row>
    <row r="440" spans="1:17" ht="11.25" customHeight="1" x14ac:dyDescent="0.15">
      <c r="A440" s="337"/>
      <c r="B440" s="322" t="s">
        <v>443</v>
      </c>
      <c r="C440" s="12" t="s">
        <v>109</v>
      </c>
      <c r="D440" s="14">
        <v>0.12</v>
      </c>
      <c r="E440" s="13">
        <v>66230</v>
      </c>
      <c r="F440" s="342"/>
      <c r="G440" s="325"/>
      <c r="H440" s="312"/>
      <c r="I440" s="327"/>
      <c r="J440" s="314"/>
      <c r="K440" s="329"/>
      <c r="L440" s="316"/>
      <c r="M440" s="331"/>
      <c r="N440" s="318"/>
      <c r="O440" s="333"/>
      <c r="P440" s="320"/>
      <c r="Q440" s="335"/>
    </row>
    <row r="441" spans="1:17" ht="11.25" customHeight="1" x14ac:dyDescent="0.25">
      <c r="A441" s="264"/>
      <c r="B441" s="323"/>
      <c r="C441" s="264"/>
      <c r="D441" s="132"/>
      <c r="E441" s="98"/>
      <c r="F441" s="324">
        <f>SUM(D427:D435)</f>
        <v>54.99</v>
      </c>
      <c r="G441" s="325">
        <f>(SUMPRODUCT(D427:D435,E427:E435))</f>
        <v>4843436.5300000012</v>
      </c>
      <c r="H441" s="326">
        <f>SUM(D427:D428)</f>
        <v>0.49</v>
      </c>
      <c r="I441" s="327">
        <f>(SUMPRODUCT(D427:D428,E427:E428))</f>
        <v>63608.649999999994</v>
      </c>
      <c r="J441" s="328">
        <f>SUM(D429:D435)</f>
        <v>54.5</v>
      </c>
      <c r="K441" s="329">
        <f>(SUMPRODUCT(D429:D435,E429:E435))</f>
        <v>4779827.8800000008</v>
      </c>
      <c r="L441" s="330"/>
      <c r="M441" s="331"/>
      <c r="N441" s="332">
        <f>+H441+J441+L441</f>
        <v>54.99</v>
      </c>
      <c r="O441" s="333">
        <f>+I441+K441+M441</f>
        <v>4843436.5300000012</v>
      </c>
      <c r="P441" s="334">
        <f>SUM(D436:D440)</f>
        <v>12.35</v>
      </c>
      <c r="Q441" s="335">
        <f>(SUMPRODUCT(D436:D440,E436:E440))</f>
        <v>584125.69999999995</v>
      </c>
    </row>
    <row r="442" spans="1:17" ht="11.25" customHeight="1" x14ac:dyDescent="0.15">
      <c r="A442" s="309">
        <v>65</v>
      </c>
      <c r="B442" s="337" t="s">
        <v>314</v>
      </c>
      <c r="C442" s="338"/>
      <c r="D442" s="339"/>
      <c r="E442" s="340"/>
      <c r="F442" s="310"/>
      <c r="G442" s="311"/>
      <c r="H442" s="312"/>
      <c r="I442" s="313"/>
      <c r="J442" s="314"/>
      <c r="K442" s="315"/>
      <c r="L442" s="316"/>
      <c r="M442" s="317"/>
      <c r="N442" s="318"/>
      <c r="O442" s="319"/>
      <c r="P442" s="320"/>
      <c r="Q442" s="321"/>
    </row>
    <row r="443" spans="1:17" ht="11.25" customHeight="1" x14ac:dyDescent="0.15">
      <c r="A443" s="309"/>
      <c r="B443" s="322" t="s">
        <v>409</v>
      </c>
      <c r="C443" s="12" t="s">
        <v>133</v>
      </c>
      <c r="D443" s="14">
        <v>0.3</v>
      </c>
      <c r="E443" s="13">
        <v>173200</v>
      </c>
      <c r="F443" s="342"/>
      <c r="G443" s="325"/>
      <c r="H443" s="312"/>
      <c r="I443" s="327"/>
      <c r="J443" s="314"/>
      <c r="K443" s="329"/>
      <c r="L443" s="316"/>
      <c r="M443" s="331"/>
      <c r="N443" s="318"/>
      <c r="O443" s="333"/>
      <c r="P443" s="320"/>
      <c r="Q443" s="335"/>
    </row>
    <row r="444" spans="1:17" ht="11.25" customHeight="1" x14ac:dyDescent="0.15">
      <c r="A444" s="309"/>
      <c r="B444" s="322" t="s">
        <v>410</v>
      </c>
      <c r="C444" s="12" t="s">
        <v>134</v>
      </c>
      <c r="D444" s="14">
        <v>27.27</v>
      </c>
      <c r="E444" s="13">
        <v>137634</v>
      </c>
      <c r="F444" s="342"/>
      <c r="G444" s="325"/>
      <c r="H444" s="312"/>
      <c r="I444" s="327"/>
      <c r="J444" s="314"/>
      <c r="K444" s="329"/>
      <c r="L444" s="316"/>
      <c r="M444" s="331"/>
      <c r="N444" s="318"/>
      <c r="O444" s="333"/>
      <c r="P444" s="320"/>
      <c r="Q444" s="335"/>
    </row>
    <row r="445" spans="1:17" ht="11.25" customHeight="1" x14ac:dyDescent="0.15">
      <c r="A445" s="309"/>
      <c r="B445" s="322" t="s">
        <v>412</v>
      </c>
      <c r="C445" s="12" t="s">
        <v>151</v>
      </c>
      <c r="D445" s="14">
        <v>0.01</v>
      </c>
      <c r="E445" s="13">
        <v>114750</v>
      </c>
      <c r="F445" s="310"/>
      <c r="G445" s="311"/>
      <c r="H445" s="312"/>
      <c r="I445" s="313"/>
      <c r="J445" s="314"/>
      <c r="K445" s="315"/>
      <c r="L445" s="316"/>
      <c r="M445" s="317"/>
      <c r="N445" s="318"/>
      <c r="O445" s="319"/>
      <c r="P445" s="320"/>
      <c r="Q445" s="321"/>
    </row>
    <row r="446" spans="1:17" ht="11.25" customHeight="1" x14ac:dyDescent="0.15">
      <c r="A446" s="309"/>
      <c r="B446" s="322" t="s">
        <v>413</v>
      </c>
      <c r="C446" s="12" t="s">
        <v>142</v>
      </c>
      <c r="D446" s="14">
        <v>0.05</v>
      </c>
      <c r="E446" s="13">
        <v>122400</v>
      </c>
      <c r="F446" s="310"/>
      <c r="G446" s="311"/>
      <c r="H446" s="312"/>
      <c r="I446" s="313"/>
      <c r="J446" s="314"/>
      <c r="K446" s="315"/>
      <c r="L446" s="316"/>
      <c r="M446" s="317"/>
      <c r="N446" s="318"/>
      <c r="O446" s="319"/>
      <c r="P446" s="320"/>
      <c r="Q446" s="321"/>
    </row>
    <row r="447" spans="1:17" ht="11.25" customHeight="1" x14ac:dyDescent="0.15">
      <c r="A447" s="309"/>
      <c r="B447" s="322" t="s">
        <v>415</v>
      </c>
      <c r="C447" s="12" t="s">
        <v>135</v>
      </c>
      <c r="D447" s="14">
        <v>5.25</v>
      </c>
      <c r="E447" s="13">
        <v>116853</v>
      </c>
      <c r="F447" s="310"/>
      <c r="G447" s="311"/>
      <c r="H447" s="312"/>
      <c r="I447" s="313"/>
      <c r="J447" s="314"/>
      <c r="K447" s="315"/>
      <c r="L447" s="316"/>
      <c r="M447" s="317"/>
      <c r="N447" s="318"/>
      <c r="O447" s="319"/>
      <c r="P447" s="320"/>
      <c r="Q447" s="321"/>
    </row>
    <row r="448" spans="1:17" ht="11.25" customHeight="1" x14ac:dyDescent="0.15">
      <c r="A448" s="309"/>
      <c r="B448" s="322" t="s">
        <v>416</v>
      </c>
      <c r="C448" s="12" t="s">
        <v>526</v>
      </c>
      <c r="D448" s="14">
        <v>81.78</v>
      </c>
      <c r="E448" s="13">
        <v>78177</v>
      </c>
      <c r="F448" s="310"/>
      <c r="G448" s="311"/>
      <c r="H448" s="312"/>
      <c r="I448" s="313"/>
      <c r="J448" s="314"/>
      <c r="K448" s="315"/>
      <c r="L448" s="316"/>
      <c r="M448" s="317"/>
      <c r="N448" s="318"/>
      <c r="O448" s="319"/>
      <c r="P448" s="320"/>
      <c r="Q448" s="321"/>
    </row>
    <row r="449" spans="1:17" ht="11.25" customHeight="1" x14ac:dyDescent="0.15">
      <c r="A449" s="344"/>
      <c r="B449" s="322" t="s">
        <v>417</v>
      </c>
      <c r="C449" s="12" t="s">
        <v>136</v>
      </c>
      <c r="D449" s="14">
        <v>201.93</v>
      </c>
      <c r="E449" s="13">
        <v>74984</v>
      </c>
      <c r="F449" s="310"/>
      <c r="G449" s="311"/>
      <c r="H449" s="312"/>
      <c r="I449" s="313"/>
      <c r="J449" s="314"/>
      <c r="K449" s="315"/>
      <c r="L449" s="316"/>
      <c r="M449" s="317"/>
      <c r="N449" s="318"/>
      <c r="O449" s="319"/>
      <c r="P449" s="320"/>
      <c r="Q449" s="321"/>
    </row>
    <row r="450" spans="1:17" ht="11.25" customHeight="1" x14ac:dyDescent="0.25">
      <c r="A450" s="264"/>
      <c r="B450" s="322" t="s">
        <v>418</v>
      </c>
      <c r="C450" s="12" t="s">
        <v>137</v>
      </c>
      <c r="D450" s="14">
        <v>550.80999999999995</v>
      </c>
      <c r="E450" s="13">
        <v>80704</v>
      </c>
      <c r="F450" s="310"/>
      <c r="G450" s="311"/>
      <c r="H450" s="312"/>
      <c r="I450" s="313"/>
      <c r="J450" s="314"/>
      <c r="K450" s="315"/>
      <c r="L450" s="316"/>
      <c r="M450" s="317"/>
      <c r="N450" s="318"/>
      <c r="O450" s="319"/>
      <c r="P450" s="320"/>
      <c r="Q450" s="321"/>
    </row>
    <row r="451" spans="1:17" ht="11.25" customHeight="1" x14ac:dyDescent="0.15">
      <c r="A451" s="337"/>
      <c r="B451" s="322" t="s">
        <v>527</v>
      </c>
      <c r="C451" s="12" t="s">
        <v>528</v>
      </c>
      <c r="D451" s="14">
        <v>117.22</v>
      </c>
      <c r="E451" s="13">
        <v>76748</v>
      </c>
      <c r="F451" s="310"/>
      <c r="G451" s="311"/>
      <c r="H451" s="312"/>
      <c r="I451" s="313"/>
      <c r="J451" s="314"/>
      <c r="K451" s="315"/>
      <c r="L451" s="316"/>
      <c r="M451" s="317"/>
      <c r="N451" s="318"/>
      <c r="O451" s="319"/>
      <c r="P451" s="320"/>
      <c r="Q451" s="321"/>
    </row>
    <row r="452" spans="1:17" ht="11.25" customHeight="1" x14ac:dyDescent="0.15">
      <c r="A452" s="337"/>
      <c r="B452" s="322" t="s">
        <v>419</v>
      </c>
      <c r="C452" s="12" t="s">
        <v>138</v>
      </c>
      <c r="D452" s="14">
        <v>82.65</v>
      </c>
      <c r="E452" s="13">
        <v>84253</v>
      </c>
      <c r="F452" s="310"/>
      <c r="G452" s="311"/>
      <c r="H452" s="312"/>
      <c r="I452" s="313"/>
      <c r="J452" s="314"/>
      <c r="K452" s="315"/>
      <c r="L452" s="316"/>
      <c r="M452" s="317"/>
      <c r="N452" s="318"/>
      <c r="O452" s="319"/>
      <c r="P452" s="320"/>
      <c r="Q452" s="321"/>
    </row>
    <row r="453" spans="1:17" ht="11.25" customHeight="1" x14ac:dyDescent="0.15">
      <c r="A453" s="309"/>
      <c r="B453" s="322" t="s">
        <v>420</v>
      </c>
      <c r="C453" s="12" t="s">
        <v>149</v>
      </c>
      <c r="D453" s="14">
        <v>1</v>
      </c>
      <c r="E453" s="13">
        <v>62254</v>
      </c>
      <c r="F453" s="310"/>
      <c r="G453" s="311"/>
      <c r="H453" s="312"/>
      <c r="I453" s="313"/>
      <c r="J453" s="314"/>
      <c r="K453" s="315"/>
      <c r="L453" s="316"/>
      <c r="M453" s="317"/>
      <c r="N453" s="318"/>
      <c r="O453" s="319"/>
      <c r="P453" s="320"/>
      <c r="Q453" s="321"/>
    </row>
    <row r="454" spans="1:17" ht="11.25" customHeight="1" x14ac:dyDescent="0.15">
      <c r="A454" s="309"/>
      <c r="B454" s="322" t="s">
        <v>421</v>
      </c>
      <c r="C454" s="12" t="s">
        <v>143</v>
      </c>
      <c r="D454" s="14">
        <v>0.9</v>
      </c>
      <c r="E454" s="13">
        <v>64868</v>
      </c>
      <c r="F454" s="310"/>
      <c r="G454" s="311"/>
      <c r="H454" s="312"/>
      <c r="I454" s="313"/>
      <c r="J454" s="314"/>
      <c r="K454" s="315"/>
      <c r="L454" s="316"/>
      <c r="M454" s="317"/>
      <c r="N454" s="318"/>
      <c r="O454" s="319"/>
      <c r="P454" s="320"/>
      <c r="Q454" s="321"/>
    </row>
    <row r="455" spans="1:17" ht="11.25" customHeight="1" x14ac:dyDescent="0.15">
      <c r="A455" s="309"/>
      <c r="B455" s="322" t="s">
        <v>435</v>
      </c>
      <c r="C455" s="12" t="s">
        <v>110</v>
      </c>
      <c r="D455" s="14">
        <v>817.02</v>
      </c>
      <c r="E455" s="13">
        <v>47454</v>
      </c>
      <c r="F455" s="310"/>
      <c r="G455" s="311"/>
      <c r="H455" s="312"/>
      <c r="I455" s="313"/>
      <c r="J455" s="314"/>
      <c r="K455" s="315"/>
      <c r="L455" s="316"/>
      <c r="M455" s="317"/>
      <c r="N455" s="318"/>
      <c r="O455" s="319"/>
      <c r="P455" s="320"/>
      <c r="Q455" s="321"/>
    </row>
    <row r="456" spans="1:17" ht="11.25" customHeight="1" x14ac:dyDescent="0.15">
      <c r="A456" s="309"/>
      <c r="B456" s="322" t="s">
        <v>438</v>
      </c>
      <c r="C456" s="12" t="s">
        <v>113</v>
      </c>
      <c r="D456" s="14">
        <v>48.61</v>
      </c>
      <c r="E456" s="13">
        <v>51759</v>
      </c>
      <c r="F456" s="310"/>
      <c r="G456" s="311"/>
      <c r="H456" s="312"/>
      <c r="I456" s="313"/>
      <c r="J456" s="314"/>
      <c r="K456" s="315"/>
      <c r="L456" s="316"/>
      <c r="M456" s="317"/>
      <c r="N456" s="318"/>
      <c r="O456" s="319"/>
      <c r="P456" s="320"/>
      <c r="Q456" s="321"/>
    </row>
    <row r="457" spans="1:17" ht="11.25" customHeight="1" x14ac:dyDescent="0.15">
      <c r="A457" s="309"/>
      <c r="B457" s="322" t="s">
        <v>440</v>
      </c>
      <c r="C457" s="12" t="s">
        <v>115</v>
      </c>
      <c r="D457" s="14">
        <v>10.78</v>
      </c>
      <c r="E457" s="13">
        <v>66212</v>
      </c>
      <c r="F457" s="310"/>
      <c r="G457" s="311"/>
      <c r="H457" s="312"/>
      <c r="I457" s="313"/>
      <c r="J457" s="314"/>
      <c r="K457" s="315"/>
      <c r="L457" s="316"/>
      <c r="M457" s="317"/>
      <c r="N457" s="318"/>
      <c r="O457" s="319"/>
      <c r="P457" s="320"/>
      <c r="Q457" s="321"/>
    </row>
    <row r="458" spans="1:17" ht="11.25" customHeight="1" x14ac:dyDescent="0.15">
      <c r="A458" s="309"/>
      <c r="B458" s="322" t="s">
        <v>441</v>
      </c>
      <c r="C458" s="12" t="s">
        <v>116</v>
      </c>
      <c r="D458" s="14">
        <v>0.27</v>
      </c>
      <c r="E458" s="13">
        <v>47562</v>
      </c>
      <c r="F458" s="310"/>
      <c r="G458" s="311"/>
      <c r="H458" s="312"/>
      <c r="I458" s="313"/>
      <c r="J458" s="314"/>
      <c r="K458" s="315"/>
      <c r="L458" s="316"/>
      <c r="M458" s="317"/>
      <c r="N458" s="318"/>
      <c r="O458" s="319"/>
      <c r="P458" s="320"/>
      <c r="Q458" s="321"/>
    </row>
    <row r="459" spans="1:17" ht="11.25" customHeight="1" x14ac:dyDescent="0.15">
      <c r="A459" s="344"/>
      <c r="B459" s="322" t="s">
        <v>442</v>
      </c>
      <c r="C459" s="12" t="s">
        <v>117</v>
      </c>
      <c r="D459" s="14">
        <v>4.0999999999999996</v>
      </c>
      <c r="E459" s="13">
        <v>57635</v>
      </c>
      <c r="F459" s="310"/>
      <c r="G459" s="311"/>
      <c r="H459" s="312"/>
      <c r="I459" s="313"/>
      <c r="J459" s="314"/>
      <c r="K459" s="315"/>
      <c r="L459" s="316"/>
      <c r="M459" s="317"/>
      <c r="N459" s="318"/>
      <c r="O459" s="319"/>
      <c r="P459" s="320"/>
      <c r="Q459" s="321"/>
    </row>
    <row r="460" spans="1:17" ht="11.25" customHeight="1" x14ac:dyDescent="0.15">
      <c r="A460" s="309"/>
      <c r="B460" s="322" t="s">
        <v>443</v>
      </c>
      <c r="C460" s="12" t="s">
        <v>109</v>
      </c>
      <c r="D460" s="14">
        <v>1.39</v>
      </c>
      <c r="E460" s="13">
        <v>77744</v>
      </c>
      <c r="F460" s="310"/>
      <c r="G460" s="311"/>
      <c r="H460" s="312"/>
      <c r="I460" s="313"/>
      <c r="J460" s="314"/>
      <c r="K460" s="315"/>
      <c r="L460" s="316"/>
      <c r="M460" s="317"/>
      <c r="N460" s="318"/>
      <c r="O460" s="319"/>
      <c r="P460" s="320"/>
      <c r="Q460" s="321"/>
    </row>
    <row r="461" spans="1:17" ht="11.25" customHeight="1" x14ac:dyDescent="0.25">
      <c r="A461" s="264"/>
      <c r="B461" s="323"/>
      <c r="C461" s="264"/>
      <c r="D461" s="132"/>
      <c r="E461" s="98"/>
      <c r="F461" s="324">
        <f>SUM(D443:D454)</f>
        <v>1069.17</v>
      </c>
      <c r="G461" s="325">
        <f>(SUMPRODUCT(D443:D454,E443:E454))</f>
        <v>86493935.560000002</v>
      </c>
      <c r="H461" s="326">
        <f>SUM(D443:D447)</f>
        <v>32.880000000000003</v>
      </c>
      <c r="I461" s="327">
        <f>(SUMPRODUCT(D443:D447,E443:E447))</f>
        <v>4425984.93</v>
      </c>
      <c r="J461" s="328">
        <f>SUM(D448:D454)</f>
        <v>1036.2900000000002</v>
      </c>
      <c r="K461" s="329">
        <f>(SUMPRODUCT(D448:D454,E448:E454))</f>
        <v>82067950.629999995</v>
      </c>
      <c r="L461" s="330"/>
      <c r="M461" s="331"/>
      <c r="N461" s="332">
        <f>+H461+J461+L461</f>
        <v>1069.1700000000003</v>
      </c>
      <c r="O461" s="333">
        <f>+I461+K461+M461</f>
        <v>86493935.560000002</v>
      </c>
      <c r="P461" s="334">
        <f>SUM(D455:D460)</f>
        <v>882.17</v>
      </c>
      <c r="Q461" s="335">
        <f>(SUMPRODUCT(D455:D460,E455:E460))</f>
        <v>42357846.829999998</v>
      </c>
    </row>
    <row r="462" spans="1:17" ht="11.25" customHeight="1" x14ac:dyDescent="0.15">
      <c r="A462" s="309">
        <v>67</v>
      </c>
      <c r="B462" s="337" t="s">
        <v>315</v>
      </c>
      <c r="C462" s="338"/>
      <c r="D462" s="339"/>
      <c r="E462" s="340"/>
      <c r="F462" s="310"/>
      <c r="G462" s="311"/>
      <c r="H462" s="312"/>
      <c r="I462" s="313"/>
      <c r="J462" s="314"/>
      <c r="K462" s="315"/>
      <c r="L462" s="316"/>
      <c r="M462" s="317"/>
      <c r="N462" s="318"/>
      <c r="O462" s="319"/>
      <c r="P462" s="320"/>
      <c r="Q462" s="321"/>
    </row>
    <row r="463" spans="1:17" ht="11.25" customHeight="1" x14ac:dyDescent="0.15">
      <c r="A463" s="309"/>
      <c r="B463" s="322" t="s">
        <v>416</v>
      </c>
      <c r="C463" s="12" t="s">
        <v>526</v>
      </c>
      <c r="D463" s="14">
        <v>1</v>
      </c>
      <c r="E463" s="13">
        <v>95791</v>
      </c>
      <c r="F463" s="310"/>
      <c r="G463" s="311"/>
      <c r="H463" s="312"/>
      <c r="I463" s="313"/>
      <c r="J463" s="314"/>
      <c r="K463" s="315"/>
      <c r="L463" s="316"/>
      <c r="M463" s="317"/>
      <c r="N463" s="318"/>
      <c r="O463" s="319"/>
      <c r="P463" s="320"/>
      <c r="Q463" s="321"/>
    </row>
    <row r="464" spans="1:17" ht="11.25" customHeight="1" x14ac:dyDescent="0.15">
      <c r="A464" s="309"/>
      <c r="B464" s="322" t="s">
        <v>435</v>
      </c>
      <c r="C464" s="12" t="s">
        <v>110</v>
      </c>
      <c r="D464" s="14">
        <v>0.36</v>
      </c>
      <c r="E464" s="13">
        <v>35597</v>
      </c>
      <c r="F464" s="310"/>
      <c r="G464" s="311"/>
      <c r="H464" s="312"/>
      <c r="I464" s="313"/>
      <c r="J464" s="314"/>
      <c r="K464" s="315"/>
      <c r="L464" s="316"/>
      <c r="M464" s="317"/>
      <c r="N464" s="318"/>
      <c r="O464" s="319"/>
      <c r="P464" s="320"/>
      <c r="Q464" s="321"/>
    </row>
    <row r="465" spans="1:17" ht="11.25" customHeight="1" x14ac:dyDescent="0.15">
      <c r="A465" s="309"/>
      <c r="B465" s="322" t="s">
        <v>443</v>
      </c>
      <c r="C465" s="12" t="s">
        <v>109</v>
      </c>
      <c r="D465" s="14">
        <v>0.11</v>
      </c>
      <c r="E465" s="13">
        <v>50105</v>
      </c>
      <c r="F465" s="310"/>
      <c r="G465" s="311"/>
      <c r="H465" s="312"/>
      <c r="I465" s="313"/>
      <c r="J465" s="314"/>
      <c r="K465" s="315"/>
      <c r="L465" s="316"/>
      <c r="M465" s="317"/>
      <c r="N465" s="318"/>
      <c r="O465" s="319"/>
      <c r="P465" s="320"/>
      <c r="Q465" s="321"/>
    </row>
    <row r="466" spans="1:17" ht="11.25" customHeight="1" x14ac:dyDescent="0.25">
      <c r="A466" s="264"/>
      <c r="B466" s="323"/>
      <c r="C466" s="264"/>
      <c r="D466" s="132"/>
      <c r="E466" s="98"/>
      <c r="F466" s="324">
        <f>SUM(D463:D463)</f>
        <v>1</v>
      </c>
      <c r="G466" s="325">
        <f>(SUMPRODUCT(D463:D463,E463:E463))</f>
        <v>95791</v>
      </c>
      <c r="H466" s="326"/>
      <c r="I466" s="327"/>
      <c r="J466" s="328">
        <f>SUM(D463:D463)</f>
        <v>1</v>
      </c>
      <c r="K466" s="329">
        <f>(SUMPRODUCT(D463:D463,E463:E463))</f>
        <v>95791</v>
      </c>
      <c r="L466" s="330"/>
      <c r="M466" s="331"/>
      <c r="N466" s="332">
        <f>+H466+J466+L466</f>
        <v>1</v>
      </c>
      <c r="O466" s="333">
        <f>+I466+K466+M466</f>
        <v>95791</v>
      </c>
      <c r="P466" s="334">
        <f>SUM(D464:D465)</f>
        <v>0.47</v>
      </c>
      <c r="Q466" s="335">
        <f>(SUMPRODUCT(D464:D465,E464:E465))</f>
        <v>18326.47</v>
      </c>
    </row>
    <row r="467" spans="1:17" ht="11.25" customHeight="1" x14ac:dyDescent="0.15">
      <c r="A467" s="309">
        <v>68</v>
      </c>
      <c r="B467" s="337" t="s">
        <v>316</v>
      </c>
      <c r="C467" s="338"/>
      <c r="D467" s="339"/>
      <c r="E467" s="340"/>
      <c r="F467" s="310"/>
      <c r="G467" s="311"/>
      <c r="H467" s="312"/>
      <c r="I467" s="313"/>
      <c r="J467" s="314"/>
      <c r="K467" s="315"/>
      <c r="L467" s="316"/>
      <c r="M467" s="317"/>
      <c r="N467" s="318"/>
      <c r="O467" s="319"/>
      <c r="P467" s="320"/>
      <c r="Q467" s="321"/>
    </row>
    <row r="468" spans="1:17" ht="11.25" customHeight="1" x14ac:dyDescent="0.15">
      <c r="A468" s="309"/>
      <c r="B468" s="322" t="s">
        <v>410</v>
      </c>
      <c r="C468" s="12" t="s">
        <v>134</v>
      </c>
      <c r="D468" s="14">
        <v>2.34</v>
      </c>
      <c r="E468" s="13">
        <v>118095</v>
      </c>
      <c r="F468" s="310"/>
      <c r="G468" s="311"/>
      <c r="H468" s="312"/>
      <c r="I468" s="313"/>
      <c r="J468" s="314"/>
      <c r="K468" s="315"/>
      <c r="L468" s="316"/>
      <c r="M468" s="317"/>
      <c r="N468" s="318"/>
      <c r="O468" s="319"/>
      <c r="P468" s="320"/>
      <c r="Q468" s="321"/>
    </row>
    <row r="469" spans="1:17" ht="11.25" customHeight="1" x14ac:dyDescent="0.15">
      <c r="A469" s="309"/>
      <c r="B469" s="322" t="s">
        <v>415</v>
      </c>
      <c r="C469" s="12" t="s">
        <v>135</v>
      </c>
      <c r="D469" s="14">
        <v>0.05</v>
      </c>
      <c r="E469" s="13">
        <v>85000</v>
      </c>
      <c r="F469" s="310"/>
      <c r="G469" s="311"/>
      <c r="H469" s="312"/>
      <c r="I469" s="313"/>
      <c r="J469" s="314"/>
      <c r="K469" s="315"/>
      <c r="L469" s="316"/>
      <c r="M469" s="317"/>
      <c r="N469" s="318"/>
      <c r="O469" s="319"/>
      <c r="P469" s="320"/>
      <c r="Q469" s="321"/>
    </row>
    <row r="470" spans="1:17" ht="11.25" customHeight="1" x14ac:dyDescent="0.15">
      <c r="A470" s="309"/>
      <c r="B470" s="322" t="s">
        <v>416</v>
      </c>
      <c r="C470" s="12" t="s">
        <v>526</v>
      </c>
      <c r="D470" s="14">
        <v>7</v>
      </c>
      <c r="E470" s="13">
        <v>75451</v>
      </c>
      <c r="F470" s="310"/>
      <c r="G470" s="311"/>
      <c r="H470" s="312"/>
      <c r="I470" s="313"/>
      <c r="J470" s="314"/>
      <c r="K470" s="315"/>
      <c r="L470" s="316"/>
      <c r="M470" s="317"/>
      <c r="N470" s="318"/>
      <c r="O470" s="319"/>
      <c r="P470" s="320"/>
      <c r="Q470" s="321"/>
    </row>
    <row r="471" spans="1:17" ht="11.25" customHeight="1" x14ac:dyDescent="0.15">
      <c r="A471" s="344"/>
      <c r="B471" s="322" t="s">
        <v>417</v>
      </c>
      <c r="C471" s="12" t="s">
        <v>136</v>
      </c>
      <c r="D471" s="14">
        <v>4.03</v>
      </c>
      <c r="E471" s="13">
        <v>64488</v>
      </c>
      <c r="F471" s="310"/>
      <c r="G471" s="311"/>
      <c r="H471" s="312"/>
      <c r="I471" s="313"/>
      <c r="J471" s="314"/>
      <c r="K471" s="315"/>
      <c r="L471" s="316"/>
      <c r="M471" s="317"/>
      <c r="N471" s="318"/>
      <c r="O471" s="319"/>
      <c r="P471" s="320"/>
      <c r="Q471" s="321"/>
    </row>
    <row r="472" spans="1:17" ht="11.25" customHeight="1" x14ac:dyDescent="0.15">
      <c r="A472" s="309"/>
      <c r="B472" s="322" t="s">
        <v>418</v>
      </c>
      <c r="C472" s="12" t="s">
        <v>137</v>
      </c>
      <c r="D472" s="14">
        <v>2.1</v>
      </c>
      <c r="E472" s="13">
        <v>84459</v>
      </c>
      <c r="F472" s="310"/>
      <c r="G472" s="311"/>
      <c r="H472" s="312"/>
      <c r="I472" s="313"/>
      <c r="J472" s="314"/>
      <c r="K472" s="315"/>
      <c r="L472" s="316"/>
      <c r="M472" s="317"/>
      <c r="N472" s="318"/>
      <c r="O472" s="319"/>
      <c r="P472" s="320"/>
      <c r="Q472" s="321"/>
    </row>
    <row r="473" spans="1:17" ht="11.25" customHeight="1" x14ac:dyDescent="0.15">
      <c r="A473" s="309"/>
      <c r="B473" s="322" t="s">
        <v>419</v>
      </c>
      <c r="C473" s="12" t="s">
        <v>138</v>
      </c>
      <c r="D473" s="14">
        <v>2.16</v>
      </c>
      <c r="E473" s="13">
        <v>97228</v>
      </c>
      <c r="F473" s="310"/>
      <c r="G473" s="311"/>
      <c r="H473" s="312"/>
      <c r="I473" s="313"/>
      <c r="J473" s="314"/>
      <c r="K473" s="315"/>
      <c r="L473" s="316"/>
      <c r="M473" s="317"/>
      <c r="N473" s="318"/>
      <c r="O473" s="319"/>
      <c r="P473" s="320"/>
      <c r="Q473" s="321"/>
    </row>
    <row r="474" spans="1:17" ht="11.25" customHeight="1" x14ac:dyDescent="0.15">
      <c r="A474" s="309"/>
      <c r="B474" s="322" t="s">
        <v>421</v>
      </c>
      <c r="C474" s="12" t="s">
        <v>143</v>
      </c>
      <c r="D474" s="14">
        <v>0.73</v>
      </c>
      <c r="E474" s="13">
        <v>77946</v>
      </c>
      <c r="F474" s="310"/>
      <c r="G474" s="311"/>
      <c r="H474" s="312"/>
      <c r="I474" s="313"/>
      <c r="J474" s="314"/>
      <c r="K474" s="315"/>
      <c r="L474" s="316"/>
      <c r="M474" s="317"/>
      <c r="N474" s="318"/>
      <c r="O474" s="319"/>
      <c r="P474" s="320"/>
      <c r="Q474" s="321"/>
    </row>
    <row r="475" spans="1:17" ht="11.25" customHeight="1" x14ac:dyDescent="0.15">
      <c r="A475" s="344"/>
      <c r="B475" s="322" t="s">
        <v>435</v>
      </c>
      <c r="C475" s="12" t="s">
        <v>110</v>
      </c>
      <c r="D475" s="14">
        <v>35.01</v>
      </c>
      <c r="E475" s="13">
        <v>47415</v>
      </c>
      <c r="F475" s="342"/>
      <c r="G475" s="325"/>
      <c r="H475" s="312"/>
      <c r="I475" s="327"/>
      <c r="J475" s="314"/>
      <c r="K475" s="329"/>
      <c r="L475" s="316"/>
      <c r="M475" s="331"/>
      <c r="N475" s="318"/>
      <c r="O475" s="333"/>
      <c r="P475" s="320"/>
      <c r="Q475" s="335"/>
    </row>
    <row r="476" spans="1:17" ht="11.25" customHeight="1" x14ac:dyDescent="0.15">
      <c r="A476" s="344"/>
      <c r="B476" s="322" t="s">
        <v>438</v>
      </c>
      <c r="C476" s="12" t="s">
        <v>113</v>
      </c>
      <c r="D476" s="14">
        <v>4.8600000000000003</v>
      </c>
      <c r="E476" s="13">
        <v>65563</v>
      </c>
      <c r="F476" s="342"/>
      <c r="G476" s="325"/>
      <c r="H476" s="312"/>
      <c r="I476" s="327"/>
      <c r="J476" s="314"/>
      <c r="K476" s="329"/>
      <c r="L476" s="316"/>
      <c r="M476" s="331"/>
      <c r="N476" s="318"/>
      <c r="O476" s="333"/>
      <c r="P476" s="320"/>
      <c r="Q476" s="335"/>
    </row>
    <row r="477" spans="1:17" ht="11.25" customHeight="1" x14ac:dyDescent="0.15">
      <c r="A477" s="309"/>
      <c r="B477" s="322" t="s">
        <v>440</v>
      </c>
      <c r="C477" s="12" t="s">
        <v>115</v>
      </c>
      <c r="D477" s="14">
        <v>8.8699999999999992</v>
      </c>
      <c r="E477" s="13">
        <v>64852</v>
      </c>
      <c r="F477" s="342"/>
      <c r="G477" s="325"/>
      <c r="H477" s="312"/>
      <c r="I477" s="327"/>
      <c r="J477" s="314"/>
      <c r="K477" s="329"/>
      <c r="L477" s="316"/>
      <c r="M477" s="331"/>
      <c r="N477" s="318"/>
      <c r="O477" s="319"/>
      <c r="P477" s="320"/>
      <c r="Q477" s="321"/>
    </row>
    <row r="478" spans="1:17" ht="11.25" customHeight="1" x14ac:dyDescent="0.15">
      <c r="A478" s="344"/>
      <c r="B478" s="322" t="s">
        <v>441</v>
      </c>
      <c r="C478" s="12" t="s">
        <v>116</v>
      </c>
      <c r="D478" s="14">
        <v>3.12</v>
      </c>
      <c r="E478" s="13">
        <v>56033</v>
      </c>
      <c r="F478" s="342"/>
      <c r="G478" s="325"/>
      <c r="H478" s="312"/>
      <c r="I478" s="327"/>
      <c r="J478" s="314"/>
      <c r="K478" s="329"/>
      <c r="L478" s="316"/>
      <c r="M478" s="331"/>
      <c r="N478" s="318"/>
      <c r="O478" s="333"/>
      <c r="P478" s="320"/>
      <c r="Q478" s="335"/>
    </row>
    <row r="479" spans="1:17" ht="11.25" customHeight="1" x14ac:dyDescent="0.15">
      <c r="A479" s="344"/>
      <c r="B479" s="322" t="s">
        <v>442</v>
      </c>
      <c r="C479" s="12" t="s">
        <v>117</v>
      </c>
      <c r="D479" s="14">
        <v>0.28999999999999998</v>
      </c>
      <c r="E479" s="13">
        <v>58582</v>
      </c>
      <c r="F479" s="342"/>
      <c r="G479" s="325"/>
      <c r="H479" s="312"/>
      <c r="I479" s="327"/>
      <c r="J479" s="314"/>
      <c r="K479" s="329"/>
      <c r="L479" s="316"/>
      <c r="M479" s="331"/>
      <c r="N479" s="318"/>
      <c r="O479" s="333"/>
      <c r="P479" s="320"/>
      <c r="Q479" s="335"/>
    </row>
    <row r="480" spans="1:17" ht="11.25" customHeight="1" x14ac:dyDescent="0.15">
      <c r="A480" s="309"/>
      <c r="B480" s="322" t="s">
        <v>443</v>
      </c>
      <c r="C480" s="12" t="s">
        <v>109</v>
      </c>
      <c r="D480" s="14">
        <v>3.4</v>
      </c>
      <c r="E480" s="13">
        <v>56687</v>
      </c>
      <c r="F480" s="342"/>
      <c r="G480" s="325"/>
      <c r="H480" s="312"/>
      <c r="I480" s="327"/>
      <c r="J480" s="314"/>
      <c r="K480" s="329"/>
      <c r="L480" s="316"/>
      <c r="M480" s="331"/>
      <c r="N480" s="318"/>
      <c r="O480" s="319"/>
      <c r="P480" s="320"/>
      <c r="Q480" s="321"/>
    </row>
    <row r="481" spans="1:17" ht="11.25" customHeight="1" x14ac:dyDescent="0.25">
      <c r="A481" s="264"/>
      <c r="B481" s="323"/>
      <c r="C481" s="264"/>
      <c r="D481" s="132"/>
      <c r="E481" s="98"/>
      <c r="F481" s="324">
        <f>SUM(D468:D474)</f>
        <v>18.41</v>
      </c>
      <c r="G481" s="325">
        <f>(SUMPRODUCT(D468:D474,E468:E474))</f>
        <v>1512912.9</v>
      </c>
      <c r="H481" s="326">
        <f>SUM(D468:D469)</f>
        <v>2.3899999999999997</v>
      </c>
      <c r="I481" s="327">
        <f>(SUMPRODUCT(D468:D469,E468:E469))</f>
        <v>280592.3</v>
      </c>
      <c r="J481" s="328">
        <f>SUM(D470:D474)</f>
        <v>16.02</v>
      </c>
      <c r="K481" s="329">
        <f>(SUMPRODUCT(D470:D474,E470:E474))</f>
        <v>1232320.6000000001</v>
      </c>
      <c r="L481" s="330"/>
      <c r="M481" s="331"/>
      <c r="N481" s="332">
        <f>+H481+J481+L481</f>
        <v>18.41</v>
      </c>
      <c r="O481" s="333">
        <f>+I481+K481+M481</f>
        <v>1512912.9000000001</v>
      </c>
      <c r="P481" s="334">
        <f>SUM(D475:D480)</f>
        <v>55.54999999999999</v>
      </c>
      <c r="Q481" s="335">
        <f>(SUMPRODUCT(D475:D480,E475:E480))</f>
        <v>2938420.1099999994</v>
      </c>
    </row>
    <row r="482" spans="1:17" ht="11.25" customHeight="1" x14ac:dyDescent="0.15">
      <c r="A482" s="309">
        <v>69</v>
      </c>
      <c r="B482" s="337" t="s">
        <v>317</v>
      </c>
      <c r="C482" s="338"/>
      <c r="D482" s="339"/>
      <c r="E482" s="340"/>
      <c r="F482" s="310"/>
      <c r="G482" s="311"/>
      <c r="H482" s="312"/>
      <c r="I482" s="313"/>
      <c r="J482" s="314"/>
      <c r="K482" s="315"/>
      <c r="L482" s="316"/>
      <c r="M482" s="317"/>
      <c r="N482" s="318"/>
      <c r="O482" s="319"/>
      <c r="P482" s="320"/>
      <c r="Q482" s="321"/>
    </row>
    <row r="483" spans="1:17" ht="11.25" customHeight="1" x14ac:dyDescent="0.15">
      <c r="A483" s="309"/>
      <c r="B483" s="322" t="s">
        <v>414</v>
      </c>
      <c r="C483" s="12" t="s">
        <v>150</v>
      </c>
      <c r="D483" s="14">
        <v>0.5</v>
      </c>
      <c r="E483" s="13">
        <v>142082</v>
      </c>
      <c r="F483" s="310"/>
      <c r="G483" s="311"/>
      <c r="H483" s="312"/>
      <c r="I483" s="313"/>
      <c r="J483" s="314"/>
      <c r="K483" s="315"/>
      <c r="L483" s="316"/>
      <c r="M483" s="317"/>
      <c r="N483" s="318"/>
      <c r="O483" s="319"/>
      <c r="P483" s="320"/>
      <c r="Q483" s="321"/>
    </row>
    <row r="484" spans="1:17" ht="11.25" customHeight="1" x14ac:dyDescent="0.15">
      <c r="A484" s="309"/>
      <c r="B484" s="322" t="s">
        <v>415</v>
      </c>
      <c r="C484" s="12" t="s">
        <v>135</v>
      </c>
      <c r="D484" s="14">
        <v>0.14000000000000001</v>
      </c>
      <c r="E484" s="13">
        <v>22601</v>
      </c>
      <c r="F484" s="310"/>
      <c r="G484" s="311"/>
      <c r="H484" s="312"/>
      <c r="I484" s="313"/>
      <c r="J484" s="314"/>
      <c r="K484" s="315"/>
      <c r="L484" s="316"/>
      <c r="M484" s="317"/>
      <c r="N484" s="318"/>
      <c r="O484" s="319"/>
      <c r="P484" s="320"/>
      <c r="Q484" s="321"/>
    </row>
    <row r="485" spans="1:17" ht="11.25" customHeight="1" x14ac:dyDescent="0.15">
      <c r="A485" s="309"/>
      <c r="B485" s="322" t="s">
        <v>416</v>
      </c>
      <c r="C485" s="12" t="s">
        <v>526</v>
      </c>
      <c r="D485" s="14">
        <v>1.27</v>
      </c>
      <c r="E485" s="13">
        <v>61705</v>
      </c>
      <c r="F485" s="310"/>
      <c r="G485" s="311"/>
      <c r="H485" s="312"/>
      <c r="I485" s="313"/>
      <c r="J485" s="314"/>
      <c r="K485" s="315"/>
      <c r="L485" s="316"/>
      <c r="M485" s="317"/>
      <c r="N485" s="318"/>
      <c r="O485" s="319"/>
      <c r="P485" s="320"/>
      <c r="Q485" s="321"/>
    </row>
    <row r="486" spans="1:17" ht="11.25" customHeight="1" x14ac:dyDescent="0.15">
      <c r="A486" s="309"/>
      <c r="B486" s="322" t="s">
        <v>417</v>
      </c>
      <c r="C486" s="12" t="s">
        <v>136</v>
      </c>
      <c r="D486" s="14">
        <v>4.13</v>
      </c>
      <c r="E486" s="13">
        <v>69062</v>
      </c>
      <c r="F486" s="310"/>
      <c r="G486" s="311"/>
      <c r="H486" s="312"/>
      <c r="I486" s="313"/>
      <c r="J486" s="314"/>
      <c r="K486" s="315"/>
      <c r="L486" s="316"/>
      <c r="M486" s="317"/>
      <c r="N486" s="318"/>
      <c r="O486" s="319"/>
      <c r="P486" s="320"/>
      <c r="Q486" s="321"/>
    </row>
    <row r="487" spans="1:17" ht="11.25" customHeight="1" x14ac:dyDescent="0.15">
      <c r="A487" s="309"/>
      <c r="B487" s="322" t="s">
        <v>418</v>
      </c>
      <c r="C487" s="12" t="s">
        <v>137</v>
      </c>
      <c r="D487" s="14">
        <v>5.5</v>
      </c>
      <c r="E487" s="13">
        <v>55713</v>
      </c>
      <c r="F487" s="310"/>
      <c r="G487" s="311"/>
      <c r="H487" s="312"/>
      <c r="I487" s="313"/>
      <c r="J487" s="314"/>
      <c r="K487" s="315"/>
      <c r="L487" s="316"/>
      <c r="M487" s="317"/>
      <c r="N487" s="318"/>
      <c r="O487" s="319"/>
      <c r="P487" s="320"/>
      <c r="Q487" s="321"/>
    </row>
    <row r="488" spans="1:17" ht="11.25" customHeight="1" x14ac:dyDescent="0.25">
      <c r="A488" s="264"/>
      <c r="B488" s="322" t="s">
        <v>419</v>
      </c>
      <c r="C488" s="12" t="s">
        <v>138</v>
      </c>
      <c r="D488" s="14">
        <v>1.3</v>
      </c>
      <c r="E488" s="13">
        <v>114181</v>
      </c>
      <c r="F488" s="310"/>
      <c r="G488" s="311"/>
      <c r="H488" s="312"/>
      <c r="I488" s="313"/>
      <c r="J488" s="314"/>
      <c r="K488" s="315"/>
      <c r="L488" s="316"/>
      <c r="M488" s="317"/>
      <c r="N488" s="318"/>
      <c r="O488" s="319"/>
      <c r="P488" s="320"/>
      <c r="Q488" s="321"/>
    </row>
    <row r="489" spans="1:17" ht="11.25" customHeight="1" x14ac:dyDescent="0.15">
      <c r="A489" s="309"/>
      <c r="B489" s="322" t="s">
        <v>421</v>
      </c>
      <c r="C489" s="12" t="s">
        <v>143</v>
      </c>
      <c r="D489" s="14">
        <v>0.7</v>
      </c>
      <c r="E489" s="13">
        <v>58963</v>
      </c>
      <c r="F489" s="310"/>
      <c r="G489" s="311"/>
      <c r="H489" s="312"/>
      <c r="I489" s="313"/>
      <c r="J489" s="314"/>
      <c r="K489" s="315"/>
      <c r="L489" s="316"/>
      <c r="M489" s="317"/>
      <c r="N489" s="318"/>
      <c r="O489" s="319"/>
      <c r="P489" s="320"/>
      <c r="Q489" s="321"/>
    </row>
    <row r="490" spans="1:17" ht="11.25" customHeight="1" x14ac:dyDescent="0.15">
      <c r="A490" s="309"/>
      <c r="B490" s="322" t="s">
        <v>423</v>
      </c>
      <c r="C490" s="12" t="s">
        <v>145</v>
      </c>
      <c r="D490" s="14">
        <v>0.5</v>
      </c>
      <c r="E490" s="13">
        <v>98880</v>
      </c>
      <c r="F490" s="310"/>
      <c r="G490" s="311"/>
      <c r="H490" s="312"/>
      <c r="I490" s="313"/>
      <c r="J490" s="314"/>
      <c r="K490" s="315"/>
      <c r="L490" s="316"/>
      <c r="M490" s="317"/>
      <c r="N490" s="318"/>
      <c r="O490" s="319"/>
      <c r="P490" s="320"/>
      <c r="Q490" s="321"/>
    </row>
    <row r="491" spans="1:17" ht="11.25" customHeight="1" x14ac:dyDescent="0.15">
      <c r="A491" s="309"/>
      <c r="B491" s="322" t="s">
        <v>435</v>
      </c>
      <c r="C491" s="12" t="s">
        <v>110</v>
      </c>
      <c r="D491" s="14">
        <v>19.809999999999999</v>
      </c>
      <c r="E491" s="13">
        <v>54436</v>
      </c>
      <c r="F491" s="310"/>
      <c r="G491" s="311"/>
      <c r="H491" s="312"/>
      <c r="I491" s="313"/>
      <c r="J491" s="314"/>
      <c r="K491" s="315"/>
      <c r="L491" s="316"/>
      <c r="M491" s="317"/>
      <c r="N491" s="318"/>
      <c r="O491" s="319"/>
      <c r="P491" s="320"/>
      <c r="Q491" s="321"/>
    </row>
    <row r="492" spans="1:17" ht="11.25" customHeight="1" x14ac:dyDescent="0.15">
      <c r="A492" s="309"/>
      <c r="B492" s="322" t="s">
        <v>438</v>
      </c>
      <c r="C492" s="12" t="s">
        <v>113</v>
      </c>
      <c r="D492" s="14">
        <v>10.59</v>
      </c>
      <c r="E492" s="13">
        <v>56568</v>
      </c>
      <c r="F492" s="310"/>
      <c r="G492" s="311"/>
      <c r="H492" s="312"/>
      <c r="I492" s="313"/>
      <c r="J492" s="314"/>
      <c r="K492" s="315"/>
      <c r="L492" s="316"/>
      <c r="M492" s="317"/>
      <c r="N492" s="318"/>
      <c r="O492" s="319"/>
      <c r="P492" s="320"/>
      <c r="Q492" s="321"/>
    </row>
    <row r="493" spans="1:17" ht="11.25" customHeight="1" x14ac:dyDescent="0.15">
      <c r="A493" s="309"/>
      <c r="B493" s="322" t="s">
        <v>440</v>
      </c>
      <c r="C493" s="12" t="s">
        <v>115</v>
      </c>
      <c r="D493" s="14">
        <v>13.43</v>
      </c>
      <c r="E493" s="13">
        <v>94216</v>
      </c>
      <c r="F493" s="310"/>
      <c r="G493" s="311"/>
      <c r="H493" s="312"/>
      <c r="I493" s="313"/>
      <c r="J493" s="314"/>
      <c r="K493" s="315"/>
      <c r="L493" s="316"/>
      <c r="M493" s="317"/>
      <c r="N493" s="318"/>
      <c r="O493" s="319"/>
      <c r="P493" s="320"/>
      <c r="Q493" s="321"/>
    </row>
    <row r="494" spans="1:17" ht="11.25" customHeight="1" x14ac:dyDescent="0.15">
      <c r="A494" s="309"/>
      <c r="B494" s="322" t="s">
        <v>442</v>
      </c>
      <c r="C494" s="12" t="s">
        <v>117</v>
      </c>
      <c r="D494" s="14">
        <v>1.59</v>
      </c>
      <c r="E494" s="13">
        <v>69736</v>
      </c>
      <c r="F494" s="310"/>
      <c r="G494" s="311"/>
      <c r="H494" s="312"/>
      <c r="I494" s="313"/>
      <c r="J494" s="314"/>
      <c r="K494" s="315"/>
      <c r="L494" s="316"/>
      <c r="M494" s="317"/>
      <c r="N494" s="318"/>
      <c r="O494" s="319"/>
      <c r="P494" s="320"/>
      <c r="Q494" s="321"/>
    </row>
    <row r="495" spans="1:17" ht="11.25" customHeight="1" x14ac:dyDescent="0.15">
      <c r="A495" s="309"/>
      <c r="B495" s="322" t="s">
        <v>443</v>
      </c>
      <c r="C495" s="12" t="s">
        <v>109</v>
      </c>
      <c r="D495" s="14">
        <v>5.79</v>
      </c>
      <c r="E495" s="13">
        <v>96315</v>
      </c>
      <c r="F495" s="342"/>
      <c r="G495" s="325"/>
      <c r="H495" s="312"/>
      <c r="I495" s="327"/>
      <c r="J495" s="314"/>
      <c r="K495" s="329"/>
      <c r="L495" s="316"/>
      <c r="M495" s="331"/>
      <c r="N495" s="318"/>
      <c r="O495" s="333"/>
      <c r="P495" s="320"/>
      <c r="Q495" s="335"/>
    </row>
    <row r="496" spans="1:17" ht="11.25" customHeight="1" x14ac:dyDescent="0.25">
      <c r="A496" s="264"/>
      <c r="B496" s="323"/>
      <c r="C496" s="264"/>
      <c r="D496" s="132"/>
      <c r="E496" s="98"/>
      <c r="F496" s="324">
        <f>SUM(D483:D490)</f>
        <v>14.04</v>
      </c>
      <c r="G496" s="325">
        <f>(SUMPRODUCT(D483:D490,E483:E490))</f>
        <v>983367.45000000007</v>
      </c>
      <c r="H496" s="326">
        <f>SUM(D483:D484)</f>
        <v>0.64</v>
      </c>
      <c r="I496" s="327">
        <f>(SUMPRODUCT(D483:D484,E483:E484))</f>
        <v>74205.14</v>
      </c>
      <c r="J496" s="328">
        <f>SUM(D485:D490)</f>
        <v>13.4</v>
      </c>
      <c r="K496" s="329">
        <f>(SUMPRODUCT(D485:D490,E485:E490))</f>
        <v>909162.31</v>
      </c>
      <c r="L496" s="330"/>
      <c r="M496" s="331"/>
      <c r="N496" s="332">
        <f>+H496+J496+L496</f>
        <v>14.040000000000001</v>
      </c>
      <c r="O496" s="333">
        <f>+I496+K496+M496</f>
        <v>983367.45000000007</v>
      </c>
      <c r="P496" s="334">
        <f>SUM(D491:D495)</f>
        <v>51.21</v>
      </c>
      <c r="Q496" s="335">
        <f>(SUMPRODUCT(D491:D495,E491:E495))</f>
        <v>3611297.25</v>
      </c>
    </row>
    <row r="497" spans="1:17" ht="11.25" customHeight="1" x14ac:dyDescent="0.15">
      <c r="A497" s="309">
        <v>71</v>
      </c>
      <c r="B497" s="337" t="s">
        <v>152</v>
      </c>
      <c r="C497" s="338"/>
      <c r="D497" s="339"/>
      <c r="E497" s="340"/>
      <c r="F497" s="310"/>
      <c r="G497" s="311"/>
      <c r="H497" s="312"/>
      <c r="I497" s="313"/>
      <c r="J497" s="314"/>
      <c r="K497" s="315"/>
      <c r="L497" s="316"/>
      <c r="M497" s="317"/>
      <c r="N497" s="318"/>
      <c r="O497" s="319"/>
      <c r="P497" s="320"/>
      <c r="Q497" s="321"/>
    </row>
    <row r="498" spans="1:17" ht="11.25" customHeight="1" x14ac:dyDescent="0.15">
      <c r="A498" s="309"/>
      <c r="B498" s="322" t="s">
        <v>417</v>
      </c>
      <c r="C498" s="12" t="s">
        <v>136</v>
      </c>
      <c r="D498" s="14">
        <v>0.89</v>
      </c>
      <c r="E498" s="13">
        <v>74772</v>
      </c>
      <c r="F498" s="310"/>
      <c r="G498" s="311"/>
      <c r="H498" s="312"/>
      <c r="I498" s="313"/>
      <c r="J498" s="314"/>
      <c r="K498" s="315"/>
      <c r="L498" s="316"/>
      <c r="M498" s="317"/>
      <c r="N498" s="318"/>
      <c r="O498" s="319"/>
      <c r="P498" s="320"/>
      <c r="Q498" s="321"/>
    </row>
    <row r="499" spans="1:17" ht="11.25" customHeight="1" x14ac:dyDescent="0.15">
      <c r="A499" s="309"/>
      <c r="B499" s="322" t="s">
        <v>438</v>
      </c>
      <c r="C499" s="12" t="s">
        <v>113</v>
      </c>
      <c r="D499" s="14">
        <v>0.98</v>
      </c>
      <c r="E499" s="13">
        <v>61216</v>
      </c>
      <c r="F499" s="310"/>
      <c r="G499" s="311"/>
      <c r="H499" s="312"/>
      <c r="I499" s="313"/>
      <c r="J499" s="314"/>
      <c r="K499" s="315"/>
      <c r="L499" s="316"/>
      <c r="M499" s="317"/>
      <c r="N499" s="318"/>
      <c r="O499" s="319"/>
      <c r="P499" s="320"/>
      <c r="Q499" s="321"/>
    </row>
    <row r="500" spans="1:17" ht="11.25" customHeight="1" x14ac:dyDescent="0.25">
      <c r="A500" s="264"/>
      <c r="B500" s="323"/>
      <c r="C500" s="264"/>
      <c r="D500" s="132"/>
      <c r="E500" s="98"/>
      <c r="F500" s="324">
        <f>SUM(D498:D498)</f>
        <v>0.89</v>
      </c>
      <c r="G500" s="325">
        <f>(SUMPRODUCT(D498:D498,E498:E498))</f>
        <v>66547.08</v>
      </c>
      <c r="H500" s="326"/>
      <c r="I500" s="327"/>
      <c r="J500" s="328">
        <f>SUM(D498:D498)</f>
        <v>0.89</v>
      </c>
      <c r="K500" s="329">
        <f>(SUMPRODUCT(D498:D498,E498:E498))</f>
        <v>66547.08</v>
      </c>
      <c r="L500" s="330"/>
      <c r="M500" s="331"/>
      <c r="N500" s="332">
        <f>+H500+J500+L500</f>
        <v>0.89</v>
      </c>
      <c r="O500" s="333">
        <f>+I500+K500+M500</f>
        <v>66547.08</v>
      </c>
      <c r="P500" s="334">
        <f>SUM(D499:D499)</f>
        <v>0.98</v>
      </c>
      <c r="Q500" s="335">
        <f>(SUMPRODUCT(D499:D499,E499:E499))</f>
        <v>59991.68</v>
      </c>
    </row>
    <row r="501" spans="1:17" ht="11.25" customHeight="1" x14ac:dyDescent="0.15">
      <c r="A501" s="309">
        <v>73</v>
      </c>
      <c r="B501" s="337" t="s">
        <v>153</v>
      </c>
      <c r="C501" s="338"/>
      <c r="D501" s="339"/>
      <c r="E501" s="340"/>
      <c r="F501" s="310"/>
      <c r="G501" s="311"/>
      <c r="H501" s="312"/>
      <c r="I501" s="313"/>
      <c r="J501" s="314"/>
      <c r="K501" s="315"/>
      <c r="L501" s="316"/>
      <c r="M501" s="317"/>
      <c r="N501" s="318"/>
      <c r="O501" s="319"/>
      <c r="P501" s="320"/>
      <c r="Q501" s="321"/>
    </row>
    <row r="502" spans="1:17" ht="11.25" customHeight="1" x14ac:dyDescent="0.15">
      <c r="A502" s="309"/>
      <c r="B502" s="322" t="s">
        <v>410</v>
      </c>
      <c r="C502" s="12" t="s">
        <v>134</v>
      </c>
      <c r="D502" s="14">
        <v>0</v>
      </c>
      <c r="E502" s="13">
        <v>0</v>
      </c>
      <c r="F502" s="310"/>
      <c r="G502" s="311"/>
      <c r="H502" s="312"/>
      <c r="I502" s="313"/>
      <c r="J502" s="314"/>
      <c r="K502" s="315"/>
      <c r="L502" s="316"/>
      <c r="M502" s="317"/>
      <c r="N502" s="318"/>
      <c r="O502" s="319"/>
      <c r="P502" s="320"/>
      <c r="Q502" s="321"/>
    </row>
    <row r="503" spans="1:17" ht="11.25" customHeight="1" x14ac:dyDescent="0.15">
      <c r="A503" s="309"/>
      <c r="B503" s="322" t="s">
        <v>413</v>
      </c>
      <c r="C503" s="12" t="s">
        <v>142</v>
      </c>
      <c r="D503" s="14">
        <v>0</v>
      </c>
      <c r="E503" s="13">
        <v>0</v>
      </c>
      <c r="F503" s="310"/>
      <c r="G503" s="311"/>
      <c r="H503" s="312"/>
      <c r="I503" s="313"/>
      <c r="J503" s="314"/>
      <c r="K503" s="315"/>
      <c r="L503" s="316"/>
      <c r="M503" s="317"/>
      <c r="N503" s="318"/>
      <c r="O503" s="319"/>
      <c r="P503" s="320"/>
      <c r="Q503" s="321"/>
    </row>
    <row r="504" spans="1:17" ht="11.25" customHeight="1" x14ac:dyDescent="0.15">
      <c r="A504" s="309"/>
      <c r="B504" s="322" t="s">
        <v>417</v>
      </c>
      <c r="C504" s="12" t="s">
        <v>136</v>
      </c>
      <c r="D504" s="14">
        <v>0</v>
      </c>
      <c r="E504" s="13">
        <v>0</v>
      </c>
      <c r="F504" s="310"/>
      <c r="G504" s="311"/>
      <c r="H504" s="312"/>
      <c r="I504" s="313"/>
      <c r="J504" s="314"/>
      <c r="K504" s="315"/>
      <c r="L504" s="316"/>
      <c r="M504" s="317"/>
      <c r="N504" s="318"/>
      <c r="O504" s="319"/>
      <c r="P504" s="320"/>
      <c r="Q504" s="321"/>
    </row>
    <row r="505" spans="1:17" ht="11.25" customHeight="1" x14ac:dyDescent="0.15">
      <c r="A505" s="309"/>
      <c r="B505" s="322" t="s">
        <v>418</v>
      </c>
      <c r="C505" s="12" t="s">
        <v>137</v>
      </c>
      <c r="D505" s="14">
        <v>0</v>
      </c>
      <c r="E505" s="13">
        <v>0</v>
      </c>
      <c r="F505" s="310"/>
      <c r="G505" s="311"/>
      <c r="H505" s="312"/>
      <c r="I505" s="313"/>
      <c r="J505" s="314"/>
      <c r="K505" s="315"/>
      <c r="L505" s="316"/>
      <c r="M505" s="317"/>
      <c r="N505" s="318"/>
      <c r="O505" s="319"/>
      <c r="P505" s="320"/>
      <c r="Q505" s="321"/>
    </row>
    <row r="506" spans="1:17" ht="11.25" customHeight="1" x14ac:dyDescent="0.15">
      <c r="A506" s="309"/>
      <c r="B506" s="322" t="s">
        <v>419</v>
      </c>
      <c r="C506" s="12" t="s">
        <v>138</v>
      </c>
      <c r="D506" s="14">
        <v>0.2</v>
      </c>
      <c r="E506" s="13">
        <v>98935</v>
      </c>
      <c r="F506" s="310"/>
      <c r="G506" s="311"/>
      <c r="H506" s="312"/>
      <c r="I506" s="313"/>
      <c r="J506" s="314"/>
      <c r="K506" s="315"/>
      <c r="L506" s="316"/>
      <c r="M506" s="317"/>
      <c r="N506" s="318"/>
      <c r="O506" s="319"/>
      <c r="P506" s="320"/>
      <c r="Q506" s="321"/>
    </row>
    <row r="507" spans="1:17" ht="11.25" customHeight="1" x14ac:dyDescent="0.15">
      <c r="A507" s="309"/>
      <c r="B507" s="322" t="s">
        <v>438</v>
      </c>
      <c r="C507" s="12" t="s">
        <v>113</v>
      </c>
      <c r="D507" s="14">
        <v>0.48</v>
      </c>
      <c r="E507" s="13">
        <v>58825</v>
      </c>
      <c r="F507" s="310"/>
      <c r="G507" s="311"/>
      <c r="H507" s="312"/>
      <c r="I507" s="313"/>
      <c r="J507" s="314"/>
      <c r="K507" s="315"/>
      <c r="L507" s="316"/>
      <c r="M507" s="317"/>
      <c r="N507" s="318"/>
      <c r="O507" s="319"/>
      <c r="P507" s="320"/>
      <c r="Q507" s="321"/>
    </row>
    <row r="508" spans="1:17" ht="11.25" customHeight="1" x14ac:dyDescent="0.25">
      <c r="A508" s="264"/>
      <c r="B508" s="323"/>
      <c r="C508" s="264"/>
      <c r="D508" s="132"/>
      <c r="E508" s="98"/>
      <c r="F508" s="324">
        <f>SUM(D502:D506)</f>
        <v>0.2</v>
      </c>
      <c r="G508" s="325">
        <f>(SUMPRODUCT(D502:D506,E502:E506))</f>
        <v>19787</v>
      </c>
      <c r="H508" s="326">
        <f>SUM(D502:D503)</f>
        <v>0</v>
      </c>
      <c r="I508" s="327">
        <f>(SUMPRODUCT(D502:D503,E502:E503))</f>
        <v>0</v>
      </c>
      <c r="J508" s="328">
        <f>SUM(D504:D506)</f>
        <v>0.2</v>
      </c>
      <c r="K508" s="329">
        <f>(SUMPRODUCT(D504:D506,E504:E506))</f>
        <v>19787</v>
      </c>
      <c r="L508" s="330"/>
      <c r="M508" s="331"/>
      <c r="N508" s="332">
        <f>+H508+J508+L508</f>
        <v>0.2</v>
      </c>
      <c r="O508" s="333">
        <f>+I508+K508+M508</f>
        <v>19787</v>
      </c>
      <c r="P508" s="334">
        <f>SUM(D507:D507)</f>
        <v>0.48</v>
      </c>
      <c r="Q508" s="335">
        <f>(SUMPRODUCT(D507:D507,E507:E507))</f>
        <v>28236</v>
      </c>
    </row>
    <row r="509" spans="1:17" ht="11.25" customHeight="1" x14ac:dyDescent="0.15">
      <c r="A509" s="337">
        <v>74</v>
      </c>
      <c r="B509" s="337" t="s">
        <v>154</v>
      </c>
      <c r="C509" s="338"/>
      <c r="D509" s="339"/>
      <c r="E509" s="340"/>
      <c r="F509" s="310"/>
      <c r="G509" s="311"/>
      <c r="H509" s="312"/>
      <c r="I509" s="313"/>
      <c r="J509" s="314"/>
      <c r="K509" s="315"/>
      <c r="L509" s="316"/>
      <c r="M509" s="317"/>
      <c r="N509" s="318"/>
      <c r="O509" s="319"/>
      <c r="P509" s="320"/>
      <c r="Q509" s="321"/>
    </row>
    <row r="510" spans="1:17" ht="11.25" customHeight="1" x14ac:dyDescent="0.15">
      <c r="A510" s="309"/>
      <c r="B510" s="322" t="s">
        <v>410</v>
      </c>
      <c r="C510" s="12" t="s">
        <v>134</v>
      </c>
      <c r="D510" s="14">
        <v>9.67</v>
      </c>
      <c r="E510" s="13">
        <v>135935</v>
      </c>
      <c r="F510" s="310"/>
      <c r="G510" s="311"/>
      <c r="H510" s="312"/>
      <c r="I510" s="313"/>
      <c r="J510" s="314"/>
      <c r="K510" s="315"/>
      <c r="L510" s="316"/>
      <c r="M510" s="317"/>
      <c r="N510" s="318"/>
      <c r="O510" s="319"/>
      <c r="P510" s="320"/>
      <c r="Q510" s="321"/>
    </row>
    <row r="511" spans="1:17" ht="11.25" customHeight="1" x14ac:dyDescent="0.15">
      <c r="A511" s="309"/>
      <c r="B511" s="322" t="s">
        <v>415</v>
      </c>
      <c r="C511" s="12" t="s">
        <v>135</v>
      </c>
      <c r="D511" s="14">
        <v>0.44</v>
      </c>
      <c r="E511" s="13">
        <v>85826</v>
      </c>
      <c r="F511" s="310"/>
      <c r="G511" s="311"/>
      <c r="H511" s="312"/>
      <c r="I511" s="313"/>
      <c r="J511" s="314"/>
      <c r="K511" s="315"/>
      <c r="L511" s="316"/>
      <c r="M511" s="317"/>
      <c r="N511" s="318"/>
      <c r="O511" s="319"/>
      <c r="P511" s="320"/>
      <c r="Q511" s="321"/>
    </row>
    <row r="512" spans="1:17" ht="11.25" customHeight="1" x14ac:dyDescent="0.15">
      <c r="A512" s="309"/>
      <c r="B512" s="322" t="s">
        <v>416</v>
      </c>
      <c r="C512" s="12" t="s">
        <v>526</v>
      </c>
      <c r="D512" s="14">
        <v>64.33</v>
      </c>
      <c r="E512" s="13">
        <v>80414</v>
      </c>
      <c r="F512" s="310"/>
      <c r="G512" s="311"/>
      <c r="H512" s="312"/>
      <c r="I512" s="313"/>
      <c r="J512" s="314"/>
      <c r="K512" s="315"/>
      <c r="L512" s="316"/>
      <c r="M512" s="317"/>
      <c r="N512" s="318"/>
      <c r="O512" s="319"/>
      <c r="P512" s="320"/>
      <c r="Q512" s="321"/>
    </row>
    <row r="513" spans="1:17" ht="11.25" customHeight="1" x14ac:dyDescent="0.15">
      <c r="A513" s="309"/>
      <c r="B513" s="322" t="s">
        <v>417</v>
      </c>
      <c r="C513" s="12" t="s">
        <v>136</v>
      </c>
      <c r="D513" s="14">
        <v>31.94</v>
      </c>
      <c r="E513" s="13">
        <v>79824</v>
      </c>
      <c r="F513" s="310"/>
      <c r="G513" s="311"/>
      <c r="H513" s="312"/>
      <c r="I513" s="313"/>
      <c r="J513" s="314"/>
      <c r="K513" s="315"/>
      <c r="L513" s="316"/>
      <c r="M513" s="317"/>
      <c r="N513" s="318"/>
      <c r="O513" s="319"/>
      <c r="P513" s="320"/>
      <c r="Q513" s="321"/>
    </row>
    <row r="514" spans="1:17" ht="11.25" customHeight="1" x14ac:dyDescent="0.15">
      <c r="A514" s="309"/>
      <c r="B514" s="322" t="s">
        <v>418</v>
      </c>
      <c r="C514" s="12" t="s">
        <v>137</v>
      </c>
      <c r="D514" s="14">
        <v>76.239999999999995</v>
      </c>
      <c r="E514" s="13">
        <v>81125</v>
      </c>
      <c r="F514" s="310"/>
      <c r="G514" s="311"/>
      <c r="H514" s="312"/>
      <c r="I514" s="313"/>
      <c r="J514" s="314"/>
      <c r="K514" s="315"/>
      <c r="L514" s="316"/>
      <c r="M514" s="317"/>
      <c r="N514" s="318"/>
      <c r="O514" s="319"/>
      <c r="P514" s="320"/>
      <c r="Q514" s="321"/>
    </row>
    <row r="515" spans="1:17" ht="11.25" customHeight="1" x14ac:dyDescent="0.25">
      <c r="A515" s="264"/>
      <c r="B515" s="322" t="s">
        <v>527</v>
      </c>
      <c r="C515" s="12" t="s">
        <v>528</v>
      </c>
      <c r="D515" s="14">
        <v>4.47</v>
      </c>
      <c r="E515" s="13">
        <v>73515</v>
      </c>
      <c r="F515" s="310"/>
      <c r="G515" s="311"/>
      <c r="H515" s="312"/>
      <c r="I515" s="313"/>
      <c r="J515" s="314"/>
      <c r="K515" s="315"/>
      <c r="L515" s="316"/>
      <c r="M515" s="317"/>
      <c r="N515" s="318"/>
      <c r="O515" s="319"/>
      <c r="P515" s="320"/>
      <c r="Q515" s="321"/>
    </row>
    <row r="516" spans="1:17" ht="11.25" customHeight="1" x14ac:dyDescent="0.15">
      <c r="A516" s="309"/>
      <c r="B516" s="322" t="s">
        <v>419</v>
      </c>
      <c r="C516" s="12" t="s">
        <v>138</v>
      </c>
      <c r="D516" s="14">
        <v>28.01</v>
      </c>
      <c r="E516" s="13">
        <v>89713</v>
      </c>
      <c r="F516" s="310"/>
      <c r="G516" s="311"/>
      <c r="H516" s="312"/>
      <c r="I516" s="313"/>
      <c r="J516" s="314"/>
      <c r="K516" s="315"/>
      <c r="L516" s="316"/>
      <c r="M516" s="317"/>
      <c r="N516" s="318"/>
      <c r="O516" s="319"/>
      <c r="P516" s="320"/>
      <c r="Q516" s="321"/>
    </row>
    <row r="517" spans="1:17" ht="11.25" customHeight="1" x14ac:dyDescent="0.15">
      <c r="A517" s="309"/>
      <c r="B517" s="322" t="s">
        <v>421</v>
      </c>
      <c r="C517" s="12" t="s">
        <v>143</v>
      </c>
      <c r="D517" s="14">
        <v>0.9</v>
      </c>
      <c r="E517" s="13">
        <v>91211</v>
      </c>
      <c r="F517" s="310"/>
      <c r="G517" s="311"/>
      <c r="H517" s="312"/>
      <c r="I517" s="313"/>
      <c r="J517" s="314"/>
      <c r="K517" s="315"/>
      <c r="L517" s="316"/>
      <c r="M517" s="317"/>
      <c r="N517" s="318"/>
      <c r="O517" s="319"/>
      <c r="P517" s="320"/>
      <c r="Q517" s="321"/>
    </row>
    <row r="518" spans="1:17" ht="11.25" customHeight="1" x14ac:dyDescent="0.15">
      <c r="A518" s="309"/>
      <c r="B518" s="322" t="s">
        <v>425</v>
      </c>
      <c r="C518" s="12" t="s">
        <v>146</v>
      </c>
      <c r="D518" s="14">
        <v>0.3</v>
      </c>
      <c r="E518" s="13">
        <v>73610</v>
      </c>
      <c r="F518" s="310"/>
      <c r="G518" s="311"/>
      <c r="H518" s="312"/>
      <c r="I518" s="313"/>
      <c r="J518" s="314"/>
      <c r="K518" s="315"/>
      <c r="L518" s="316"/>
      <c r="M518" s="317"/>
      <c r="N518" s="318"/>
      <c r="O518" s="319"/>
      <c r="P518" s="320"/>
      <c r="Q518" s="321"/>
    </row>
    <row r="519" spans="1:17" ht="11.25" customHeight="1" x14ac:dyDescent="0.15">
      <c r="A519" s="309"/>
      <c r="B519" s="322" t="s">
        <v>435</v>
      </c>
      <c r="C519" s="12" t="s">
        <v>110</v>
      </c>
      <c r="D519" s="14">
        <v>4.1500000000000004</v>
      </c>
      <c r="E519" s="13">
        <v>40105</v>
      </c>
      <c r="F519" s="310"/>
      <c r="G519" s="311"/>
      <c r="H519" s="312"/>
      <c r="I519" s="313"/>
      <c r="J519" s="314"/>
      <c r="K519" s="315"/>
      <c r="L519" s="316"/>
      <c r="M519" s="317"/>
      <c r="N519" s="318"/>
      <c r="O519" s="319"/>
      <c r="P519" s="320"/>
      <c r="Q519" s="321"/>
    </row>
    <row r="520" spans="1:17" ht="11.25" customHeight="1" x14ac:dyDescent="0.15">
      <c r="A520" s="309"/>
      <c r="B520" s="322" t="s">
        <v>438</v>
      </c>
      <c r="C520" s="12" t="s">
        <v>113</v>
      </c>
      <c r="D520" s="14">
        <v>15.86</v>
      </c>
      <c r="E520" s="13">
        <v>55653</v>
      </c>
      <c r="F520" s="310"/>
      <c r="G520" s="311"/>
      <c r="H520" s="312"/>
      <c r="I520" s="313"/>
      <c r="J520" s="314"/>
      <c r="K520" s="315"/>
      <c r="L520" s="316"/>
      <c r="M520" s="317"/>
      <c r="N520" s="318"/>
      <c r="O520" s="319"/>
      <c r="P520" s="320"/>
      <c r="Q520" s="321"/>
    </row>
    <row r="521" spans="1:17" ht="11.25" customHeight="1" x14ac:dyDescent="0.15">
      <c r="A521" s="309"/>
      <c r="B521" s="322" t="s">
        <v>440</v>
      </c>
      <c r="C521" s="12" t="s">
        <v>115</v>
      </c>
      <c r="D521" s="14">
        <v>4.62</v>
      </c>
      <c r="E521" s="13">
        <v>68813</v>
      </c>
      <c r="F521" s="310"/>
      <c r="G521" s="311"/>
      <c r="H521" s="312"/>
      <c r="I521" s="313"/>
      <c r="J521" s="314"/>
      <c r="K521" s="315"/>
      <c r="L521" s="316"/>
      <c r="M521" s="317"/>
      <c r="N521" s="318"/>
      <c r="O521" s="319"/>
      <c r="P521" s="320"/>
      <c r="Q521" s="321"/>
    </row>
    <row r="522" spans="1:17" ht="11.25" customHeight="1" x14ac:dyDescent="0.15">
      <c r="A522" s="309"/>
      <c r="B522" s="322" t="s">
        <v>442</v>
      </c>
      <c r="C522" s="12" t="s">
        <v>117</v>
      </c>
      <c r="D522" s="14">
        <v>1.05</v>
      </c>
      <c r="E522" s="13">
        <v>59638</v>
      </c>
      <c r="F522" s="310"/>
      <c r="G522" s="311"/>
      <c r="H522" s="312"/>
      <c r="I522" s="313"/>
      <c r="J522" s="314"/>
      <c r="K522" s="315"/>
      <c r="L522" s="316"/>
      <c r="M522" s="317"/>
      <c r="N522" s="318"/>
      <c r="O522" s="319"/>
      <c r="P522" s="320"/>
      <c r="Q522" s="321"/>
    </row>
    <row r="523" spans="1:17" ht="11.25" customHeight="1" x14ac:dyDescent="0.15">
      <c r="A523" s="309"/>
      <c r="B523" s="322" t="s">
        <v>443</v>
      </c>
      <c r="C523" s="12" t="s">
        <v>109</v>
      </c>
      <c r="D523" s="14">
        <v>7.0000000000000007E-2</v>
      </c>
      <c r="E523" s="13">
        <v>109129</v>
      </c>
      <c r="F523" s="310"/>
      <c r="G523" s="311"/>
      <c r="H523" s="312"/>
      <c r="I523" s="313"/>
      <c r="J523" s="314"/>
      <c r="K523" s="315"/>
      <c r="L523" s="316"/>
      <c r="M523" s="317"/>
      <c r="N523" s="318"/>
      <c r="O523" s="319"/>
      <c r="P523" s="320"/>
      <c r="Q523" s="321"/>
    </row>
    <row r="524" spans="1:17" ht="11.25" customHeight="1" x14ac:dyDescent="0.25">
      <c r="A524" s="264"/>
      <c r="B524" s="323"/>
      <c r="C524" s="264"/>
      <c r="D524" s="132"/>
      <c r="E524" s="98"/>
      <c r="F524" s="324">
        <f>SUM(D510:D518)</f>
        <v>216.3</v>
      </c>
      <c r="G524" s="325">
        <f>(SUMPRODUCT(D510:D518,E510:E518))</f>
        <v>18205482.149999999</v>
      </c>
      <c r="H524" s="326">
        <f>SUM(D510:D511)</f>
        <v>10.11</v>
      </c>
      <c r="I524" s="327">
        <f>(SUMPRODUCT(D510:D511,E510:E511))</f>
        <v>1352254.89</v>
      </c>
      <c r="J524" s="328">
        <f>SUM(D512:D518)</f>
        <v>206.19</v>
      </c>
      <c r="K524" s="329">
        <f>(SUMPRODUCT(D512:D518,E512:E518))</f>
        <v>16853227.260000002</v>
      </c>
      <c r="L524" s="330"/>
      <c r="M524" s="331"/>
      <c r="N524" s="332">
        <f>+H524+J524+L524</f>
        <v>216.3</v>
      </c>
      <c r="O524" s="333">
        <f>+I524+K524+M524</f>
        <v>18205482.150000002</v>
      </c>
      <c r="P524" s="334">
        <f>SUM(D519:D523)</f>
        <v>25.75</v>
      </c>
      <c r="Q524" s="335">
        <f>(SUMPRODUCT(D519:D523,E519:E523))</f>
        <v>1437267.32</v>
      </c>
    </row>
    <row r="525" spans="1:17" ht="11.25" customHeight="1" x14ac:dyDescent="0.15">
      <c r="A525" s="309">
        <v>75</v>
      </c>
      <c r="B525" s="337" t="s">
        <v>358</v>
      </c>
      <c r="C525" s="338"/>
      <c r="D525" s="339"/>
      <c r="E525" s="340"/>
      <c r="F525" s="310"/>
      <c r="G525" s="311"/>
      <c r="H525" s="312"/>
      <c r="I525" s="313"/>
      <c r="J525" s="314"/>
      <c r="K525" s="315"/>
      <c r="L525" s="316"/>
      <c r="M525" s="317"/>
      <c r="N525" s="318"/>
      <c r="O525" s="319"/>
      <c r="P525" s="320"/>
      <c r="Q525" s="321"/>
    </row>
    <row r="526" spans="1:17" ht="11.25" customHeight="1" x14ac:dyDescent="0.15">
      <c r="A526" s="309"/>
      <c r="B526" s="322" t="s">
        <v>440</v>
      </c>
      <c r="C526" s="12" t="s">
        <v>115</v>
      </c>
      <c r="D526" s="14">
        <v>1.5</v>
      </c>
      <c r="E526" s="13">
        <v>62386</v>
      </c>
      <c r="F526" s="310"/>
      <c r="G526" s="311"/>
      <c r="H526" s="312"/>
      <c r="I526" s="313"/>
      <c r="J526" s="314"/>
      <c r="K526" s="315"/>
      <c r="L526" s="316"/>
      <c r="M526" s="317"/>
      <c r="N526" s="318"/>
      <c r="O526" s="319"/>
      <c r="P526" s="320"/>
      <c r="Q526" s="321"/>
    </row>
    <row r="527" spans="1:17" ht="11.25" customHeight="1" x14ac:dyDescent="0.15">
      <c r="A527" s="309"/>
      <c r="B527" s="322" t="s">
        <v>443</v>
      </c>
      <c r="C527" s="12" t="s">
        <v>109</v>
      </c>
      <c r="D527" s="14">
        <v>1</v>
      </c>
      <c r="E527" s="13">
        <v>105392</v>
      </c>
      <c r="F527" s="310"/>
      <c r="G527" s="311"/>
      <c r="H527" s="312"/>
      <c r="I527" s="313"/>
      <c r="J527" s="314"/>
      <c r="K527" s="315"/>
      <c r="L527" s="316"/>
      <c r="M527" s="317"/>
      <c r="N527" s="318"/>
      <c r="O527" s="319"/>
      <c r="P527" s="320"/>
      <c r="Q527" s="321"/>
    </row>
    <row r="528" spans="1:17" ht="11.25" customHeight="1" x14ac:dyDescent="0.25">
      <c r="A528" s="264"/>
      <c r="B528" s="323"/>
      <c r="C528" s="264"/>
      <c r="D528" s="132"/>
      <c r="E528" s="98"/>
      <c r="F528" s="324"/>
      <c r="G528" s="325"/>
      <c r="H528" s="326"/>
      <c r="I528" s="327"/>
      <c r="J528" s="328"/>
      <c r="K528" s="329"/>
      <c r="L528" s="330"/>
      <c r="M528" s="331"/>
      <c r="N528" s="332">
        <f>+H528+J528+L528</f>
        <v>0</v>
      </c>
      <c r="O528" s="333">
        <f>+I528+K528+M528</f>
        <v>0</v>
      </c>
      <c r="P528" s="334">
        <f>SUM(D526:D527)</f>
        <v>2.5</v>
      </c>
      <c r="Q528" s="335">
        <f>(SUMPRODUCT(D526:D527,E526:E527))</f>
        <v>198971</v>
      </c>
    </row>
    <row r="529" spans="1:17" ht="11.25" customHeight="1" x14ac:dyDescent="0.15">
      <c r="A529" s="309">
        <v>76</v>
      </c>
      <c r="B529" s="337" t="s">
        <v>318</v>
      </c>
      <c r="C529" s="338"/>
      <c r="D529" s="339"/>
      <c r="E529" s="340"/>
      <c r="F529" s="310"/>
      <c r="G529" s="311"/>
      <c r="H529" s="312"/>
      <c r="I529" s="313"/>
      <c r="J529" s="314"/>
      <c r="K529" s="315"/>
      <c r="L529" s="316"/>
      <c r="M529" s="317"/>
      <c r="N529" s="318"/>
      <c r="O529" s="319"/>
      <c r="P529" s="320"/>
      <c r="Q529" s="321"/>
    </row>
    <row r="530" spans="1:17" ht="11.25" customHeight="1" x14ac:dyDescent="0.15">
      <c r="A530" s="309"/>
      <c r="B530" s="322" t="s">
        <v>415</v>
      </c>
      <c r="C530" s="12" t="s">
        <v>135</v>
      </c>
      <c r="D530" s="14">
        <v>1.5</v>
      </c>
      <c r="E530" s="13">
        <v>67211</v>
      </c>
      <c r="F530" s="310"/>
      <c r="G530" s="311"/>
      <c r="H530" s="312"/>
      <c r="I530" s="313"/>
      <c r="J530" s="314"/>
      <c r="K530" s="315"/>
      <c r="L530" s="316"/>
      <c r="M530" s="317"/>
      <c r="N530" s="318"/>
      <c r="O530" s="319"/>
      <c r="P530" s="320"/>
      <c r="Q530" s="321"/>
    </row>
    <row r="531" spans="1:17" ht="11.25" customHeight="1" x14ac:dyDescent="0.15">
      <c r="A531" s="309"/>
      <c r="B531" s="322" t="s">
        <v>416</v>
      </c>
      <c r="C531" s="12" t="s">
        <v>526</v>
      </c>
      <c r="D531" s="14">
        <v>0</v>
      </c>
      <c r="E531" s="13">
        <v>0</v>
      </c>
      <c r="F531" s="310"/>
      <c r="G531" s="311"/>
      <c r="H531" s="312"/>
      <c r="I531" s="313"/>
      <c r="J531" s="314"/>
      <c r="K531" s="315"/>
      <c r="L531" s="316"/>
      <c r="M531" s="317"/>
      <c r="N531" s="318"/>
      <c r="O531" s="319"/>
      <c r="P531" s="320"/>
      <c r="Q531" s="321"/>
    </row>
    <row r="532" spans="1:17" ht="11.25" customHeight="1" x14ac:dyDescent="0.15">
      <c r="A532" s="309"/>
      <c r="B532" s="322" t="s">
        <v>417</v>
      </c>
      <c r="C532" s="12" t="s">
        <v>136</v>
      </c>
      <c r="D532" s="14">
        <v>0.34</v>
      </c>
      <c r="E532" s="13">
        <v>82809</v>
      </c>
      <c r="F532" s="310"/>
      <c r="G532" s="311"/>
      <c r="H532" s="312"/>
      <c r="I532" s="313"/>
      <c r="J532" s="314"/>
      <c r="K532" s="315"/>
      <c r="L532" s="316"/>
      <c r="M532" s="317"/>
      <c r="N532" s="318"/>
      <c r="O532" s="319"/>
      <c r="P532" s="320"/>
      <c r="Q532" s="321"/>
    </row>
    <row r="533" spans="1:17" ht="11.25" customHeight="1" x14ac:dyDescent="0.15">
      <c r="A533" s="309"/>
      <c r="B533" s="322" t="s">
        <v>435</v>
      </c>
      <c r="C533" s="12" t="s">
        <v>110</v>
      </c>
      <c r="D533" s="14">
        <v>1.35</v>
      </c>
      <c r="E533" s="13">
        <v>38159</v>
      </c>
      <c r="F533" s="310"/>
      <c r="G533" s="311"/>
      <c r="H533" s="312"/>
      <c r="I533" s="313"/>
      <c r="J533" s="314"/>
      <c r="K533" s="315"/>
      <c r="L533" s="316"/>
      <c r="M533" s="317"/>
      <c r="N533" s="318"/>
      <c r="O533" s="319"/>
      <c r="P533" s="320"/>
      <c r="Q533" s="321"/>
    </row>
    <row r="534" spans="1:17" ht="11.25" customHeight="1" x14ac:dyDescent="0.15">
      <c r="A534" s="309"/>
      <c r="B534" s="322" t="s">
        <v>438</v>
      </c>
      <c r="C534" s="12" t="s">
        <v>113</v>
      </c>
      <c r="D534" s="14">
        <v>0.4</v>
      </c>
      <c r="E534" s="13">
        <v>39172</v>
      </c>
      <c r="F534" s="310"/>
      <c r="G534" s="311"/>
      <c r="H534" s="312"/>
      <c r="I534" s="313"/>
      <c r="J534" s="314"/>
      <c r="K534" s="315"/>
      <c r="L534" s="316"/>
      <c r="M534" s="317"/>
      <c r="N534" s="318"/>
      <c r="O534" s="319"/>
      <c r="P534" s="320"/>
      <c r="Q534" s="321"/>
    </row>
    <row r="535" spans="1:17" ht="11.25" customHeight="1" x14ac:dyDescent="0.15">
      <c r="A535" s="309"/>
      <c r="B535" s="322" t="s">
        <v>443</v>
      </c>
      <c r="C535" s="12" t="s">
        <v>109</v>
      </c>
      <c r="D535" s="14">
        <v>0.5</v>
      </c>
      <c r="E535" s="13">
        <v>104372</v>
      </c>
      <c r="F535" s="310"/>
      <c r="G535" s="311"/>
      <c r="H535" s="312"/>
      <c r="I535" s="313"/>
      <c r="J535" s="314"/>
      <c r="K535" s="315"/>
      <c r="L535" s="316"/>
      <c r="M535" s="317"/>
      <c r="N535" s="318"/>
      <c r="O535" s="319"/>
      <c r="P535" s="320"/>
      <c r="Q535" s="321"/>
    </row>
    <row r="536" spans="1:17" ht="11.25" customHeight="1" x14ac:dyDescent="0.25">
      <c r="A536" s="264"/>
      <c r="B536" s="323"/>
      <c r="C536" s="264"/>
      <c r="D536" s="132"/>
      <c r="E536" s="98"/>
      <c r="F536" s="324">
        <f>SUM(D530:D532)</f>
        <v>1.84</v>
      </c>
      <c r="G536" s="325">
        <f>(SUMPRODUCT(D530:D532,E530:E532))</f>
        <v>128971.56</v>
      </c>
      <c r="H536" s="326">
        <f>SUM(D530:D530)</f>
        <v>1.5</v>
      </c>
      <c r="I536" s="327">
        <f>(SUMPRODUCT(D530:D530,E530:E530))</f>
        <v>100816.5</v>
      </c>
      <c r="J536" s="328">
        <f>SUM(D531:D532)</f>
        <v>0.34</v>
      </c>
      <c r="K536" s="329">
        <f>(SUMPRODUCT(D531:D532,E531:E532))</f>
        <v>28155.06</v>
      </c>
      <c r="L536" s="330"/>
      <c r="M536" s="331"/>
      <c r="N536" s="332">
        <f>+H536+J536+L536</f>
        <v>1.84</v>
      </c>
      <c r="O536" s="333">
        <f>+I536+K536+M536</f>
        <v>128971.56</v>
      </c>
      <c r="P536" s="334">
        <f>SUM(D533:D535)</f>
        <v>2.25</v>
      </c>
      <c r="Q536" s="335">
        <f>(SUMPRODUCT(D533:D535,E533:E535))</f>
        <v>119369.45</v>
      </c>
    </row>
    <row r="537" spans="1:17" ht="11.25" customHeight="1" x14ac:dyDescent="0.15">
      <c r="A537" s="309">
        <v>78</v>
      </c>
      <c r="B537" s="337" t="s">
        <v>319</v>
      </c>
      <c r="C537" s="338"/>
      <c r="D537" s="339"/>
      <c r="E537" s="340"/>
      <c r="F537" s="310"/>
      <c r="G537" s="311"/>
      <c r="H537" s="312"/>
      <c r="I537" s="313"/>
      <c r="J537" s="314"/>
      <c r="K537" s="315"/>
      <c r="L537" s="316"/>
      <c r="M537" s="317"/>
      <c r="N537" s="318"/>
      <c r="O537" s="319"/>
      <c r="P537" s="320"/>
      <c r="Q537" s="321"/>
    </row>
    <row r="538" spans="1:17" ht="11.25" customHeight="1" x14ac:dyDescent="0.15">
      <c r="A538" s="309"/>
      <c r="B538" s="322" t="s">
        <v>417</v>
      </c>
      <c r="C538" s="12" t="s">
        <v>136</v>
      </c>
      <c r="D538" s="14">
        <v>1</v>
      </c>
      <c r="E538" s="13">
        <v>77723</v>
      </c>
      <c r="F538" s="310"/>
      <c r="G538" s="311"/>
      <c r="H538" s="312"/>
      <c r="I538" s="313"/>
      <c r="J538" s="314"/>
      <c r="K538" s="315"/>
      <c r="L538" s="316"/>
      <c r="M538" s="317"/>
      <c r="N538" s="318"/>
      <c r="O538" s="319"/>
      <c r="P538" s="320"/>
      <c r="Q538" s="321"/>
    </row>
    <row r="539" spans="1:17" ht="11.25" customHeight="1" x14ac:dyDescent="0.15">
      <c r="A539" s="309"/>
      <c r="B539" s="322" t="s">
        <v>438</v>
      </c>
      <c r="C539" s="12" t="s">
        <v>113</v>
      </c>
      <c r="D539" s="14">
        <v>1</v>
      </c>
      <c r="E539" s="13">
        <v>37675</v>
      </c>
      <c r="F539" s="310"/>
      <c r="G539" s="311"/>
      <c r="H539" s="312"/>
      <c r="I539" s="313"/>
      <c r="J539" s="314"/>
      <c r="K539" s="315"/>
      <c r="L539" s="316"/>
      <c r="M539" s="317"/>
      <c r="N539" s="318"/>
      <c r="O539" s="319"/>
      <c r="P539" s="320"/>
      <c r="Q539" s="321"/>
    </row>
    <row r="540" spans="1:17" ht="11.25" customHeight="1" x14ac:dyDescent="0.15">
      <c r="A540" s="309"/>
      <c r="B540" s="322" t="s">
        <v>443</v>
      </c>
      <c r="C540" s="12" t="s">
        <v>109</v>
      </c>
      <c r="D540" s="14">
        <v>1</v>
      </c>
      <c r="E540" s="13">
        <v>52000</v>
      </c>
      <c r="F540" s="310"/>
      <c r="G540" s="311"/>
      <c r="H540" s="312"/>
      <c r="I540" s="313"/>
      <c r="J540" s="314"/>
      <c r="K540" s="315"/>
      <c r="L540" s="316"/>
      <c r="M540" s="317"/>
      <c r="N540" s="318"/>
      <c r="O540" s="319"/>
      <c r="P540" s="320"/>
      <c r="Q540" s="321"/>
    </row>
    <row r="541" spans="1:17" ht="11.25" customHeight="1" x14ac:dyDescent="0.25">
      <c r="A541" s="264"/>
      <c r="B541" s="323"/>
      <c r="C541" s="264"/>
      <c r="D541" s="132"/>
      <c r="E541" s="98"/>
      <c r="F541" s="324">
        <f>SUM(D538:D538)</f>
        <v>1</v>
      </c>
      <c r="G541" s="325">
        <f>(SUMPRODUCT(D538:D538,E538:E538))</f>
        <v>77723</v>
      </c>
      <c r="H541" s="326"/>
      <c r="I541" s="327"/>
      <c r="J541" s="328">
        <f>SUM(D538:D538)</f>
        <v>1</v>
      </c>
      <c r="K541" s="329">
        <f>(SUMPRODUCT(D538:D538,E538:E538))</f>
        <v>77723</v>
      </c>
      <c r="L541" s="330"/>
      <c r="M541" s="331"/>
      <c r="N541" s="332">
        <f>+H541+J541+L541</f>
        <v>1</v>
      </c>
      <c r="O541" s="333">
        <f>+I541+K541+M541</f>
        <v>77723</v>
      </c>
      <c r="P541" s="334">
        <f>SUM(D539:D540)</f>
        <v>2</v>
      </c>
      <c r="Q541" s="335">
        <f>(SUMPRODUCT(D539:D540,E539:E540))</f>
        <v>89675</v>
      </c>
    </row>
    <row r="542" spans="1:17" ht="11.25" customHeight="1" x14ac:dyDescent="0.15">
      <c r="A542" s="309">
        <v>79</v>
      </c>
      <c r="B542" s="337" t="s">
        <v>320</v>
      </c>
      <c r="C542" s="338"/>
      <c r="D542" s="339"/>
      <c r="E542" s="340"/>
      <c r="F542" s="310"/>
      <c r="G542" s="311"/>
      <c r="H542" s="312"/>
      <c r="I542" s="313"/>
      <c r="J542" s="314"/>
      <c r="K542" s="315"/>
      <c r="L542" s="316"/>
      <c r="M542" s="317"/>
      <c r="N542" s="318"/>
      <c r="O542" s="319"/>
      <c r="P542" s="320"/>
      <c r="Q542" s="321"/>
    </row>
    <row r="543" spans="1:17" ht="11.25" customHeight="1" x14ac:dyDescent="0.15">
      <c r="A543" s="309"/>
      <c r="B543" s="322" t="s">
        <v>410</v>
      </c>
      <c r="C543" s="12" t="s">
        <v>134</v>
      </c>
      <c r="D543" s="14">
        <v>3.09</v>
      </c>
      <c r="E543" s="13">
        <v>116467</v>
      </c>
      <c r="F543" s="310"/>
      <c r="G543" s="311"/>
      <c r="H543" s="312"/>
      <c r="I543" s="313"/>
      <c r="J543" s="314"/>
      <c r="K543" s="315"/>
      <c r="L543" s="316"/>
      <c r="M543" s="317"/>
      <c r="N543" s="318"/>
      <c r="O543" s="319"/>
      <c r="P543" s="320"/>
      <c r="Q543" s="321"/>
    </row>
    <row r="544" spans="1:17" ht="11.25" customHeight="1" x14ac:dyDescent="0.15">
      <c r="A544" s="309"/>
      <c r="B544" s="322" t="s">
        <v>411</v>
      </c>
      <c r="C544" s="12" t="s">
        <v>141</v>
      </c>
      <c r="D544" s="14">
        <v>0.7</v>
      </c>
      <c r="E544" s="13">
        <v>115000</v>
      </c>
      <c r="F544" s="310"/>
      <c r="G544" s="311"/>
      <c r="H544" s="312"/>
      <c r="I544" s="313"/>
      <c r="J544" s="314"/>
      <c r="K544" s="315"/>
      <c r="L544" s="316"/>
      <c r="M544" s="317"/>
      <c r="N544" s="318"/>
      <c r="O544" s="319"/>
      <c r="P544" s="320"/>
      <c r="Q544" s="321"/>
    </row>
    <row r="545" spans="1:17" ht="11.25" customHeight="1" x14ac:dyDescent="0.15">
      <c r="A545" s="344"/>
      <c r="B545" s="322" t="s">
        <v>412</v>
      </c>
      <c r="C545" s="12" t="s">
        <v>151</v>
      </c>
      <c r="D545" s="14">
        <v>1.76</v>
      </c>
      <c r="E545" s="13">
        <v>127204</v>
      </c>
      <c r="F545" s="310"/>
      <c r="G545" s="311"/>
      <c r="H545" s="312"/>
      <c r="I545" s="313"/>
      <c r="J545" s="314"/>
      <c r="K545" s="315"/>
      <c r="L545" s="316"/>
      <c r="M545" s="317"/>
      <c r="N545" s="318"/>
      <c r="O545" s="319"/>
      <c r="P545" s="320"/>
      <c r="Q545" s="321"/>
    </row>
    <row r="546" spans="1:17" ht="11.25" customHeight="1" x14ac:dyDescent="0.15">
      <c r="A546" s="344"/>
      <c r="B546" s="322" t="s">
        <v>413</v>
      </c>
      <c r="C546" s="12" t="s">
        <v>142</v>
      </c>
      <c r="D546" s="14">
        <v>0.5</v>
      </c>
      <c r="E546" s="13">
        <v>159720</v>
      </c>
      <c r="F546" s="310"/>
      <c r="G546" s="311"/>
      <c r="H546" s="312"/>
      <c r="I546" s="313"/>
      <c r="J546" s="314"/>
      <c r="K546" s="315"/>
      <c r="L546" s="316"/>
      <c r="M546" s="317"/>
      <c r="N546" s="318"/>
      <c r="O546" s="319"/>
      <c r="P546" s="320"/>
      <c r="Q546" s="321"/>
    </row>
    <row r="547" spans="1:17" ht="11.25" customHeight="1" x14ac:dyDescent="0.15">
      <c r="A547" s="344"/>
      <c r="B547" s="322" t="s">
        <v>414</v>
      </c>
      <c r="C547" s="12" t="s">
        <v>150</v>
      </c>
      <c r="D547" s="14">
        <v>5.4</v>
      </c>
      <c r="E547" s="13">
        <v>133175</v>
      </c>
      <c r="F547" s="310"/>
      <c r="G547" s="311"/>
      <c r="H547" s="312"/>
      <c r="I547" s="313"/>
      <c r="J547" s="314"/>
      <c r="K547" s="315"/>
      <c r="L547" s="316"/>
      <c r="M547" s="317"/>
      <c r="N547" s="318"/>
      <c r="O547" s="319"/>
      <c r="P547" s="320"/>
      <c r="Q547" s="321"/>
    </row>
    <row r="548" spans="1:17" ht="11.25" customHeight="1" x14ac:dyDescent="0.15">
      <c r="A548" s="309"/>
      <c r="B548" s="322" t="s">
        <v>415</v>
      </c>
      <c r="C548" s="12" t="s">
        <v>135</v>
      </c>
      <c r="D548" s="14">
        <v>3.37</v>
      </c>
      <c r="E548" s="13">
        <v>85947</v>
      </c>
      <c r="F548" s="310"/>
      <c r="G548" s="311"/>
      <c r="H548" s="312"/>
      <c r="I548" s="313"/>
      <c r="J548" s="314"/>
      <c r="K548" s="315"/>
      <c r="L548" s="316"/>
      <c r="M548" s="317"/>
      <c r="N548" s="318"/>
      <c r="O548" s="319"/>
      <c r="P548" s="320"/>
      <c r="Q548" s="321"/>
    </row>
    <row r="549" spans="1:17" ht="11.25" customHeight="1" x14ac:dyDescent="0.15">
      <c r="A549" s="309"/>
      <c r="B549" s="322" t="s">
        <v>416</v>
      </c>
      <c r="C549" s="12" t="s">
        <v>526</v>
      </c>
      <c r="D549" s="14">
        <v>15.89</v>
      </c>
      <c r="E549" s="13">
        <v>71606</v>
      </c>
      <c r="F549" s="310"/>
      <c r="G549" s="311"/>
      <c r="H549" s="312"/>
      <c r="I549" s="313"/>
      <c r="J549" s="314"/>
      <c r="K549" s="315"/>
      <c r="L549" s="316"/>
      <c r="M549" s="317"/>
      <c r="N549" s="318"/>
      <c r="O549" s="319"/>
      <c r="P549" s="320"/>
      <c r="Q549" s="321"/>
    </row>
    <row r="550" spans="1:17" ht="11.25" customHeight="1" x14ac:dyDescent="0.15">
      <c r="A550" s="309"/>
      <c r="B550" s="322" t="s">
        <v>417</v>
      </c>
      <c r="C550" s="12" t="s">
        <v>136</v>
      </c>
      <c r="D550" s="14">
        <v>40.159999999999997</v>
      </c>
      <c r="E550" s="13">
        <v>74264</v>
      </c>
      <c r="F550" s="310"/>
      <c r="G550" s="311"/>
      <c r="H550" s="312"/>
      <c r="I550" s="313"/>
      <c r="J550" s="314"/>
      <c r="K550" s="315"/>
      <c r="L550" s="316"/>
      <c r="M550" s="317"/>
      <c r="N550" s="318"/>
      <c r="O550" s="319"/>
      <c r="P550" s="320"/>
      <c r="Q550" s="321"/>
    </row>
    <row r="551" spans="1:17" ht="11.25" customHeight="1" x14ac:dyDescent="0.15">
      <c r="A551" s="309"/>
      <c r="B551" s="322" t="s">
        <v>418</v>
      </c>
      <c r="C551" s="12" t="s">
        <v>137</v>
      </c>
      <c r="D551" s="14">
        <v>87.52</v>
      </c>
      <c r="E551" s="13">
        <v>70949</v>
      </c>
      <c r="F551" s="310"/>
      <c r="G551" s="311"/>
      <c r="H551" s="312"/>
      <c r="I551" s="313"/>
      <c r="J551" s="314"/>
      <c r="K551" s="315"/>
      <c r="L551" s="316"/>
      <c r="M551" s="317"/>
      <c r="N551" s="318"/>
      <c r="O551" s="319"/>
      <c r="P551" s="320"/>
      <c r="Q551" s="321"/>
    </row>
    <row r="552" spans="1:17" ht="11.25" customHeight="1" x14ac:dyDescent="0.25">
      <c r="A552" s="264"/>
      <c r="B552" s="322" t="s">
        <v>527</v>
      </c>
      <c r="C552" s="12" t="s">
        <v>528</v>
      </c>
      <c r="D552" s="14">
        <v>3.36</v>
      </c>
      <c r="E552" s="13">
        <v>70113</v>
      </c>
      <c r="F552" s="310"/>
      <c r="G552" s="311"/>
      <c r="H552" s="312"/>
      <c r="I552" s="313"/>
      <c r="J552" s="314"/>
      <c r="K552" s="315"/>
      <c r="L552" s="316"/>
      <c r="M552" s="317"/>
      <c r="N552" s="318"/>
      <c r="O552" s="319"/>
      <c r="P552" s="320"/>
      <c r="Q552" s="321"/>
    </row>
    <row r="553" spans="1:17" ht="11.25" customHeight="1" x14ac:dyDescent="0.15">
      <c r="A553" s="309"/>
      <c r="B553" s="322" t="s">
        <v>419</v>
      </c>
      <c r="C553" s="12" t="s">
        <v>138</v>
      </c>
      <c r="D553" s="14">
        <v>29</v>
      </c>
      <c r="E553" s="13">
        <v>88612</v>
      </c>
      <c r="F553" s="310"/>
      <c r="G553" s="311"/>
      <c r="H553" s="312"/>
      <c r="I553" s="313"/>
      <c r="J553" s="314"/>
      <c r="K553" s="315"/>
      <c r="L553" s="316"/>
      <c r="M553" s="317"/>
      <c r="N553" s="318"/>
      <c r="O553" s="319"/>
      <c r="P553" s="320"/>
      <c r="Q553" s="321"/>
    </row>
    <row r="554" spans="1:17" ht="11.25" customHeight="1" x14ac:dyDescent="0.15">
      <c r="A554" s="309"/>
      <c r="B554" s="322" t="s">
        <v>420</v>
      </c>
      <c r="C554" s="12" t="s">
        <v>149</v>
      </c>
      <c r="D554" s="14">
        <v>1.74</v>
      </c>
      <c r="E554" s="13">
        <v>78101</v>
      </c>
      <c r="F554" s="310"/>
      <c r="G554" s="311"/>
      <c r="H554" s="312"/>
      <c r="I554" s="313"/>
      <c r="J554" s="314"/>
      <c r="K554" s="315"/>
      <c r="L554" s="316"/>
      <c r="M554" s="317"/>
      <c r="N554" s="318"/>
      <c r="O554" s="319"/>
      <c r="P554" s="320"/>
      <c r="Q554" s="321"/>
    </row>
    <row r="555" spans="1:17" ht="11.25" customHeight="1" x14ac:dyDescent="0.15">
      <c r="A555" s="309"/>
      <c r="B555" s="322" t="s">
        <v>421</v>
      </c>
      <c r="C555" s="12" t="s">
        <v>143</v>
      </c>
      <c r="D555" s="14">
        <v>18.52</v>
      </c>
      <c r="E555" s="13">
        <v>72083</v>
      </c>
      <c r="F555" s="310"/>
      <c r="G555" s="311"/>
      <c r="H555" s="312"/>
      <c r="I555" s="313"/>
      <c r="J555" s="314"/>
      <c r="K555" s="315"/>
      <c r="L555" s="316"/>
      <c r="M555" s="317"/>
      <c r="N555" s="318"/>
      <c r="O555" s="319"/>
      <c r="P555" s="320"/>
      <c r="Q555" s="321"/>
    </row>
    <row r="556" spans="1:17" ht="11.25" customHeight="1" x14ac:dyDescent="0.15">
      <c r="A556" s="309"/>
      <c r="B556" s="322" t="s">
        <v>422</v>
      </c>
      <c r="C556" s="12" t="s">
        <v>144</v>
      </c>
      <c r="D556" s="14">
        <v>0</v>
      </c>
      <c r="E556" s="13">
        <v>0</v>
      </c>
      <c r="F556" s="310"/>
      <c r="G556" s="311"/>
      <c r="H556" s="312"/>
      <c r="I556" s="313"/>
      <c r="J556" s="314"/>
      <c r="K556" s="315"/>
      <c r="L556" s="316"/>
      <c r="M556" s="317"/>
      <c r="N556" s="318"/>
      <c r="O556" s="319"/>
      <c r="P556" s="320"/>
      <c r="Q556" s="321"/>
    </row>
    <row r="557" spans="1:17" ht="11.25" customHeight="1" x14ac:dyDescent="0.15">
      <c r="A557" s="309"/>
      <c r="B557" s="322" t="s">
        <v>423</v>
      </c>
      <c r="C557" s="12" t="s">
        <v>145</v>
      </c>
      <c r="D557" s="14">
        <v>4.0999999999999996</v>
      </c>
      <c r="E557" s="13">
        <v>69547</v>
      </c>
      <c r="F557" s="310"/>
      <c r="G557" s="311"/>
      <c r="H557" s="312"/>
      <c r="I557" s="313"/>
      <c r="J557" s="314"/>
      <c r="K557" s="315"/>
      <c r="L557" s="316"/>
      <c r="M557" s="317"/>
      <c r="N557" s="318"/>
      <c r="O557" s="319"/>
      <c r="P557" s="320"/>
      <c r="Q557" s="321"/>
    </row>
    <row r="558" spans="1:17" ht="11.25" customHeight="1" x14ac:dyDescent="0.15">
      <c r="A558" s="309"/>
      <c r="B558" s="322" t="s">
        <v>424</v>
      </c>
      <c r="C558" s="12" t="s">
        <v>272</v>
      </c>
      <c r="D558" s="14">
        <v>0</v>
      </c>
      <c r="E558" s="13">
        <v>0</v>
      </c>
      <c r="F558" s="310"/>
      <c r="G558" s="311"/>
      <c r="H558" s="312"/>
      <c r="I558" s="313"/>
      <c r="J558" s="314"/>
      <c r="K558" s="315"/>
      <c r="L558" s="316"/>
      <c r="M558" s="317"/>
      <c r="N558" s="318"/>
      <c r="O558" s="319"/>
      <c r="P558" s="320"/>
      <c r="Q558" s="321"/>
    </row>
    <row r="559" spans="1:17" ht="11.25" customHeight="1" x14ac:dyDescent="0.15">
      <c r="A559" s="309"/>
      <c r="B559" s="322" t="s">
        <v>425</v>
      </c>
      <c r="C559" s="12" t="s">
        <v>146</v>
      </c>
      <c r="D559" s="14">
        <v>0.25</v>
      </c>
      <c r="E559" s="13">
        <v>76992</v>
      </c>
      <c r="F559" s="310"/>
      <c r="G559" s="311"/>
      <c r="H559" s="312"/>
      <c r="I559" s="313"/>
      <c r="J559" s="314"/>
      <c r="K559" s="315"/>
      <c r="L559" s="316"/>
      <c r="M559" s="317"/>
      <c r="N559" s="318"/>
      <c r="O559" s="319"/>
      <c r="P559" s="320"/>
      <c r="Q559" s="321"/>
    </row>
    <row r="560" spans="1:17" ht="11.25" customHeight="1" x14ac:dyDescent="0.15">
      <c r="A560" s="309"/>
      <c r="B560" s="322" t="s">
        <v>426</v>
      </c>
      <c r="C560" s="12" t="s">
        <v>147</v>
      </c>
      <c r="D560" s="14">
        <v>7.22</v>
      </c>
      <c r="E560" s="13">
        <v>68825</v>
      </c>
      <c r="F560" s="310"/>
      <c r="G560" s="311"/>
      <c r="H560" s="312"/>
      <c r="I560" s="313"/>
      <c r="J560" s="314"/>
      <c r="K560" s="315"/>
      <c r="L560" s="316"/>
      <c r="M560" s="317"/>
      <c r="N560" s="318"/>
      <c r="O560" s="319"/>
      <c r="P560" s="320"/>
      <c r="Q560" s="321"/>
    </row>
    <row r="561" spans="1:17" ht="11.25" customHeight="1" x14ac:dyDescent="0.15">
      <c r="A561" s="309"/>
      <c r="B561" s="322" t="s">
        <v>429</v>
      </c>
      <c r="C561" s="12" t="s">
        <v>139</v>
      </c>
      <c r="D561" s="14">
        <v>1.6</v>
      </c>
      <c r="E561" s="13">
        <v>111178</v>
      </c>
      <c r="F561" s="310"/>
      <c r="G561" s="311"/>
      <c r="H561" s="312"/>
      <c r="I561" s="313"/>
      <c r="J561" s="314"/>
      <c r="K561" s="315"/>
      <c r="L561" s="316"/>
      <c r="M561" s="317"/>
      <c r="N561" s="318"/>
      <c r="O561" s="319"/>
      <c r="P561" s="320"/>
      <c r="Q561" s="321"/>
    </row>
    <row r="562" spans="1:17" ht="11.25" customHeight="1" x14ac:dyDescent="0.15">
      <c r="A562" s="309"/>
      <c r="B562" s="322" t="s">
        <v>430</v>
      </c>
      <c r="C562" s="12" t="s">
        <v>140</v>
      </c>
      <c r="D562" s="14">
        <v>1</v>
      </c>
      <c r="E562" s="13">
        <v>74563</v>
      </c>
      <c r="F562" s="310"/>
      <c r="G562" s="311"/>
      <c r="H562" s="312"/>
      <c r="I562" s="313"/>
      <c r="J562" s="314"/>
      <c r="K562" s="315"/>
      <c r="L562" s="316"/>
      <c r="M562" s="317"/>
      <c r="N562" s="318"/>
      <c r="O562" s="319"/>
      <c r="P562" s="320"/>
      <c r="Q562" s="321"/>
    </row>
    <row r="563" spans="1:17" ht="11.25" customHeight="1" x14ac:dyDescent="0.15">
      <c r="A563" s="309"/>
      <c r="B563" s="322" t="s">
        <v>431</v>
      </c>
      <c r="C563" s="12" t="s">
        <v>273</v>
      </c>
      <c r="D563" s="14">
        <v>11.8</v>
      </c>
      <c r="E563" s="13">
        <v>98390</v>
      </c>
      <c r="F563" s="310"/>
      <c r="G563" s="311"/>
      <c r="H563" s="312"/>
      <c r="I563" s="313"/>
      <c r="J563" s="314"/>
      <c r="K563" s="315"/>
      <c r="L563" s="316"/>
      <c r="M563" s="317"/>
      <c r="N563" s="318"/>
      <c r="O563" s="319"/>
      <c r="P563" s="320"/>
      <c r="Q563" s="321"/>
    </row>
    <row r="564" spans="1:17" ht="11.25" customHeight="1" x14ac:dyDescent="0.15">
      <c r="A564" s="309"/>
      <c r="B564" s="322" t="s">
        <v>434</v>
      </c>
      <c r="C564" s="12" t="s">
        <v>274</v>
      </c>
      <c r="D564" s="14">
        <v>0.6</v>
      </c>
      <c r="E564" s="13">
        <v>57647</v>
      </c>
      <c r="F564" s="310"/>
      <c r="G564" s="311"/>
      <c r="H564" s="312"/>
      <c r="I564" s="313"/>
      <c r="J564" s="314"/>
      <c r="K564" s="315"/>
      <c r="L564" s="316"/>
      <c r="M564" s="317"/>
      <c r="N564" s="318"/>
      <c r="O564" s="319"/>
      <c r="P564" s="320"/>
      <c r="Q564" s="321"/>
    </row>
    <row r="565" spans="1:17" ht="11.25" customHeight="1" x14ac:dyDescent="0.15">
      <c r="A565" s="309"/>
      <c r="B565" s="322" t="s">
        <v>435</v>
      </c>
      <c r="C565" s="12" t="s">
        <v>110</v>
      </c>
      <c r="D565" s="14">
        <v>193.26</v>
      </c>
      <c r="E565" s="13">
        <v>56881</v>
      </c>
      <c r="F565" s="310"/>
      <c r="G565" s="311"/>
      <c r="H565" s="312"/>
      <c r="I565" s="313"/>
      <c r="J565" s="314"/>
      <c r="K565" s="315"/>
      <c r="L565" s="316"/>
      <c r="M565" s="317"/>
      <c r="N565" s="318"/>
      <c r="O565" s="319"/>
      <c r="P565" s="320"/>
      <c r="Q565" s="321"/>
    </row>
    <row r="566" spans="1:17" ht="11.25" customHeight="1" x14ac:dyDescent="0.15">
      <c r="A566" s="309"/>
      <c r="B566" s="322" t="s">
        <v>438</v>
      </c>
      <c r="C566" s="12" t="s">
        <v>113</v>
      </c>
      <c r="D566" s="14">
        <v>31.96</v>
      </c>
      <c r="E566" s="13">
        <v>55937</v>
      </c>
      <c r="F566" s="310"/>
      <c r="G566" s="311"/>
      <c r="H566" s="312"/>
      <c r="I566" s="313"/>
      <c r="J566" s="314"/>
      <c r="K566" s="315"/>
      <c r="L566" s="316"/>
      <c r="M566" s="317"/>
      <c r="N566" s="318"/>
      <c r="O566" s="319"/>
      <c r="P566" s="320"/>
      <c r="Q566" s="321"/>
    </row>
    <row r="567" spans="1:17" ht="11.25" customHeight="1" x14ac:dyDescent="0.15">
      <c r="A567" s="309"/>
      <c r="B567" s="322" t="s">
        <v>440</v>
      </c>
      <c r="C567" s="12" t="s">
        <v>115</v>
      </c>
      <c r="D567" s="14">
        <v>66.489999999999995</v>
      </c>
      <c r="E567" s="13">
        <v>65821</v>
      </c>
      <c r="F567" s="310"/>
      <c r="G567" s="311"/>
      <c r="H567" s="312"/>
      <c r="I567" s="313"/>
      <c r="J567" s="314"/>
      <c r="K567" s="315"/>
      <c r="L567" s="316"/>
      <c r="M567" s="317"/>
      <c r="N567" s="318"/>
      <c r="O567" s="319"/>
      <c r="P567" s="320"/>
      <c r="Q567" s="321"/>
    </row>
    <row r="568" spans="1:17" ht="11.25" customHeight="1" x14ac:dyDescent="0.15">
      <c r="A568" s="337"/>
      <c r="B568" s="322" t="s">
        <v>441</v>
      </c>
      <c r="C568" s="12" t="s">
        <v>116</v>
      </c>
      <c r="D568" s="14">
        <v>1.52</v>
      </c>
      <c r="E568" s="13">
        <v>46934</v>
      </c>
      <c r="F568" s="310"/>
      <c r="G568" s="311"/>
      <c r="H568" s="312"/>
      <c r="I568" s="313"/>
      <c r="J568" s="314"/>
      <c r="K568" s="315"/>
      <c r="L568" s="316"/>
      <c r="M568" s="317"/>
      <c r="N568" s="318"/>
      <c r="O568" s="319"/>
      <c r="P568" s="320"/>
      <c r="Q568" s="321"/>
    </row>
    <row r="569" spans="1:17" ht="11.25" customHeight="1" x14ac:dyDescent="0.15">
      <c r="A569" s="309"/>
      <c r="B569" s="322" t="s">
        <v>442</v>
      </c>
      <c r="C569" s="12" t="s">
        <v>117</v>
      </c>
      <c r="D569" s="14">
        <v>13.74</v>
      </c>
      <c r="E569" s="13">
        <v>71697</v>
      </c>
      <c r="F569" s="310"/>
      <c r="G569" s="311"/>
      <c r="H569" s="312"/>
      <c r="I569" s="313"/>
      <c r="J569" s="314"/>
      <c r="K569" s="315"/>
      <c r="L569" s="316"/>
      <c r="M569" s="317"/>
      <c r="N569" s="318"/>
      <c r="O569" s="319"/>
      <c r="P569" s="320"/>
      <c r="Q569" s="321"/>
    </row>
    <row r="570" spans="1:17" ht="11.25" customHeight="1" x14ac:dyDescent="0.15">
      <c r="A570" s="309"/>
      <c r="B570" s="322" t="s">
        <v>443</v>
      </c>
      <c r="C570" s="12" t="s">
        <v>109</v>
      </c>
      <c r="D570" s="14">
        <v>17.87</v>
      </c>
      <c r="E570" s="13">
        <v>83983</v>
      </c>
      <c r="F570" s="310"/>
      <c r="G570" s="311"/>
      <c r="H570" s="312"/>
      <c r="I570" s="313"/>
      <c r="J570" s="314"/>
      <c r="K570" s="315"/>
      <c r="L570" s="316"/>
      <c r="M570" s="317"/>
      <c r="N570" s="318"/>
      <c r="O570" s="319"/>
      <c r="P570" s="320"/>
      <c r="Q570" s="321"/>
    </row>
    <row r="571" spans="1:17" ht="11.25" customHeight="1" x14ac:dyDescent="0.25">
      <c r="A571" s="264"/>
      <c r="B571" s="323"/>
      <c r="C571" s="264"/>
      <c r="D571" s="132"/>
      <c r="E571" s="98"/>
      <c r="F571" s="324">
        <f>SUM(D543:D563)</f>
        <v>236.98000000000002</v>
      </c>
      <c r="G571" s="325">
        <f>(SUMPRODUCT(D543:D563,E543:E563))</f>
        <v>18573584.099999998</v>
      </c>
      <c r="H571" s="326">
        <f>SUM(D543:D548)</f>
        <v>14.82</v>
      </c>
      <c r="I571" s="327">
        <f>(SUMPRODUCT(D543:D548,E543:E548))</f>
        <v>1752908.46</v>
      </c>
      <c r="J571" s="328">
        <f>SUM(D549:D560)</f>
        <v>207.76000000000002</v>
      </c>
      <c r="K571" s="329">
        <f>(SUMPRODUCT(D549:D560,E549:E560))</f>
        <v>15407225.839999998</v>
      </c>
      <c r="L571" s="330">
        <f>SUM(D561:D563)</f>
        <v>14.4</v>
      </c>
      <c r="M571" s="331">
        <f>(SUMPRODUCT(D561:D563,E561:E563))</f>
        <v>1413449.8</v>
      </c>
      <c r="N571" s="332">
        <f>+H571+J571+L571</f>
        <v>236.98000000000002</v>
      </c>
      <c r="O571" s="333">
        <f>+I571+K571+M571</f>
        <v>18573584.099999998</v>
      </c>
      <c r="P571" s="334">
        <f>SUM(D564:D570)</f>
        <v>325.44</v>
      </c>
      <c r="Q571" s="335">
        <f>(SUMPRODUCT(D564:D570,E564:E570))</f>
        <v>19748827.739999998</v>
      </c>
    </row>
    <row r="572" spans="1:17" ht="11.25" customHeight="1" x14ac:dyDescent="0.15">
      <c r="A572" s="309">
        <v>81</v>
      </c>
      <c r="B572" s="337" t="s">
        <v>155</v>
      </c>
      <c r="C572" s="338"/>
      <c r="D572" s="339"/>
      <c r="E572" s="340"/>
      <c r="F572" s="310"/>
      <c r="G572" s="311"/>
      <c r="H572" s="312"/>
      <c r="I572" s="313"/>
      <c r="J572" s="314"/>
      <c r="K572" s="315"/>
      <c r="L572" s="316"/>
      <c r="M572" s="317"/>
      <c r="N572" s="318"/>
      <c r="O572" s="319"/>
      <c r="P572" s="320"/>
      <c r="Q572" s="321"/>
    </row>
    <row r="573" spans="1:17" ht="11.25" customHeight="1" x14ac:dyDescent="0.15">
      <c r="A573" s="309"/>
      <c r="B573" s="322" t="s">
        <v>435</v>
      </c>
      <c r="C573" s="12" t="s">
        <v>110</v>
      </c>
      <c r="D573" s="14">
        <v>0.1</v>
      </c>
      <c r="E573" s="13">
        <v>59520</v>
      </c>
      <c r="F573" s="310"/>
      <c r="G573" s="311"/>
      <c r="H573" s="312"/>
      <c r="I573" s="313"/>
      <c r="J573" s="314"/>
      <c r="K573" s="315"/>
      <c r="L573" s="316"/>
      <c r="M573" s="317"/>
      <c r="N573" s="318"/>
      <c r="O573" s="319"/>
      <c r="P573" s="320"/>
      <c r="Q573" s="321"/>
    </row>
    <row r="574" spans="1:17" ht="11.25" customHeight="1" x14ac:dyDescent="0.15">
      <c r="A574" s="309"/>
      <c r="B574" s="322" t="s">
        <v>438</v>
      </c>
      <c r="C574" s="12" t="s">
        <v>113</v>
      </c>
      <c r="D574" s="14">
        <v>3</v>
      </c>
      <c r="E574" s="13">
        <v>60534</v>
      </c>
      <c r="F574" s="310"/>
      <c r="G574" s="311"/>
      <c r="H574" s="312"/>
      <c r="I574" s="313"/>
      <c r="J574" s="314"/>
      <c r="K574" s="315"/>
      <c r="L574" s="316"/>
      <c r="M574" s="317"/>
      <c r="N574" s="318"/>
      <c r="O574" s="319"/>
      <c r="P574" s="320"/>
      <c r="Q574" s="321"/>
    </row>
    <row r="575" spans="1:17" ht="11.25" customHeight="1" x14ac:dyDescent="0.15">
      <c r="A575" s="309"/>
      <c r="B575" s="322" t="s">
        <v>440</v>
      </c>
      <c r="C575" s="12" t="s">
        <v>115</v>
      </c>
      <c r="D575" s="14">
        <v>1</v>
      </c>
      <c r="E575" s="13">
        <v>68742</v>
      </c>
      <c r="F575" s="310"/>
      <c r="G575" s="311"/>
      <c r="H575" s="312"/>
      <c r="I575" s="313"/>
      <c r="J575" s="314"/>
      <c r="K575" s="315"/>
      <c r="L575" s="316"/>
      <c r="M575" s="317"/>
      <c r="N575" s="318"/>
      <c r="O575" s="319"/>
      <c r="P575" s="320"/>
      <c r="Q575" s="321"/>
    </row>
    <row r="576" spans="1:17" ht="11.25" customHeight="1" x14ac:dyDescent="0.15">
      <c r="A576" s="309"/>
      <c r="B576" s="322" t="s">
        <v>442</v>
      </c>
      <c r="C576" s="12" t="s">
        <v>117</v>
      </c>
      <c r="D576" s="14">
        <v>4.03</v>
      </c>
      <c r="E576" s="13">
        <v>64702</v>
      </c>
      <c r="F576" s="310"/>
      <c r="G576" s="311"/>
      <c r="H576" s="312"/>
      <c r="I576" s="313"/>
      <c r="J576" s="314"/>
      <c r="K576" s="315"/>
      <c r="L576" s="316"/>
      <c r="M576" s="317"/>
      <c r="N576" s="318"/>
      <c r="O576" s="319"/>
      <c r="P576" s="320"/>
      <c r="Q576" s="321"/>
    </row>
    <row r="577" spans="1:17" ht="11.25" customHeight="1" x14ac:dyDescent="0.15">
      <c r="A577" s="309"/>
      <c r="B577" s="322" t="s">
        <v>443</v>
      </c>
      <c r="C577" s="12" t="s">
        <v>109</v>
      </c>
      <c r="D577" s="14">
        <v>1</v>
      </c>
      <c r="E577" s="13">
        <v>116333</v>
      </c>
      <c r="F577" s="310"/>
      <c r="G577" s="311"/>
      <c r="H577" s="312"/>
      <c r="I577" s="313"/>
      <c r="J577" s="314"/>
      <c r="K577" s="315"/>
      <c r="L577" s="316"/>
      <c r="M577" s="317"/>
      <c r="N577" s="318"/>
      <c r="O577" s="319"/>
      <c r="P577" s="320"/>
      <c r="Q577" s="321"/>
    </row>
    <row r="578" spans="1:17" ht="11.25" customHeight="1" x14ac:dyDescent="0.25">
      <c r="A578" s="264"/>
      <c r="B578" s="323"/>
      <c r="C578" s="264"/>
      <c r="D578" s="132"/>
      <c r="E578" s="98"/>
      <c r="F578" s="324"/>
      <c r="G578" s="325"/>
      <c r="H578" s="326"/>
      <c r="I578" s="327"/>
      <c r="J578" s="328"/>
      <c r="K578" s="329"/>
      <c r="L578" s="330"/>
      <c r="M578" s="331"/>
      <c r="N578" s="332">
        <f>+H578+J578+L578</f>
        <v>0</v>
      </c>
      <c r="O578" s="333">
        <f>+I578+K578+M578</f>
        <v>0</v>
      </c>
      <c r="P578" s="334">
        <f>SUM(D573:D577)</f>
        <v>9.129999999999999</v>
      </c>
      <c r="Q578" s="335">
        <f>(SUMPRODUCT(D573:D577,E573:E577))</f>
        <v>633378.06000000006</v>
      </c>
    </row>
    <row r="579" spans="1:17" ht="11.25" customHeight="1" x14ac:dyDescent="0.15">
      <c r="A579" s="309">
        <v>86</v>
      </c>
      <c r="B579" s="337" t="s">
        <v>156</v>
      </c>
      <c r="C579" s="338"/>
      <c r="D579" s="339"/>
      <c r="E579" s="340"/>
      <c r="F579" s="310"/>
      <c r="G579" s="311"/>
      <c r="H579" s="312"/>
      <c r="I579" s="313"/>
      <c r="J579" s="314"/>
      <c r="K579" s="315"/>
      <c r="L579" s="316"/>
      <c r="M579" s="317"/>
      <c r="N579" s="318"/>
      <c r="O579" s="319"/>
      <c r="P579" s="320"/>
      <c r="Q579" s="321"/>
    </row>
    <row r="580" spans="1:17" ht="11.25" customHeight="1" x14ac:dyDescent="0.15">
      <c r="A580" s="309"/>
      <c r="B580" s="322" t="s">
        <v>410</v>
      </c>
      <c r="C580" s="12" t="s">
        <v>134</v>
      </c>
      <c r="D580" s="14">
        <v>0.25</v>
      </c>
      <c r="E580" s="13">
        <v>132504</v>
      </c>
      <c r="F580" s="310"/>
      <c r="G580" s="311"/>
      <c r="H580" s="312"/>
      <c r="I580" s="313"/>
      <c r="J580" s="314"/>
      <c r="K580" s="315"/>
      <c r="L580" s="316"/>
      <c r="M580" s="317"/>
      <c r="N580" s="318"/>
      <c r="O580" s="319"/>
      <c r="P580" s="320"/>
      <c r="Q580" s="321"/>
    </row>
    <row r="581" spans="1:17" ht="11.25" customHeight="1" x14ac:dyDescent="0.15">
      <c r="A581" s="309"/>
      <c r="B581" s="322" t="s">
        <v>412</v>
      </c>
      <c r="C581" s="12" t="s">
        <v>151</v>
      </c>
      <c r="D581" s="14">
        <v>0.4</v>
      </c>
      <c r="E581" s="13">
        <v>109947</v>
      </c>
      <c r="F581" s="310"/>
      <c r="G581" s="311"/>
      <c r="H581" s="312"/>
      <c r="I581" s="313"/>
      <c r="J581" s="314"/>
      <c r="K581" s="315"/>
      <c r="L581" s="316"/>
      <c r="M581" s="317"/>
      <c r="N581" s="318"/>
      <c r="O581" s="319"/>
      <c r="P581" s="320"/>
      <c r="Q581" s="321"/>
    </row>
    <row r="582" spans="1:17" ht="11.25" customHeight="1" x14ac:dyDescent="0.15">
      <c r="A582" s="309"/>
      <c r="B582" s="322" t="s">
        <v>416</v>
      </c>
      <c r="C582" s="12" t="s">
        <v>526</v>
      </c>
      <c r="D582" s="14">
        <v>0</v>
      </c>
      <c r="E582" s="13">
        <v>0</v>
      </c>
      <c r="F582" s="310"/>
      <c r="G582" s="311"/>
      <c r="H582" s="312"/>
      <c r="I582" s="313"/>
      <c r="J582" s="314"/>
      <c r="K582" s="315"/>
      <c r="L582" s="316"/>
      <c r="M582" s="317"/>
      <c r="N582" s="318"/>
      <c r="O582" s="319"/>
      <c r="P582" s="320"/>
      <c r="Q582" s="321"/>
    </row>
    <row r="583" spans="1:17" ht="11.25" customHeight="1" x14ac:dyDescent="0.15">
      <c r="A583" s="309"/>
      <c r="B583" s="322" t="s">
        <v>419</v>
      </c>
      <c r="C583" s="12" t="s">
        <v>138</v>
      </c>
      <c r="D583" s="14">
        <v>1.2</v>
      </c>
      <c r="E583" s="13">
        <v>97666</v>
      </c>
      <c r="F583" s="310"/>
      <c r="G583" s="311"/>
      <c r="H583" s="312"/>
      <c r="I583" s="313"/>
      <c r="J583" s="314"/>
      <c r="K583" s="315"/>
      <c r="L583" s="316"/>
      <c r="M583" s="317"/>
      <c r="N583" s="318"/>
      <c r="O583" s="319"/>
      <c r="P583" s="320"/>
      <c r="Q583" s="321"/>
    </row>
    <row r="584" spans="1:17" ht="11.25" customHeight="1" x14ac:dyDescent="0.15">
      <c r="A584" s="309"/>
      <c r="B584" s="322" t="s">
        <v>435</v>
      </c>
      <c r="C584" s="12" t="s">
        <v>110</v>
      </c>
      <c r="D584" s="14">
        <v>5.5</v>
      </c>
      <c r="E584" s="13">
        <v>37251</v>
      </c>
      <c r="F584" s="310"/>
      <c r="G584" s="311"/>
      <c r="H584" s="312"/>
      <c r="I584" s="313"/>
      <c r="J584" s="314"/>
      <c r="K584" s="315"/>
      <c r="L584" s="316"/>
      <c r="M584" s="317"/>
      <c r="N584" s="318"/>
      <c r="O584" s="319"/>
      <c r="P584" s="320"/>
      <c r="Q584" s="321"/>
    </row>
    <row r="585" spans="1:17" ht="11.25" customHeight="1" x14ac:dyDescent="0.15">
      <c r="A585" s="344"/>
      <c r="B585" s="322" t="s">
        <v>438</v>
      </c>
      <c r="C585" s="12" t="s">
        <v>113</v>
      </c>
      <c r="D585" s="14">
        <v>3.74</v>
      </c>
      <c r="E585" s="13">
        <v>57111</v>
      </c>
      <c r="F585" s="310"/>
      <c r="G585" s="311"/>
      <c r="H585" s="312"/>
      <c r="I585" s="313"/>
      <c r="J585" s="314"/>
      <c r="K585" s="315"/>
      <c r="L585" s="316"/>
      <c r="M585" s="317"/>
      <c r="N585" s="318"/>
      <c r="O585" s="319"/>
      <c r="P585" s="320"/>
      <c r="Q585" s="321"/>
    </row>
    <row r="586" spans="1:17" ht="11.25" customHeight="1" x14ac:dyDescent="0.15">
      <c r="A586" s="344"/>
      <c r="B586" s="322" t="s">
        <v>440</v>
      </c>
      <c r="C586" s="12" t="s">
        <v>115</v>
      </c>
      <c r="D586" s="14">
        <v>4.3899999999999997</v>
      </c>
      <c r="E586" s="13">
        <v>54262</v>
      </c>
      <c r="F586" s="310"/>
      <c r="G586" s="311"/>
      <c r="H586" s="312"/>
      <c r="I586" s="313"/>
      <c r="J586" s="314"/>
      <c r="K586" s="315"/>
      <c r="L586" s="316"/>
      <c r="M586" s="317"/>
      <c r="N586" s="318"/>
      <c r="O586" s="319"/>
      <c r="P586" s="320"/>
      <c r="Q586" s="321"/>
    </row>
    <row r="587" spans="1:17" ht="11.25" customHeight="1" x14ac:dyDescent="0.15">
      <c r="A587" s="344"/>
      <c r="B587" s="322" t="s">
        <v>442</v>
      </c>
      <c r="C587" s="12" t="s">
        <v>117</v>
      </c>
      <c r="D587" s="14">
        <v>2.4300000000000002</v>
      </c>
      <c r="E587" s="13">
        <v>61079</v>
      </c>
      <c r="F587" s="310"/>
      <c r="G587" s="311"/>
      <c r="H587" s="312"/>
      <c r="I587" s="313"/>
      <c r="J587" s="314"/>
      <c r="K587" s="315"/>
      <c r="L587" s="316"/>
      <c r="M587" s="317"/>
      <c r="N587" s="318"/>
      <c r="O587" s="319"/>
      <c r="P587" s="320"/>
      <c r="Q587" s="321"/>
    </row>
    <row r="588" spans="1:17" ht="11.25" customHeight="1" x14ac:dyDescent="0.15">
      <c r="A588" s="309"/>
      <c r="B588" s="322" t="s">
        <v>443</v>
      </c>
      <c r="C588" s="12" t="s">
        <v>109</v>
      </c>
      <c r="D588" s="14">
        <v>7.95</v>
      </c>
      <c r="E588" s="13">
        <v>83357</v>
      </c>
      <c r="F588" s="310"/>
      <c r="G588" s="311"/>
      <c r="H588" s="312"/>
      <c r="I588" s="313"/>
      <c r="J588" s="314"/>
      <c r="K588" s="315"/>
      <c r="L588" s="316"/>
      <c r="M588" s="317"/>
      <c r="N588" s="318"/>
      <c r="O588" s="319"/>
      <c r="P588" s="320"/>
      <c r="Q588" s="321"/>
    </row>
    <row r="589" spans="1:17" ht="11.25" customHeight="1" x14ac:dyDescent="0.25">
      <c r="A589" s="264"/>
      <c r="B589" s="323"/>
      <c r="C589" s="264"/>
      <c r="D589" s="132"/>
      <c r="E589" s="98"/>
      <c r="F589" s="324">
        <f>SUM(D580:D583)</f>
        <v>1.85</v>
      </c>
      <c r="G589" s="325">
        <f>(SUMPRODUCT(D580:D583,E580:E583))</f>
        <v>194304</v>
      </c>
      <c r="H589" s="326">
        <f>SUM(D580:D581)</f>
        <v>0.65</v>
      </c>
      <c r="I589" s="327">
        <f>(SUMPRODUCT(D580:D581,E580:E581))</f>
        <v>77104.800000000003</v>
      </c>
      <c r="J589" s="328">
        <f>SUM(D582:D583)</f>
        <v>1.2</v>
      </c>
      <c r="K589" s="329">
        <f>(SUMPRODUCT(D582:D583,E582:E583))</f>
        <v>117199.2</v>
      </c>
      <c r="L589" s="330"/>
      <c r="M589" s="331"/>
      <c r="N589" s="332">
        <f>+H589+J589+L589</f>
        <v>1.85</v>
      </c>
      <c r="O589" s="333">
        <f>+I589+K589+M589</f>
        <v>194304</v>
      </c>
      <c r="P589" s="334">
        <f>SUM(D584:D588)</f>
        <v>24.009999999999998</v>
      </c>
      <c r="Q589" s="335">
        <f>(SUMPRODUCT(D584:D588,E584:E588))</f>
        <v>1467795.94</v>
      </c>
    </row>
    <row r="590" spans="1:17" ht="11.25" customHeight="1" x14ac:dyDescent="0.15">
      <c r="A590" s="309">
        <v>88</v>
      </c>
      <c r="B590" s="337" t="s">
        <v>529</v>
      </c>
      <c r="C590" s="338"/>
      <c r="D590" s="339"/>
      <c r="E590" s="340"/>
      <c r="F590" s="310"/>
      <c r="G590" s="311"/>
      <c r="H590" s="312"/>
      <c r="I590" s="313"/>
      <c r="J590" s="314"/>
      <c r="K590" s="315"/>
      <c r="L590" s="316"/>
      <c r="M590" s="317"/>
      <c r="N590" s="318"/>
      <c r="O590" s="319"/>
      <c r="P590" s="320"/>
      <c r="Q590" s="321"/>
    </row>
    <row r="591" spans="1:17" ht="11.25" customHeight="1" x14ac:dyDescent="0.15">
      <c r="A591" s="309"/>
      <c r="B591" s="322" t="s">
        <v>409</v>
      </c>
      <c r="C591" s="12" t="s">
        <v>133</v>
      </c>
      <c r="D591" s="14">
        <v>0.08</v>
      </c>
      <c r="E591" s="13">
        <v>138390</v>
      </c>
      <c r="F591" s="310"/>
      <c r="G591" s="311"/>
      <c r="H591" s="312"/>
      <c r="I591" s="313"/>
      <c r="J591" s="314"/>
      <c r="K591" s="315"/>
      <c r="L591" s="316"/>
      <c r="M591" s="317"/>
      <c r="N591" s="318"/>
      <c r="O591" s="319"/>
      <c r="P591" s="320"/>
      <c r="Q591" s="321"/>
    </row>
    <row r="592" spans="1:17" ht="11.25" customHeight="1" x14ac:dyDescent="0.15">
      <c r="A592" s="309"/>
      <c r="B592" s="322" t="s">
        <v>410</v>
      </c>
      <c r="C592" s="12" t="s">
        <v>134</v>
      </c>
      <c r="D592" s="14">
        <v>3.09</v>
      </c>
      <c r="E592" s="13">
        <v>124665</v>
      </c>
      <c r="F592" s="310"/>
      <c r="G592" s="311"/>
      <c r="H592" s="312"/>
      <c r="I592" s="313"/>
      <c r="J592" s="314"/>
      <c r="K592" s="315"/>
      <c r="L592" s="316"/>
      <c r="M592" s="317"/>
      <c r="N592" s="318"/>
      <c r="O592" s="319"/>
      <c r="P592" s="320"/>
      <c r="Q592" s="321"/>
    </row>
    <row r="593" spans="1:17" ht="11.25" customHeight="1" x14ac:dyDescent="0.15">
      <c r="A593" s="309"/>
      <c r="B593" s="322" t="s">
        <v>415</v>
      </c>
      <c r="C593" s="12" t="s">
        <v>135</v>
      </c>
      <c r="D593" s="14">
        <v>2</v>
      </c>
      <c r="E593" s="13">
        <v>108775</v>
      </c>
      <c r="F593" s="310"/>
      <c r="G593" s="311"/>
      <c r="H593" s="312"/>
      <c r="I593" s="313"/>
      <c r="J593" s="314"/>
      <c r="K593" s="315"/>
      <c r="L593" s="316"/>
      <c r="M593" s="317"/>
      <c r="N593" s="318"/>
      <c r="O593" s="319"/>
      <c r="P593" s="320"/>
      <c r="Q593" s="321"/>
    </row>
    <row r="594" spans="1:17" ht="11.25" customHeight="1" x14ac:dyDescent="0.15">
      <c r="A594" s="309"/>
      <c r="B594" s="322" t="s">
        <v>416</v>
      </c>
      <c r="C594" s="12" t="s">
        <v>526</v>
      </c>
      <c r="D594" s="14">
        <v>8.9600000000000009</v>
      </c>
      <c r="E594" s="13">
        <v>78763</v>
      </c>
      <c r="F594" s="310"/>
      <c r="G594" s="311"/>
      <c r="H594" s="312"/>
      <c r="I594" s="313"/>
      <c r="J594" s="314"/>
      <c r="K594" s="315"/>
      <c r="L594" s="316"/>
      <c r="M594" s="317"/>
      <c r="N594" s="318"/>
      <c r="O594" s="319"/>
      <c r="P594" s="320"/>
      <c r="Q594" s="321"/>
    </row>
    <row r="595" spans="1:17" ht="11.25" customHeight="1" x14ac:dyDescent="0.15">
      <c r="A595" s="337"/>
      <c r="B595" s="322" t="s">
        <v>418</v>
      </c>
      <c r="C595" s="12" t="s">
        <v>137</v>
      </c>
      <c r="D595" s="14">
        <v>20.22</v>
      </c>
      <c r="E595" s="13">
        <v>63947</v>
      </c>
      <c r="F595" s="310"/>
      <c r="G595" s="311"/>
      <c r="H595" s="312"/>
      <c r="I595" s="313"/>
      <c r="J595" s="314"/>
      <c r="K595" s="315"/>
      <c r="L595" s="316"/>
      <c r="M595" s="317"/>
      <c r="N595" s="318"/>
      <c r="O595" s="319"/>
      <c r="P595" s="320"/>
      <c r="Q595" s="321"/>
    </row>
    <row r="596" spans="1:17" ht="11.25" customHeight="1" x14ac:dyDescent="0.15">
      <c r="A596" s="337"/>
      <c r="B596" s="322" t="s">
        <v>419</v>
      </c>
      <c r="C596" s="12" t="s">
        <v>138</v>
      </c>
      <c r="D596" s="14">
        <v>2.27</v>
      </c>
      <c r="E596" s="13">
        <v>95963</v>
      </c>
      <c r="F596" s="310"/>
      <c r="G596" s="311"/>
      <c r="H596" s="312"/>
      <c r="I596" s="313"/>
      <c r="J596" s="314"/>
      <c r="K596" s="315"/>
      <c r="L596" s="316"/>
      <c r="M596" s="317"/>
      <c r="N596" s="318"/>
      <c r="O596" s="319"/>
      <c r="P596" s="320"/>
      <c r="Q596" s="321"/>
    </row>
    <row r="597" spans="1:17" ht="11.25" customHeight="1" x14ac:dyDescent="0.25">
      <c r="A597" s="264"/>
      <c r="B597" s="322" t="s">
        <v>425</v>
      </c>
      <c r="C597" s="12" t="s">
        <v>146</v>
      </c>
      <c r="D597" s="14">
        <v>0.01</v>
      </c>
      <c r="E597" s="13">
        <v>61429</v>
      </c>
      <c r="F597" s="310"/>
      <c r="G597" s="311"/>
      <c r="H597" s="312"/>
      <c r="I597" s="313"/>
      <c r="J597" s="314"/>
      <c r="K597" s="315"/>
      <c r="L597" s="316"/>
      <c r="M597" s="317"/>
      <c r="N597" s="318"/>
      <c r="O597" s="319"/>
      <c r="P597" s="320"/>
      <c r="Q597" s="321"/>
    </row>
    <row r="598" spans="1:17" ht="11.25" customHeight="1" x14ac:dyDescent="0.25">
      <c r="A598" s="264"/>
      <c r="B598" s="322" t="s">
        <v>426</v>
      </c>
      <c r="C598" s="12" t="s">
        <v>147</v>
      </c>
      <c r="D598" s="14">
        <v>0.8</v>
      </c>
      <c r="E598" s="13">
        <v>68114</v>
      </c>
      <c r="F598" s="310"/>
      <c r="G598" s="311"/>
      <c r="H598" s="312"/>
      <c r="I598" s="313"/>
      <c r="J598" s="314"/>
      <c r="K598" s="315"/>
      <c r="L598" s="316"/>
      <c r="M598" s="317"/>
      <c r="N598" s="318"/>
      <c r="O598" s="319"/>
      <c r="P598" s="320"/>
      <c r="Q598" s="321"/>
    </row>
    <row r="599" spans="1:17" ht="11.25" customHeight="1" x14ac:dyDescent="0.15">
      <c r="A599" s="309"/>
      <c r="B599" s="322" t="s">
        <v>435</v>
      </c>
      <c r="C599" s="12" t="s">
        <v>110</v>
      </c>
      <c r="D599" s="14">
        <v>554.25</v>
      </c>
      <c r="E599" s="13">
        <v>46369</v>
      </c>
      <c r="F599" s="310"/>
      <c r="G599" s="311"/>
      <c r="H599" s="312"/>
      <c r="I599" s="313"/>
      <c r="J599" s="314"/>
      <c r="K599" s="315"/>
      <c r="L599" s="316"/>
      <c r="M599" s="317"/>
      <c r="N599" s="318"/>
      <c r="O599" s="319"/>
      <c r="P599" s="320"/>
      <c r="Q599" s="321"/>
    </row>
    <row r="600" spans="1:17" ht="11.25" customHeight="1" x14ac:dyDescent="0.15">
      <c r="A600" s="309"/>
      <c r="B600" s="322" t="s">
        <v>438</v>
      </c>
      <c r="C600" s="12" t="s">
        <v>113</v>
      </c>
      <c r="D600" s="14">
        <v>25.14</v>
      </c>
      <c r="E600" s="13">
        <v>54549</v>
      </c>
      <c r="F600" s="310"/>
      <c r="G600" s="311"/>
      <c r="H600" s="312"/>
      <c r="I600" s="313"/>
      <c r="J600" s="314"/>
      <c r="K600" s="315"/>
      <c r="L600" s="316"/>
      <c r="M600" s="317"/>
      <c r="N600" s="318"/>
      <c r="O600" s="319"/>
      <c r="P600" s="320"/>
      <c r="Q600" s="321"/>
    </row>
    <row r="601" spans="1:17" ht="11.25" customHeight="1" x14ac:dyDescent="0.15">
      <c r="A601" s="309"/>
      <c r="B601" s="322" t="s">
        <v>440</v>
      </c>
      <c r="C601" s="12" t="s">
        <v>115</v>
      </c>
      <c r="D601" s="14">
        <v>75.650000000000006</v>
      </c>
      <c r="E601" s="13">
        <v>60252</v>
      </c>
      <c r="F601" s="310"/>
      <c r="G601" s="311"/>
      <c r="H601" s="312"/>
      <c r="I601" s="313"/>
      <c r="J601" s="314"/>
      <c r="K601" s="315"/>
      <c r="L601" s="316"/>
      <c r="M601" s="317"/>
      <c r="N601" s="318"/>
      <c r="O601" s="319"/>
      <c r="P601" s="320"/>
      <c r="Q601" s="321"/>
    </row>
    <row r="602" spans="1:17" ht="11.25" customHeight="1" x14ac:dyDescent="0.15">
      <c r="A602" s="309"/>
      <c r="B602" s="322" t="s">
        <v>441</v>
      </c>
      <c r="C602" s="12" t="s">
        <v>116</v>
      </c>
      <c r="D602" s="14">
        <v>4.41</v>
      </c>
      <c r="E602" s="13">
        <v>41283</v>
      </c>
      <c r="F602" s="310"/>
      <c r="G602" s="311"/>
      <c r="H602" s="312"/>
      <c r="I602" s="313"/>
      <c r="J602" s="314"/>
      <c r="K602" s="315"/>
      <c r="L602" s="316"/>
      <c r="M602" s="317"/>
      <c r="N602" s="318"/>
      <c r="O602" s="319"/>
      <c r="P602" s="320"/>
      <c r="Q602" s="321"/>
    </row>
    <row r="603" spans="1:17" ht="11.25" customHeight="1" x14ac:dyDescent="0.15">
      <c r="A603" s="344"/>
      <c r="B603" s="322" t="s">
        <v>442</v>
      </c>
      <c r="C603" s="12" t="s">
        <v>117</v>
      </c>
      <c r="D603" s="14">
        <v>7.97</v>
      </c>
      <c r="E603" s="13">
        <v>75215</v>
      </c>
      <c r="F603" s="310"/>
      <c r="G603" s="311"/>
      <c r="H603" s="312"/>
      <c r="I603" s="313"/>
      <c r="J603" s="314"/>
      <c r="K603" s="315"/>
      <c r="L603" s="316"/>
      <c r="M603" s="317"/>
      <c r="N603" s="318"/>
      <c r="O603" s="319"/>
      <c r="P603" s="320"/>
      <c r="Q603" s="321"/>
    </row>
    <row r="604" spans="1:17" ht="11.25" customHeight="1" x14ac:dyDescent="0.15">
      <c r="A604" s="309"/>
      <c r="B604" s="322" t="s">
        <v>443</v>
      </c>
      <c r="C604" s="12" t="s">
        <v>109</v>
      </c>
      <c r="D604" s="14">
        <v>71.05</v>
      </c>
      <c r="E604" s="13">
        <v>71339</v>
      </c>
      <c r="F604" s="342"/>
      <c r="G604" s="325"/>
      <c r="H604" s="312"/>
      <c r="I604" s="327"/>
      <c r="J604" s="314"/>
      <c r="K604" s="329"/>
      <c r="L604" s="316"/>
      <c r="M604" s="331"/>
      <c r="N604" s="318"/>
      <c r="O604" s="333"/>
      <c r="P604" s="320"/>
      <c r="Q604" s="335"/>
    </row>
    <row r="605" spans="1:17" ht="11.25" customHeight="1" x14ac:dyDescent="0.25">
      <c r="A605" s="264"/>
      <c r="B605" s="323"/>
      <c r="C605" s="264"/>
      <c r="D605" s="132"/>
      <c r="E605" s="98"/>
      <c r="F605" s="324">
        <f>SUM(D591:D598)</f>
        <v>37.43</v>
      </c>
      <c r="G605" s="325">
        <f>(SUMPRODUCT(D591:D598,E591:E598))</f>
        <v>2885502.37</v>
      </c>
      <c r="H605" s="326">
        <f>SUM(D591:D593)</f>
        <v>5.17</v>
      </c>
      <c r="I605" s="327">
        <f>(SUMPRODUCT(D591:D593,E591:E593))</f>
        <v>613836.05000000005</v>
      </c>
      <c r="J605" s="328">
        <f>SUM(D594:D598)</f>
        <v>32.26</v>
      </c>
      <c r="K605" s="329">
        <f>(SUMPRODUCT(D594:D598,E594:E598))</f>
        <v>2271666.3200000003</v>
      </c>
      <c r="L605" s="330"/>
      <c r="M605" s="331"/>
      <c r="N605" s="332">
        <f>+H605+J605+L605</f>
        <v>37.43</v>
      </c>
      <c r="O605" s="333">
        <f>+I605+K605+M605</f>
        <v>2885502.37</v>
      </c>
      <c r="P605" s="334">
        <f>SUM(D599:D604)</f>
        <v>738.46999999999991</v>
      </c>
      <c r="Q605" s="335">
        <f>(SUMPRODUCT(D599:D604,E599:E604))</f>
        <v>37479601.440000005</v>
      </c>
    </row>
    <row r="606" spans="1:17" ht="11.25" customHeight="1" x14ac:dyDescent="0.15">
      <c r="A606" s="309">
        <v>89</v>
      </c>
      <c r="B606" s="337" t="s">
        <v>321</v>
      </c>
      <c r="C606" s="338"/>
      <c r="D606" s="339"/>
      <c r="E606" s="340"/>
      <c r="F606" s="310"/>
      <c r="G606" s="311"/>
      <c r="H606" s="312"/>
      <c r="I606" s="313"/>
      <c r="J606" s="314"/>
      <c r="K606" s="315"/>
      <c r="L606" s="316"/>
      <c r="M606" s="317"/>
      <c r="N606" s="318"/>
      <c r="O606" s="319"/>
      <c r="P606" s="320"/>
      <c r="Q606" s="321"/>
    </row>
    <row r="607" spans="1:17" ht="11.25" customHeight="1" x14ac:dyDescent="0.15">
      <c r="A607" s="309"/>
      <c r="B607" s="322" t="s">
        <v>410</v>
      </c>
      <c r="C607" s="12" t="s">
        <v>134</v>
      </c>
      <c r="D607" s="14">
        <v>1.34</v>
      </c>
      <c r="E607" s="13">
        <v>139291</v>
      </c>
      <c r="F607" s="310"/>
      <c r="G607" s="311"/>
      <c r="H607" s="312"/>
      <c r="I607" s="313"/>
      <c r="J607" s="314"/>
      <c r="K607" s="315"/>
      <c r="L607" s="316"/>
      <c r="M607" s="317"/>
      <c r="N607" s="318"/>
      <c r="O607" s="319"/>
      <c r="P607" s="320"/>
      <c r="Q607" s="321"/>
    </row>
    <row r="608" spans="1:17" ht="11.25" customHeight="1" x14ac:dyDescent="0.15">
      <c r="A608" s="309"/>
      <c r="B608" s="322" t="s">
        <v>414</v>
      </c>
      <c r="C608" s="12" t="s">
        <v>150</v>
      </c>
      <c r="D608" s="14">
        <v>0.4</v>
      </c>
      <c r="E608" s="13">
        <v>118462</v>
      </c>
      <c r="F608" s="310"/>
      <c r="G608" s="311"/>
      <c r="H608" s="312"/>
      <c r="I608" s="313"/>
      <c r="J608" s="314"/>
      <c r="K608" s="315"/>
      <c r="L608" s="316"/>
      <c r="M608" s="317"/>
      <c r="N608" s="318"/>
      <c r="O608" s="319"/>
      <c r="P608" s="320"/>
      <c r="Q608" s="321"/>
    </row>
    <row r="609" spans="1:17" ht="11.25" customHeight="1" x14ac:dyDescent="0.15">
      <c r="A609" s="309"/>
      <c r="B609" s="322" t="s">
        <v>415</v>
      </c>
      <c r="C609" s="12" t="s">
        <v>135</v>
      </c>
      <c r="D609" s="14">
        <v>0.44</v>
      </c>
      <c r="E609" s="13">
        <v>124053</v>
      </c>
      <c r="F609" s="310"/>
      <c r="G609" s="311"/>
      <c r="H609" s="312"/>
      <c r="I609" s="313"/>
      <c r="J609" s="314"/>
      <c r="K609" s="315"/>
      <c r="L609" s="316"/>
      <c r="M609" s="317"/>
      <c r="N609" s="318"/>
      <c r="O609" s="319"/>
      <c r="P609" s="320"/>
      <c r="Q609" s="321"/>
    </row>
    <row r="610" spans="1:17" ht="11.25" customHeight="1" x14ac:dyDescent="0.15">
      <c r="A610" s="309"/>
      <c r="B610" s="322" t="s">
        <v>416</v>
      </c>
      <c r="C610" s="12" t="s">
        <v>526</v>
      </c>
      <c r="D610" s="14">
        <v>1.1299999999999999</v>
      </c>
      <c r="E610" s="13">
        <v>51177</v>
      </c>
      <c r="F610" s="310"/>
      <c r="G610" s="311"/>
      <c r="H610" s="312"/>
      <c r="I610" s="313"/>
      <c r="J610" s="314"/>
      <c r="K610" s="315"/>
      <c r="L610" s="316"/>
      <c r="M610" s="317"/>
      <c r="N610" s="318"/>
      <c r="O610" s="319"/>
      <c r="P610" s="320"/>
      <c r="Q610" s="321"/>
    </row>
    <row r="611" spans="1:17" ht="11.25" customHeight="1" x14ac:dyDescent="0.15">
      <c r="A611" s="309"/>
      <c r="B611" s="322" t="s">
        <v>417</v>
      </c>
      <c r="C611" s="12" t="s">
        <v>136</v>
      </c>
      <c r="D611" s="14">
        <v>1.25</v>
      </c>
      <c r="E611" s="13">
        <v>78029</v>
      </c>
      <c r="F611" s="310"/>
      <c r="G611" s="311"/>
      <c r="H611" s="312"/>
      <c r="I611" s="313"/>
      <c r="J611" s="314"/>
      <c r="K611" s="315"/>
      <c r="L611" s="316"/>
      <c r="M611" s="317"/>
      <c r="N611" s="318"/>
      <c r="O611" s="319"/>
      <c r="P611" s="320"/>
      <c r="Q611" s="321"/>
    </row>
    <row r="612" spans="1:17" ht="11.25" customHeight="1" x14ac:dyDescent="0.15">
      <c r="A612" s="309"/>
      <c r="B612" s="322" t="s">
        <v>418</v>
      </c>
      <c r="C612" s="12" t="s">
        <v>137</v>
      </c>
      <c r="D612" s="14">
        <v>3.74</v>
      </c>
      <c r="E612" s="13">
        <v>76821</v>
      </c>
      <c r="F612" s="310"/>
      <c r="G612" s="311"/>
      <c r="H612" s="312"/>
      <c r="I612" s="313"/>
      <c r="J612" s="314"/>
      <c r="K612" s="315"/>
      <c r="L612" s="316"/>
      <c r="M612" s="317"/>
      <c r="N612" s="318"/>
      <c r="O612" s="319"/>
      <c r="P612" s="320"/>
      <c r="Q612" s="321"/>
    </row>
    <row r="613" spans="1:17" ht="11.25" customHeight="1" x14ac:dyDescent="0.15">
      <c r="A613" s="309"/>
      <c r="B613" s="322" t="s">
        <v>527</v>
      </c>
      <c r="C613" s="12" t="s">
        <v>528</v>
      </c>
      <c r="D613" s="14">
        <v>0.13</v>
      </c>
      <c r="E613" s="13">
        <v>74000</v>
      </c>
      <c r="F613" s="310"/>
      <c r="G613" s="311"/>
      <c r="H613" s="312"/>
      <c r="I613" s="313"/>
      <c r="J613" s="314"/>
      <c r="K613" s="315"/>
      <c r="L613" s="316"/>
      <c r="M613" s="317"/>
      <c r="N613" s="318"/>
      <c r="O613" s="319"/>
      <c r="P613" s="320"/>
      <c r="Q613" s="321"/>
    </row>
    <row r="614" spans="1:17" ht="11.25" customHeight="1" x14ac:dyDescent="0.25">
      <c r="A614" s="264"/>
      <c r="B614" s="322" t="s">
        <v>419</v>
      </c>
      <c r="C614" s="12" t="s">
        <v>138</v>
      </c>
      <c r="D614" s="14">
        <v>1.7</v>
      </c>
      <c r="E614" s="13">
        <v>103849</v>
      </c>
      <c r="F614" s="310"/>
      <c r="G614" s="311"/>
      <c r="H614" s="312"/>
      <c r="I614" s="313"/>
      <c r="J614" s="314"/>
      <c r="K614" s="315"/>
      <c r="L614" s="316"/>
      <c r="M614" s="317"/>
      <c r="N614" s="318"/>
      <c r="O614" s="319"/>
      <c r="P614" s="320"/>
      <c r="Q614" s="321"/>
    </row>
    <row r="615" spans="1:17" ht="11.25" customHeight="1" x14ac:dyDescent="0.15">
      <c r="A615" s="309"/>
      <c r="B615" s="322" t="s">
        <v>429</v>
      </c>
      <c r="C615" s="12" t="s">
        <v>139</v>
      </c>
      <c r="D615" s="14">
        <v>1.1499999999999999</v>
      </c>
      <c r="E615" s="13">
        <v>3419</v>
      </c>
      <c r="F615" s="310"/>
      <c r="G615" s="311"/>
      <c r="H615" s="312"/>
      <c r="I615" s="313"/>
      <c r="J615" s="314"/>
      <c r="K615" s="315"/>
      <c r="L615" s="316"/>
      <c r="M615" s="317"/>
      <c r="N615" s="318"/>
      <c r="O615" s="319"/>
      <c r="P615" s="320"/>
      <c r="Q615" s="321"/>
    </row>
    <row r="616" spans="1:17" ht="11.25" customHeight="1" x14ac:dyDescent="0.15">
      <c r="A616" s="309"/>
      <c r="B616" s="322" t="s">
        <v>431</v>
      </c>
      <c r="C616" s="12" t="s">
        <v>273</v>
      </c>
      <c r="D616" s="14">
        <v>4.5999999999999996</v>
      </c>
      <c r="E616" s="13">
        <v>109558</v>
      </c>
      <c r="F616" s="310"/>
      <c r="G616" s="311"/>
      <c r="H616" s="312"/>
      <c r="I616" s="313"/>
      <c r="J616" s="314"/>
      <c r="K616" s="315"/>
      <c r="L616" s="316"/>
      <c r="M616" s="317"/>
      <c r="N616" s="318"/>
      <c r="O616" s="319"/>
      <c r="P616" s="320"/>
      <c r="Q616" s="321"/>
    </row>
    <row r="617" spans="1:17" ht="11.25" customHeight="1" x14ac:dyDescent="0.15">
      <c r="A617" s="309"/>
      <c r="B617" s="322" t="s">
        <v>434</v>
      </c>
      <c r="C617" s="12" t="s">
        <v>274</v>
      </c>
      <c r="D617" s="14">
        <v>0.8</v>
      </c>
      <c r="E617" s="13">
        <v>64368</v>
      </c>
      <c r="F617" s="310"/>
      <c r="G617" s="311"/>
      <c r="H617" s="312"/>
      <c r="I617" s="313"/>
      <c r="J617" s="314"/>
      <c r="K617" s="315"/>
      <c r="L617" s="316"/>
      <c r="M617" s="317"/>
      <c r="N617" s="318"/>
      <c r="O617" s="319"/>
      <c r="P617" s="320"/>
      <c r="Q617" s="321"/>
    </row>
    <row r="618" spans="1:17" ht="11.25" customHeight="1" x14ac:dyDescent="0.15">
      <c r="A618" s="309"/>
      <c r="B618" s="322" t="s">
        <v>435</v>
      </c>
      <c r="C618" s="12" t="s">
        <v>110</v>
      </c>
      <c r="D618" s="14">
        <v>29.37</v>
      </c>
      <c r="E618" s="13">
        <v>39245</v>
      </c>
      <c r="F618" s="310"/>
      <c r="G618" s="311"/>
      <c r="H618" s="312"/>
      <c r="I618" s="313"/>
      <c r="J618" s="314"/>
      <c r="K618" s="315"/>
      <c r="L618" s="316"/>
      <c r="M618" s="317"/>
      <c r="N618" s="318"/>
      <c r="O618" s="319"/>
      <c r="P618" s="320"/>
      <c r="Q618" s="321"/>
    </row>
    <row r="619" spans="1:17" ht="11.25" customHeight="1" x14ac:dyDescent="0.15">
      <c r="A619" s="309"/>
      <c r="B619" s="322" t="s">
        <v>436</v>
      </c>
      <c r="C619" s="12" t="s">
        <v>111</v>
      </c>
      <c r="D619" s="14">
        <v>5.44</v>
      </c>
      <c r="E619" s="13">
        <v>59773</v>
      </c>
      <c r="F619" s="310"/>
      <c r="G619" s="311"/>
      <c r="H619" s="312"/>
      <c r="I619" s="313"/>
      <c r="J619" s="314"/>
      <c r="K619" s="315"/>
      <c r="L619" s="316"/>
      <c r="M619" s="317"/>
      <c r="N619" s="318"/>
      <c r="O619" s="319"/>
      <c r="P619" s="320"/>
      <c r="Q619" s="321"/>
    </row>
    <row r="620" spans="1:17" ht="11.25" customHeight="1" x14ac:dyDescent="0.15">
      <c r="A620" s="309"/>
      <c r="B620" s="322" t="s">
        <v>437</v>
      </c>
      <c r="C620" s="12" t="s">
        <v>112</v>
      </c>
      <c r="D620" s="14">
        <v>1.66</v>
      </c>
      <c r="E620" s="13">
        <v>50470</v>
      </c>
      <c r="F620" s="310"/>
      <c r="G620" s="311"/>
      <c r="H620" s="312"/>
      <c r="I620" s="313"/>
      <c r="J620" s="314"/>
      <c r="K620" s="315"/>
      <c r="L620" s="316"/>
      <c r="M620" s="317"/>
      <c r="N620" s="318"/>
      <c r="O620" s="319"/>
      <c r="P620" s="320"/>
      <c r="Q620" s="321"/>
    </row>
    <row r="621" spans="1:17" ht="11.25" customHeight="1" x14ac:dyDescent="0.15">
      <c r="A621" s="309"/>
      <c r="B621" s="322" t="s">
        <v>438</v>
      </c>
      <c r="C621" s="12" t="s">
        <v>113</v>
      </c>
      <c r="D621" s="14">
        <v>37.979999999999997</v>
      </c>
      <c r="E621" s="13">
        <v>56459</v>
      </c>
      <c r="F621" s="310"/>
      <c r="G621" s="311"/>
      <c r="H621" s="312"/>
      <c r="I621" s="313"/>
      <c r="J621" s="314"/>
      <c r="K621" s="315"/>
      <c r="L621" s="316"/>
      <c r="M621" s="317"/>
      <c r="N621" s="318"/>
      <c r="O621" s="319"/>
      <c r="P621" s="320"/>
      <c r="Q621" s="321"/>
    </row>
    <row r="622" spans="1:17" ht="11.25" customHeight="1" x14ac:dyDescent="0.15">
      <c r="A622" s="337"/>
      <c r="B622" s="322" t="s">
        <v>440</v>
      </c>
      <c r="C622" s="12" t="s">
        <v>115</v>
      </c>
      <c r="D622" s="14">
        <v>65.599999999999994</v>
      </c>
      <c r="E622" s="13">
        <v>61000</v>
      </c>
      <c r="F622" s="310"/>
      <c r="G622" s="311"/>
      <c r="H622" s="312"/>
      <c r="I622" s="313"/>
      <c r="J622" s="314"/>
      <c r="K622" s="315"/>
      <c r="L622" s="316"/>
      <c r="M622" s="317"/>
      <c r="N622" s="318"/>
      <c r="O622" s="319"/>
      <c r="P622" s="320"/>
      <c r="Q622" s="321"/>
    </row>
    <row r="623" spans="1:17" ht="11.25" customHeight="1" x14ac:dyDescent="0.15">
      <c r="A623" s="309"/>
      <c r="B623" s="322" t="s">
        <v>441</v>
      </c>
      <c r="C623" s="12" t="s">
        <v>116</v>
      </c>
      <c r="D623" s="14">
        <v>13.23</v>
      </c>
      <c r="E623" s="13">
        <v>47538</v>
      </c>
      <c r="F623" s="310"/>
      <c r="G623" s="311"/>
      <c r="H623" s="312"/>
      <c r="I623" s="313"/>
      <c r="J623" s="314"/>
      <c r="K623" s="315"/>
      <c r="L623" s="316"/>
      <c r="M623" s="317"/>
      <c r="N623" s="318"/>
      <c r="O623" s="319"/>
      <c r="P623" s="320"/>
      <c r="Q623" s="321"/>
    </row>
    <row r="624" spans="1:17" ht="11.25" customHeight="1" x14ac:dyDescent="0.15">
      <c r="A624" s="309"/>
      <c r="B624" s="322" t="s">
        <v>442</v>
      </c>
      <c r="C624" s="12" t="s">
        <v>117</v>
      </c>
      <c r="D624" s="14">
        <v>23.57</v>
      </c>
      <c r="E624" s="13">
        <v>64081</v>
      </c>
      <c r="F624" s="310"/>
      <c r="G624" s="311"/>
      <c r="H624" s="312"/>
      <c r="I624" s="313"/>
      <c r="J624" s="314"/>
      <c r="K624" s="315"/>
      <c r="L624" s="316"/>
      <c r="M624" s="317"/>
      <c r="N624" s="318"/>
      <c r="O624" s="319"/>
      <c r="P624" s="320"/>
      <c r="Q624" s="321"/>
    </row>
    <row r="625" spans="1:17" ht="11.25" customHeight="1" x14ac:dyDescent="0.15">
      <c r="A625" s="309"/>
      <c r="B625" s="322" t="s">
        <v>443</v>
      </c>
      <c r="C625" s="12" t="s">
        <v>109</v>
      </c>
      <c r="D625" s="14">
        <v>29.56</v>
      </c>
      <c r="E625" s="13">
        <v>84288</v>
      </c>
      <c r="F625" s="310"/>
      <c r="G625" s="311"/>
      <c r="H625" s="312"/>
      <c r="I625" s="313"/>
      <c r="J625" s="314"/>
      <c r="K625" s="315"/>
      <c r="L625" s="316"/>
      <c r="M625" s="317"/>
      <c r="N625" s="318"/>
      <c r="O625" s="319"/>
      <c r="P625" s="320"/>
      <c r="Q625" s="321"/>
    </row>
    <row r="626" spans="1:17" ht="11.25" customHeight="1" x14ac:dyDescent="0.25">
      <c r="A626" s="264"/>
      <c r="B626" s="323"/>
      <c r="C626" s="264"/>
      <c r="D626" s="132"/>
      <c r="E626" s="98"/>
      <c r="F626" s="324">
        <f>SUM(D607:D616)</f>
        <v>15.88</v>
      </c>
      <c r="G626" s="325">
        <f>(SUMPRODUCT(D607:D616,E607:E616))</f>
        <v>1425356.81</v>
      </c>
      <c r="H626" s="326">
        <f>SUM(D607:D609)</f>
        <v>2.1800000000000002</v>
      </c>
      <c r="I626" s="327">
        <f>(SUMPRODUCT(D607:D609,E607:E609))</f>
        <v>288618.06</v>
      </c>
      <c r="J626" s="328">
        <f>SUM(D610:D614)</f>
        <v>7.95</v>
      </c>
      <c r="K626" s="329">
        <f>(SUMPRODUCT(D610:D614,E610:E614))</f>
        <v>628840.10000000009</v>
      </c>
      <c r="L626" s="330">
        <f>SUM(D615:D616)</f>
        <v>5.75</v>
      </c>
      <c r="M626" s="331">
        <f>(SUMPRODUCT(D615:D616,E615:E616))</f>
        <v>507898.64999999997</v>
      </c>
      <c r="N626" s="332">
        <f>+H626+J626+L626</f>
        <v>15.88</v>
      </c>
      <c r="O626" s="333">
        <f>+I626+K626+M626</f>
        <v>1425356.81</v>
      </c>
      <c r="P626" s="334">
        <f>SUM(D617:D625)</f>
        <v>207.20999999999998</v>
      </c>
      <c r="Q626" s="335">
        <f>(SUMPRODUCT(D617:D625,E617:E625))</f>
        <v>12389848.379999999</v>
      </c>
    </row>
    <row r="627" spans="1:17" ht="11.25" customHeight="1" x14ac:dyDescent="0.15">
      <c r="A627" s="309">
        <v>97</v>
      </c>
      <c r="B627" s="337" t="s">
        <v>174</v>
      </c>
      <c r="C627" s="338"/>
      <c r="D627" s="339"/>
      <c r="E627" s="340"/>
      <c r="F627" s="310"/>
      <c r="G627" s="311"/>
      <c r="H627" s="312"/>
      <c r="I627" s="313"/>
      <c r="J627" s="314"/>
      <c r="K627" s="315"/>
      <c r="L627" s="316"/>
      <c r="M627" s="317"/>
      <c r="N627" s="318"/>
      <c r="O627" s="319"/>
      <c r="P627" s="320"/>
      <c r="Q627" s="321"/>
    </row>
    <row r="628" spans="1:17" ht="11.25" customHeight="1" x14ac:dyDescent="0.15">
      <c r="A628" s="309"/>
      <c r="B628" s="322" t="s">
        <v>408</v>
      </c>
      <c r="C628" s="12" t="s">
        <v>157</v>
      </c>
      <c r="D628" s="14">
        <v>249.88</v>
      </c>
      <c r="E628" s="13">
        <v>164259</v>
      </c>
      <c r="F628" s="310"/>
      <c r="G628" s="311"/>
      <c r="H628" s="312"/>
      <c r="I628" s="313"/>
      <c r="J628" s="314"/>
      <c r="K628" s="315"/>
      <c r="L628" s="316"/>
      <c r="M628" s="317"/>
      <c r="N628" s="318"/>
      <c r="O628" s="319"/>
      <c r="P628" s="320"/>
      <c r="Q628" s="321"/>
    </row>
    <row r="629" spans="1:17" ht="11.25" customHeight="1" x14ac:dyDescent="0.15">
      <c r="A629" s="309"/>
      <c r="B629" s="322" t="s">
        <v>409</v>
      </c>
      <c r="C629" s="12" t="s">
        <v>133</v>
      </c>
      <c r="D629" s="14">
        <v>52.93</v>
      </c>
      <c r="E629" s="13">
        <v>166829</v>
      </c>
      <c r="F629" s="310"/>
      <c r="G629" s="311"/>
      <c r="H629" s="312"/>
      <c r="I629" s="313"/>
      <c r="J629" s="314"/>
      <c r="K629" s="315"/>
      <c r="L629" s="316"/>
      <c r="M629" s="317"/>
      <c r="N629" s="318"/>
      <c r="O629" s="319"/>
      <c r="P629" s="320"/>
      <c r="Q629" s="321"/>
    </row>
    <row r="630" spans="1:17" ht="11.25" customHeight="1" x14ac:dyDescent="0.15">
      <c r="A630" s="309"/>
      <c r="B630" s="322" t="s">
        <v>410</v>
      </c>
      <c r="C630" s="12" t="s">
        <v>134</v>
      </c>
      <c r="D630" s="14">
        <v>113.5</v>
      </c>
      <c r="E630" s="13">
        <v>145896</v>
      </c>
      <c r="F630" s="310"/>
      <c r="G630" s="311"/>
      <c r="H630" s="312"/>
      <c r="I630" s="313"/>
      <c r="J630" s="314"/>
      <c r="K630" s="315"/>
      <c r="L630" s="316"/>
      <c r="M630" s="317"/>
      <c r="N630" s="318"/>
      <c r="O630" s="319"/>
      <c r="P630" s="320"/>
      <c r="Q630" s="321"/>
    </row>
    <row r="631" spans="1:17" ht="11.25" customHeight="1" x14ac:dyDescent="0.15">
      <c r="A631" s="309"/>
      <c r="B631" s="322" t="s">
        <v>411</v>
      </c>
      <c r="C631" s="12" t="s">
        <v>141</v>
      </c>
      <c r="D631" s="14">
        <v>0.4</v>
      </c>
      <c r="E631" s="13">
        <v>143080</v>
      </c>
      <c r="F631" s="310"/>
      <c r="G631" s="311"/>
      <c r="H631" s="312"/>
      <c r="I631" s="313"/>
      <c r="J631" s="314"/>
      <c r="K631" s="315"/>
      <c r="L631" s="316"/>
      <c r="M631" s="317"/>
      <c r="N631" s="318"/>
      <c r="O631" s="319"/>
      <c r="P631" s="320"/>
      <c r="Q631" s="321"/>
    </row>
    <row r="632" spans="1:17" ht="11.25" customHeight="1" x14ac:dyDescent="0.15">
      <c r="A632" s="309"/>
      <c r="B632" s="322" t="s">
        <v>412</v>
      </c>
      <c r="C632" s="12" t="s">
        <v>151</v>
      </c>
      <c r="D632" s="14">
        <v>0</v>
      </c>
      <c r="E632" s="13">
        <v>0</v>
      </c>
      <c r="F632" s="310"/>
      <c r="G632" s="311"/>
      <c r="H632" s="312"/>
      <c r="I632" s="313"/>
      <c r="J632" s="314"/>
      <c r="K632" s="315"/>
      <c r="L632" s="316"/>
      <c r="M632" s="317"/>
      <c r="N632" s="318"/>
      <c r="O632" s="319"/>
      <c r="P632" s="320"/>
      <c r="Q632" s="321"/>
    </row>
    <row r="633" spans="1:17" ht="11.25" customHeight="1" x14ac:dyDescent="0.15">
      <c r="A633" s="309"/>
      <c r="B633" s="322" t="s">
        <v>413</v>
      </c>
      <c r="C633" s="12" t="s">
        <v>142</v>
      </c>
      <c r="D633" s="14">
        <v>0</v>
      </c>
      <c r="E633" s="13">
        <v>0</v>
      </c>
      <c r="F633" s="310"/>
      <c r="G633" s="311"/>
      <c r="H633" s="312"/>
      <c r="I633" s="313"/>
      <c r="J633" s="314"/>
      <c r="K633" s="315"/>
      <c r="L633" s="316"/>
      <c r="M633" s="317"/>
      <c r="N633" s="318"/>
      <c r="O633" s="319"/>
      <c r="P633" s="320"/>
      <c r="Q633" s="321"/>
    </row>
    <row r="634" spans="1:17" ht="11.25" customHeight="1" x14ac:dyDescent="0.15">
      <c r="A634" s="309"/>
      <c r="B634" s="322" t="s">
        <v>414</v>
      </c>
      <c r="C634" s="12" t="s">
        <v>150</v>
      </c>
      <c r="D634" s="14">
        <v>0</v>
      </c>
      <c r="E634" s="13">
        <v>0</v>
      </c>
      <c r="F634" s="310"/>
      <c r="G634" s="311"/>
      <c r="H634" s="312"/>
      <c r="I634" s="313"/>
      <c r="J634" s="314"/>
      <c r="K634" s="315"/>
      <c r="L634" s="316"/>
      <c r="M634" s="317"/>
      <c r="N634" s="318"/>
      <c r="O634" s="319"/>
      <c r="P634" s="320"/>
      <c r="Q634" s="321"/>
    </row>
    <row r="635" spans="1:17" ht="11.25" customHeight="1" x14ac:dyDescent="0.15">
      <c r="A635" s="309"/>
      <c r="B635" s="322" t="s">
        <v>416</v>
      </c>
      <c r="C635" s="12" t="s">
        <v>526</v>
      </c>
      <c r="D635" s="14">
        <v>0</v>
      </c>
      <c r="E635" s="13">
        <v>0</v>
      </c>
      <c r="F635" s="310"/>
      <c r="G635" s="311"/>
      <c r="H635" s="312"/>
      <c r="I635" s="313"/>
      <c r="J635" s="314"/>
      <c r="K635" s="315"/>
      <c r="L635" s="316"/>
      <c r="M635" s="317"/>
      <c r="N635" s="318"/>
      <c r="O635" s="319"/>
      <c r="P635" s="320"/>
      <c r="Q635" s="321"/>
    </row>
    <row r="636" spans="1:17" ht="11.25" customHeight="1" x14ac:dyDescent="0.15">
      <c r="A636" s="309"/>
      <c r="B636" s="322" t="s">
        <v>417</v>
      </c>
      <c r="C636" s="12" t="s">
        <v>136</v>
      </c>
      <c r="D636" s="14">
        <v>1.2</v>
      </c>
      <c r="E636" s="13">
        <v>80302</v>
      </c>
      <c r="F636" s="310"/>
      <c r="G636" s="311"/>
      <c r="H636" s="312"/>
      <c r="I636" s="313"/>
      <c r="J636" s="314"/>
      <c r="K636" s="315"/>
      <c r="L636" s="316"/>
      <c r="M636" s="317"/>
      <c r="N636" s="318"/>
      <c r="O636" s="319"/>
      <c r="P636" s="320"/>
      <c r="Q636" s="321"/>
    </row>
    <row r="637" spans="1:17" ht="11.25" customHeight="1" x14ac:dyDescent="0.15">
      <c r="A637" s="309"/>
      <c r="B637" s="322" t="s">
        <v>418</v>
      </c>
      <c r="C637" s="12" t="s">
        <v>137</v>
      </c>
      <c r="D637" s="14">
        <v>0</v>
      </c>
      <c r="E637" s="13">
        <v>0</v>
      </c>
      <c r="F637" s="310"/>
      <c r="G637" s="311"/>
      <c r="H637" s="312"/>
      <c r="I637" s="313"/>
      <c r="J637" s="314"/>
      <c r="K637" s="315"/>
      <c r="L637" s="316"/>
      <c r="M637" s="317"/>
      <c r="N637" s="318"/>
      <c r="O637" s="319"/>
      <c r="P637" s="320"/>
      <c r="Q637" s="321"/>
    </row>
    <row r="638" spans="1:17" ht="11.25" customHeight="1" x14ac:dyDescent="0.15">
      <c r="A638" s="309"/>
      <c r="B638" s="322" t="s">
        <v>527</v>
      </c>
      <c r="C638" s="12" t="s">
        <v>528</v>
      </c>
      <c r="D638" s="14">
        <v>0.8</v>
      </c>
      <c r="E638" s="13">
        <v>51979</v>
      </c>
      <c r="F638" s="310"/>
      <c r="G638" s="311"/>
      <c r="H638" s="312"/>
      <c r="I638" s="313"/>
      <c r="J638" s="314"/>
      <c r="K638" s="315"/>
      <c r="L638" s="316"/>
      <c r="M638" s="317"/>
      <c r="N638" s="318"/>
      <c r="O638" s="319"/>
      <c r="P638" s="320"/>
      <c r="Q638" s="321"/>
    </row>
    <row r="639" spans="1:17" ht="11.25" customHeight="1" x14ac:dyDescent="0.15">
      <c r="A639" s="309"/>
      <c r="B639" s="322" t="s">
        <v>419</v>
      </c>
      <c r="C639" s="12" t="s">
        <v>138</v>
      </c>
      <c r="D639" s="14">
        <v>0.5</v>
      </c>
      <c r="E639" s="13">
        <v>108200</v>
      </c>
      <c r="F639" s="310"/>
      <c r="G639" s="311"/>
      <c r="H639" s="312"/>
      <c r="I639" s="313"/>
      <c r="J639" s="314"/>
      <c r="K639" s="315"/>
      <c r="L639" s="316"/>
      <c r="M639" s="317"/>
      <c r="N639" s="318"/>
      <c r="O639" s="319"/>
      <c r="P639" s="320"/>
      <c r="Q639" s="321"/>
    </row>
    <row r="640" spans="1:17" ht="11.25" customHeight="1" x14ac:dyDescent="0.15">
      <c r="A640" s="309"/>
      <c r="B640" s="322" t="s">
        <v>420</v>
      </c>
      <c r="C640" s="12" t="s">
        <v>149</v>
      </c>
      <c r="D640" s="14">
        <v>0</v>
      </c>
      <c r="E640" s="13">
        <v>0</v>
      </c>
      <c r="F640" s="310"/>
      <c r="G640" s="311"/>
      <c r="H640" s="312"/>
      <c r="I640" s="313"/>
      <c r="J640" s="314"/>
      <c r="K640" s="315"/>
      <c r="L640" s="316"/>
      <c r="M640" s="317"/>
      <c r="N640" s="318"/>
      <c r="O640" s="319"/>
      <c r="P640" s="320"/>
      <c r="Q640" s="321"/>
    </row>
    <row r="641" spans="1:17" ht="11.25" customHeight="1" x14ac:dyDescent="0.15">
      <c r="A641" s="309"/>
      <c r="B641" s="322" t="s">
        <v>431</v>
      </c>
      <c r="C641" s="12" t="s">
        <v>273</v>
      </c>
      <c r="D641" s="14">
        <v>7.6</v>
      </c>
      <c r="E641" s="13">
        <v>87341</v>
      </c>
      <c r="F641" s="310"/>
      <c r="G641" s="311"/>
      <c r="H641" s="312"/>
      <c r="I641" s="313"/>
      <c r="J641" s="314"/>
      <c r="K641" s="315"/>
      <c r="L641" s="316"/>
      <c r="M641" s="317"/>
      <c r="N641" s="318"/>
      <c r="O641" s="319"/>
      <c r="P641" s="320"/>
      <c r="Q641" s="321"/>
    </row>
    <row r="642" spans="1:17" ht="11.25" customHeight="1" x14ac:dyDescent="0.15">
      <c r="A642" s="309"/>
      <c r="B642" s="322" t="s">
        <v>434</v>
      </c>
      <c r="C642" s="12" t="s">
        <v>274</v>
      </c>
      <c r="D642" s="14">
        <v>0.79</v>
      </c>
      <c r="E642" s="13">
        <v>91870</v>
      </c>
      <c r="F642" s="310"/>
      <c r="G642" s="311"/>
      <c r="H642" s="312"/>
      <c r="I642" s="313"/>
      <c r="J642" s="314"/>
      <c r="K642" s="315"/>
      <c r="L642" s="316"/>
      <c r="M642" s="317"/>
      <c r="N642" s="318"/>
      <c r="O642" s="319"/>
      <c r="P642" s="320"/>
      <c r="Q642" s="321"/>
    </row>
    <row r="643" spans="1:17" ht="11.25" customHeight="1" x14ac:dyDescent="0.15">
      <c r="A643" s="309"/>
      <c r="B643" s="322" t="s">
        <v>435</v>
      </c>
      <c r="C643" s="12" t="s">
        <v>110</v>
      </c>
      <c r="D643" s="14">
        <v>4.5199999999999996</v>
      </c>
      <c r="E643" s="13">
        <v>58122</v>
      </c>
      <c r="F643" s="310"/>
      <c r="G643" s="311"/>
      <c r="H643" s="312"/>
      <c r="I643" s="313"/>
      <c r="J643" s="314"/>
      <c r="K643" s="315"/>
      <c r="L643" s="316"/>
      <c r="M643" s="317"/>
      <c r="N643" s="318"/>
      <c r="O643" s="319"/>
      <c r="P643" s="320"/>
      <c r="Q643" s="321"/>
    </row>
    <row r="644" spans="1:17" ht="11.25" customHeight="1" x14ac:dyDescent="0.15">
      <c r="A644" s="309"/>
      <c r="B644" s="322" t="s">
        <v>436</v>
      </c>
      <c r="C644" s="12" t="s">
        <v>111</v>
      </c>
      <c r="D644" s="14">
        <v>1298.76</v>
      </c>
      <c r="E644" s="13">
        <v>66517</v>
      </c>
      <c r="F644" s="310"/>
      <c r="G644" s="311"/>
      <c r="H644" s="312"/>
      <c r="I644" s="313"/>
      <c r="J644" s="314"/>
      <c r="K644" s="315"/>
      <c r="L644" s="316"/>
      <c r="M644" s="317"/>
      <c r="N644" s="318"/>
      <c r="O644" s="319"/>
      <c r="P644" s="320"/>
      <c r="Q644" s="321"/>
    </row>
    <row r="645" spans="1:17" ht="11.25" customHeight="1" x14ac:dyDescent="0.15">
      <c r="A645" s="309"/>
      <c r="B645" s="322" t="s">
        <v>437</v>
      </c>
      <c r="C645" s="12" t="s">
        <v>112</v>
      </c>
      <c r="D645" s="14">
        <v>227.39</v>
      </c>
      <c r="E645" s="13">
        <v>56792</v>
      </c>
      <c r="F645" s="310"/>
      <c r="G645" s="311"/>
      <c r="H645" s="312"/>
      <c r="I645" s="313"/>
      <c r="J645" s="314"/>
      <c r="K645" s="315"/>
      <c r="L645" s="316"/>
      <c r="M645" s="317"/>
      <c r="N645" s="318"/>
      <c r="O645" s="319"/>
      <c r="P645" s="320"/>
      <c r="Q645" s="321"/>
    </row>
    <row r="646" spans="1:17" ht="11.25" customHeight="1" x14ac:dyDescent="0.15">
      <c r="A646" s="309"/>
      <c r="B646" s="322" t="s">
        <v>438</v>
      </c>
      <c r="C646" s="12" t="s">
        <v>113</v>
      </c>
      <c r="D646" s="14">
        <v>1775.59</v>
      </c>
      <c r="E646" s="13">
        <v>62503</v>
      </c>
      <c r="F646" s="310"/>
      <c r="G646" s="311"/>
      <c r="H646" s="312"/>
      <c r="I646" s="313"/>
      <c r="J646" s="314"/>
      <c r="K646" s="315"/>
      <c r="L646" s="316"/>
      <c r="M646" s="317"/>
      <c r="N646" s="318"/>
      <c r="O646" s="319"/>
      <c r="P646" s="320"/>
      <c r="Q646" s="321"/>
    </row>
    <row r="647" spans="1:17" ht="11.25" customHeight="1" x14ac:dyDescent="0.15">
      <c r="A647" s="309"/>
      <c r="B647" s="322" t="s">
        <v>439</v>
      </c>
      <c r="C647" s="12" t="s">
        <v>114</v>
      </c>
      <c r="D647" s="14">
        <v>50</v>
      </c>
      <c r="E647" s="13">
        <v>61431</v>
      </c>
      <c r="F647" s="310"/>
      <c r="G647" s="311"/>
      <c r="H647" s="312"/>
      <c r="I647" s="313"/>
      <c r="J647" s="314"/>
      <c r="K647" s="315"/>
      <c r="L647" s="316"/>
      <c r="M647" s="317"/>
      <c r="N647" s="318"/>
      <c r="O647" s="319"/>
      <c r="P647" s="320"/>
      <c r="Q647" s="321"/>
    </row>
    <row r="648" spans="1:17" ht="11.25" customHeight="1" x14ac:dyDescent="0.15">
      <c r="A648" s="309"/>
      <c r="B648" s="322" t="s">
        <v>440</v>
      </c>
      <c r="C648" s="12" t="s">
        <v>115</v>
      </c>
      <c r="D648" s="14">
        <v>763.63</v>
      </c>
      <c r="E648" s="13">
        <v>83256</v>
      </c>
      <c r="F648" s="310"/>
      <c r="G648" s="311"/>
      <c r="H648" s="312"/>
      <c r="I648" s="313"/>
      <c r="J648" s="314"/>
      <c r="K648" s="315"/>
      <c r="L648" s="316"/>
      <c r="M648" s="317"/>
      <c r="N648" s="318"/>
      <c r="O648" s="319"/>
      <c r="P648" s="320"/>
      <c r="Q648" s="321"/>
    </row>
    <row r="649" spans="1:17" ht="11.25" customHeight="1" x14ac:dyDescent="0.15">
      <c r="A649" s="309"/>
      <c r="B649" s="322" t="s">
        <v>441</v>
      </c>
      <c r="C649" s="12" t="s">
        <v>116</v>
      </c>
      <c r="D649" s="14">
        <v>5942.34</v>
      </c>
      <c r="E649" s="13">
        <v>48829</v>
      </c>
      <c r="F649" s="342"/>
      <c r="G649" s="325"/>
      <c r="H649" s="312"/>
      <c r="I649" s="327"/>
      <c r="J649" s="314"/>
      <c r="K649" s="329"/>
      <c r="L649" s="316"/>
      <c r="M649" s="331"/>
      <c r="N649" s="318"/>
      <c r="O649" s="333"/>
      <c r="P649" s="320"/>
      <c r="Q649" s="335"/>
    </row>
    <row r="650" spans="1:17" ht="11.25" customHeight="1" x14ac:dyDescent="0.15">
      <c r="A650" s="344"/>
      <c r="B650" s="322" t="s">
        <v>442</v>
      </c>
      <c r="C650" s="12" t="s">
        <v>117</v>
      </c>
      <c r="D650" s="14">
        <v>1066.68</v>
      </c>
      <c r="E650" s="13">
        <v>73146</v>
      </c>
      <c r="F650" s="310"/>
      <c r="G650" s="311"/>
      <c r="H650" s="312"/>
      <c r="I650" s="313"/>
      <c r="J650" s="314"/>
      <c r="K650" s="315"/>
      <c r="L650" s="316"/>
      <c r="M650" s="317"/>
      <c r="N650" s="318"/>
      <c r="O650" s="319"/>
      <c r="P650" s="320"/>
      <c r="Q650" s="321"/>
    </row>
    <row r="651" spans="1:17" ht="11.25" customHeight="1" x14ac:dyDescent="0.15">
      <c r="A651" s="309"/>
      <c r="B651" s="322" t="s">
        <v>443</v>
      </c>
      <c r="C651" s="12" t="s">
        <v>109</v>
      </c>
      <c r="D651" s="14">
        <v>992.17</v>
      </c>
      <c r="E651" s="13">
        <v>115208</v>
      </c>
      <c r="F651" s="310"/>
      <c r="G651" s="311"/>
      <c r="H651" s="312"/>
      <c r="I651" s="313"/>
      <c r="J651" s="314"/>
      <c r="K651" s="315"/>
      <c r="L651" s="316"/>
      <c r="M651" s="317"/>
      <c r="N651" s="318"/>
      <c r="O651" s="319"/>
      <c r="P651" s="320"/>
      <c r="Q651" s="321"/>
    </row>
    <row r="652" spans="1:17" ht="11.25" customHeight="1" x14ac:dyDescent="0.25">
      <c r="A652" s="264"/>
      <c r="B652" s="323"/>
      <c r="C652" s="264"/>
      <c r="D652" s="132"/>
      <c r="E652" s="98"/>
      <c r="F652" s="324">
        <f>SUM(D628:D641)</f>
        <v>426.81</v>
      </c>
      <c r="G652" s="345">
        <f>(SUMPRODUCT(D628:D641,E628:E641))</f>
        <v>67347563.090000004</v>
      </c>
      <c r="H652" s="346">
        <f>SUM(D628:D634)</f>
        <v>416.71</v>
      </c>
      <c r="I652" s="347">
        <f>(SUMPRODUCT(D628:D634,E628:E634))</f>
        <v>66491725.890000001</v>
      </c>
      <c r="J652" s="328">
        <f>SUM(D635:D640)</f>
        <v>2.5</v>
      </c>
      <c r="K652" s="329">
        <f>(SUMPRODUCT(D635:D640,E635:E640))</f>
        <v>192045.6</v>
      </c>
      <c r="L652" s="330">
        <f>SUM(D641:D641)</f>
        <v>7.6</v>
      </c>
      <c r="M652" s="331">
        <f>(SUMPRODUCT(D641:D641,E641:E641))</f>
        <v>663791.6</v>
      </c>
      <c r="N652" s="332">
        <f>+H652+J652+L652</f>
        <v>426.81</v>
      </c>
      <c r="O652" s="333">
        <f>+I652+K652+M652</f>
        <v>67347563.090000004</v>
      </c>
      <c r="P652" s="334">
        <f>SUM(D642:D651)</f>
        <v>12121.87</v>
      </c>
      <c r="Q652" s="335">
        <f>(SUMPRODUCT(D642:D651,E642:E651))</f>
        <v>759754688.09000003</v>
      </c>
    </row>
    <row r="653" spans="1:17" ht="11.25" customHeight="1" x14ac:dyDescent="0.15">
      <c r="A653" s="337">
        <v>98</v>
      </c>
      <c r="B653" s="337" t="s">
        <v>342</v>
      </c>
      <c r="C653" s="338"/>
      <c r="D653" s="339"/>
      <c r="E653" s="340"/>
      <c r="F653" s="324"/>
      <c r="G653" s="325"/>
      <c r="H653" s="326"/>
      <c r="I653" s="327"/>
      <c r="J653" s="328"/>
      <c r="K653" s="329"/>
      <c r="L653" s="330"/>
      <c r="M653" s="331"/>
      <c r="N653" s="332"/>
      <c r="O653" s="333"/>
      <c r="P653" s="334"/>
      <c r="Q653" s="335"/>
    </row>
    <row r="654" spans="1:17" ht="11.25" customHeight="1" x14ac:dyDescent="0.15">
      <c r="A654" s="309"/>
      <c r="B654" s="322" t="s">
        <v>410</v>
      </c>
      <c r="C654" s="12" t="s">
        <v>134</v>
      </c>
      <c r="D654" s="14">
        <v>0.6</v>
      </c>
      <c r="E654" s="13">
        <v>151028</v>
      </c>
      <c r="F654" s="310"/>
      <c r="G654" s="311"/>
      <c r="H654" s="312"/>
      <c r="I654" s="313"/>
      <c r="J654" s="314"/>
      <c r="K654" s="315"/>
      <c r="L654" s="316"/>
      <c r="M654" s="317"/>
      <c r="N654" s="318"/>
      <c r="O654" s="319"/>
      <c r="P654" s="320"/>
      <c r="Q654" s="321"/>
    </row>
    <row r="655" spans="1:17" ht="11.25" customHeight="1" x14ac:dyDescent="0.15">
      <c r="A655" s="309"/>
      <c r="B655" s="322" t="s">
        <v>435</v>
      </c>
      <c r="C655" s="12" t="s">
        <v>110</v>
      </c>
      <c r="D655" s="14">
        <v>31.73</v>
      </c>
      <c r="E655" s="13">
        <v>38904</v>
      </c>
      <c r="F655" s="310"/>
      <c r="G655" s="311"/>
      <c r="H655" s="312"/>
      <c r="I655" s="313"/>
      <c r="J655" s="314"/>
      <c r="K655" s="315"/>
      <c r="L655" s="316"/>
      <c r="M655" s="317"/>
      <c r="N655" s="318"/>
      <c r="O655" s="319"/>
      <c r="P655" s="320"/>
      <c r="Q655" s="321"/>
    </row>
    <row r="656" spans="1:17" ht="11.25" customHeight="1" x14ac:dyDescent="0.15">
      <c r="A656" s="309"/>
      <c r="B656" s="322" t="s">
        <v>436</v>
      </c>
      <c r="C656" s="12" t="s">
        <v>111</v>
      </c>
      <c r="D656" s="14">
        <v>0.6</v>
      </c>
      <c r="E656" s="13">
        <v>63107</v>
      </c>
      <c r="F656" s="310"/>
      <c r="G656" s="311"/>
      <c r="H656" s="312"/>
      <c r="I656" s="313"/>
      <c r="J656" s="314"/>
      <c r="K656" s="315"/>
      <c r="L656" s="316"/>
      <c r="M656" s="317"/>
      <c r="N656" s="318"/>
      <c r="O656" s="319"/>
      <c r="P656" s="320"/>
      <c r="Q656" s="321"/>
    </row>
    <row r="657" spans="1:17" ht="11.25" customHeight="1" x14ac:dyDescent="0.15">
      <c r="A657" s="309"/>
      <c r="B657" s="322" t="s">
        <v>437</v>
      </c>
      <c r="C657" s="12" t="s">
        <v>112</v>
      </c>
      <c r="D657" s="14">
        <v>1.76</v>
      </c>
      <c r="E657" s="13">
        <v>38903</v>
      </c>
      <c r="F657" s="310"/>
      <c r="G657" s="311"/>
      <c r="H657" s="312"/>
      <c r="I657" s="313"/>
      <c r="J657" s="314"/>
      <c r="K657" s="315"/>
      <c r="L657" s="316"/>
      <c r="M657" s="317"/>
      <c r="N657" s="318"/>
      <c r="O657" s="319"/>
      <c r="P657" s="320"/>
      <c r="Q657" s="321"/>
    </row>
    <row r="658" spans="1:17" ht="11.25" customHeight="1" x14ac:dyDescent="0.15">
      <c r="A658" s="309"/>
      <c r="B658" s="322" t="s">
        <v>438</v>
      </c>
      <c r="C658" s="12" t="s">
        <v>113</v>
      </c>
      <c r="D658" s="14">
        <v>130.63</v>
      </c>
      <c r="E658" s="13">
        <v>51159</v>
      </c>
      <c r="F658" s="310"/>
      <c r="G658" s="311"/>
      <c r="H658" s="312"/>
      <c r="I658" s="313"/>
      <c r="J658" s="314"/>
      <c r="K658" s="315"/>
      <c r="L658" s="316"/>
      <c r="M658" s="317"/>
      <c r="N658" s="318"/>
      <c r="O658" s="319"/>
      <c r="P658" s="320"/>
      <c r="Q658" s="321"/>
    </row>
    <row r="659" spans="1:17" ht="11.25" customHeight="1" x14ac:dyDescent="0.15">
      <c r="A659" s="309"/>
      <c r="B659" s="322" t="s">
        <v>439</v>
      </c>
      <c r="C659" s="12" t="s">
        <v>114</v>
      </c>
      <c r="D659" s="14">
        <v>29.04</v>
      </c>
      <c r="E659" s="13">
        <v>52695</v>
      </c>
      <c r="F659" s="310"/>
      <c r="G659" s="311"/>
      <c r="H659" s="312"/>
      <c r="I659" s="313"/>
      <c r="J659" s="314"/>
      <c r="K659" s="315"/>
      <c r="L659" s="316"/>
      <c r="M659" s="317"/>
      <c r="N659" s="318"/>
      <c r="O659" s="319"/>
      <c r="P659" s="320"/>
      <c r="Q659" s="321"/>
    </row>
    <row r="660" spans="1:17" ht="11.25" customHeight="1" x14ac:dyDescent="0.15">
      <c r="A660" s="309"/>
      <c r="B660" s="322" t="s">
        <v>440</v>
      </c>
      <c r="C660" s="12" t="s">
        <v>115</v>
      </c>
      <c r="D660" s="14">
        <v>22</v>
      </c>
      <c r="E660" s="13">
        <v>61295</v>
      </c>
      <c r="F660" s="310"/>
      <c r="G660" s="311"/>
      <c r="H660" s="312"/>
      <c r="I660" s="313"/>
      <c r="J660" s="314"/>
      <c r="K660" s="315"/>
      <c r="L660" s="316"/>
      <c r="M660" s="317"/>
      <c r="N660" s="318"/>
      <c r="O660" s="319"/>
      <c r="P660" s="320"/>
      <c r="Q660" s="321"/>
    </row>
    <row r="661" spans="1:17" ht="11.25" customHeight="1" x14ac:dyDescent="0.15">
      <c r="A661" s="309"/>
      <c r="B661" s="322" t="s">
        <v>441</v>
      </c>
      <c r="C661" s="12" t="s">
        <v>116</v>
      </c>
      <c r="D661" s="14">
        <v>2549.2800000000002</v>
      </c>
      <c r="E661" s="13">
        <v>40169</v>
      </c>
      <c r="F661" s="310"/>
      <c r="G661" s="311"/>
      <c r="H661" s="312"/>
      <c r="I661" s="313"/>
      <c r="J661" s="314"/>
      <c r="K661" s="315"/>
      <c r="L661" s="316"/>
      <c r="M661" s="317"/>
      <c r="N661" s="318"/>
      <c r="O661" s="319"/>
      <c r="P661" s="320"/>
      <c r="Q661" s="321"/>
    </row>
    <row r="662" spans="1:17" ht="11.25" customHeight="1" x14ac:dyDescent="0.15">
      <c r="A662" s="309"/>
      <c r="B662" s="322" t="s">
        <v>442</v>
      </c>
      <c r="C662" s="12" t="s">
        <v>117</v>
      </c>
      <c r="D662" s="14">
        <v>10.48</v>
      </c>
      <c r="E662" s="13">
        <v>75803</v>
      </c>
      <c r="F662" s="310"/>
      <c r="G662" s="311"/>
      <c r="H662" s="312"/>
      <c r="I662" s="313"/>
      <c r="J662" s="314"/>
      <c r="K662" s="315"/>
      <c r="L662" s="316"/>
      <c r="M662" s="317"/>
      <c r="N662" s="318"/>
      <c r="O662" s="319"/>
      <c r="P662" s="320"/>
      <c r="Q662" s="321"/>
    </row>
    <row r="663" spans="1:17" ht="11.25" customHeight="1" x14ac:dyDescent="0.15">
      <c r="A663" s="309"/>
      <c r="B663" s="322" t="s">
        <v>443</v>
      </c>
      <c r="C663" s="12" t="s">
        <v>109</v>
      </c>
      <c r="D663" s="14">
        <v>161.41999999999999</v>
      </c>
      <c r="E663" s="13">
        <v>85345</v>
      </c>
      <c r="F663" s="310"/>
      <c r="G663" s="311"/>
      <c r="H663" s="312"/>
      <c r="I663" s="313"/>
      <c r="J663" s="314"/>
      <c r="K663" s="315"/>
      <c r="L663" s="316"/>
      <c r="M663" s="317"/>
      <c r="N663" s="318"/>
      <c r="O663" s="319"/>
      <c r="P663" s="320"/>
      <c r="Q663" s="321"/>
    </row>
    <row r="664" spans="1:17" ht="11.25" customHeight="1" x14ac:dyDescent="0.25">
      <c r="A664" s="264"/>
      <c r="B664" s="323"/>
      <c r="C664" s="264"/>
      <c r="D664" s="132"/>
      <c r="E664" s="98"/>
      <c r="F664" s="324">
        <f>SUM(D654:D654)</f>
        <v>0.6</v>
      </c>
      <c r="G664" s="325">
        <f>(SUMPRODUCT(D654:D654,E654:E654))</f>
        <v>90616.8</v>
      </c>
      <c r="H664" s="326">
        <f>SUM(D654:D654)</f>
        <v>0.6</v>
      </c>
      <c r="I664" s="327">
        <f>(SUMPRODUCT(D654:D654,E654:E654))</f>
        <v>90616.8</v>
      </c>
      <c r="J664" s="328"/>
      <c r="K664" s="329"/>
      <c r="L664" s="330"/>
      <c r="M664" s="331"/>
      <c r="N664" s="332">
        <f>+H664+J664+L664</f>
        <v>0.6</v>
      </c>
      <c r="O664" s="333">
        <f>+I664+K664+M664</f>
        <v>90616.8</v>
      </c>
      <c r="P664" s="334">
        <f>SUM(D655:D663)</f>
        <v>2936.94</v>
      </c>
      <c r="Q664" s="335">
        <f>(SUMPRODUCT(D655:D663,E655:E663))</f>
        <v>127875244.03</v>
      </c>
    </row>
    <row r="665" spans="1:17" ht="11.25" customHeight="1" x14ac:dyDescent="0.15">
      <c r="A665" s="309">
        <v>99</v>
      </c>
      <c r="B665" s="337" t="s">
        <v>158</v>
      </c>
      <c r="C665" s="338"/>
      <c r="D665" s="339"/>
      <c r="E665" s="340"/>
      <c r="F665" s="310"/>
      <c r="G665" s="311"/>
      <c r="H665" s="312"/>
      <c r="I665" s="313"/>
      <c r="J665" s="314"/>
      <c r="K665" s="315"/>
      <c r="L665" s="316"/>
      <c r="M665" s="317"/>
      <c r="N665" s="318"/>
      <c r="O665" s="319"/>
      <c r="P665" s="320"/>
      <c r="Q665" s="321"/>
    </row>
    <row r="666" spans="1:17" ht="11.25" customHeight="1" x14ac:dyDescent="0.15">
      <c r="A666" s="309"/>
      <c r="B666" s="322" t="s">
        <v>409</v>
      </c>
      <c r="C666" s="12" t="s">
        <v>133</v>
      </c>
      <c r="D666" s="14">
        <v>0</v>
      </c>
      <c r="E666" s="13">
        <v>0</v>
      </c>
      <c r="F666" s="310"/>
      <c r="G666" s="311"/>
      <c r="H666" s="312"/>
      <c r="I666" s="313"/>
      <c r="J666" s="314"/>
      <c r="K666" s="315"/>
      <c r="L666" s="316"/>
      <c r="M666" s="317"/>
      <c r="N666" s="318"/>
      <c r="O666" s="319"/>
      <c r="P666" s="320"/>
      <c r="Q666" s="321"/>
    </row>
    <row r="667" spans="1:17" ht="11.25" customHeight="1" x14ac:dyDescent="0.15">
      <c r="A667" s="309"/>
      <c r="B667" s="322" t="s">
        <v>410</v>
      </c>
      <c r="C667" s="12" t="s">
        <v>134</v>
      </c>
      <c r="D667" s="14">
        <v>4.43</v>
      </c>
      <c r="E667" s="13">
        <v>130279</v>
      </c>
      <c r="F667" s="310"/>
      <c r="G667" s="311"/>
      <c r="H667" s="312"/>
      <c r="I667" s="313"/>
      <c r="J667" s="314"/>
      <c r="K667" s="315"/>
      <c r="L667" s="316"/>
      <c r="M667" s="317"/>
      <c r="N667" s="318"/>
      <c r="O667" s="319"/>
      <c r="P667" s="320"/>
      <c r="Q667" s="321"/>
    </row>
    <row r="668" spans="1:17" ht="11.25" customHeight="1" x14ac:dyDescent="0.15">
      <c r="A668" s="309"/>
      <c r="B668" s="322" t="s">
        <v>434</v>
      </c>
      <c r="C668" s="12" t="s">
        <v>274</v>
      </c>
      <c r="D668" s="14">
        <v>0</v>
      </c>
      <c r="E668" s="13">
        <v>0</v>
      </c>
      <c r="F668" s="310"/>
      <c r="G668" s="311"/>
      <c r="H668" s="312"/>
      <c r="I668" s="313"/>
      <c r="J668" s="314"/>
      <c r="K668" s="315"/>
      <c r="L668" s="316"/>
      <c r="M668" s="317"/>
      <c r="N668" s="318"/>
      <c r="O668" s="319"/>
      <c r="P668" s="320"/>
      <c r="Q668" s="321"/>
    </row>
    <row r="669" spans="1:17" ht="11.25" customHeight="1" x14ac:dyDescent="0.15">
      <c r="A669" s="309"/>
      <c r="B669" s="322" t="s">
        <v>435</v>
      </c>
      <c r="C669" s="12" t="s">
        <v>110</v>
      </c>
      <c r="D669" s="14">
        <v>142.16999999999999</v>
      </c>
      <c r="E669" s="13">
        <v>41165</v>
      </c>
      <c r="F669" s="310"/>
      <c r="G669" s="311"/>
      <c r="H669" s="312"/>
      <c r="I669" s="313"/>
      <c r="J669" s="314"/>
      <c r="K669" s="315"/>
      <c r="L669" s="316"/>
      <c r="M669" s="317"/>
      <c r="N669" s="318"/>
      <c r="O669" s="319"/>
      <c r="P669" s="320"/>
      <c r="Q669" s="321"/>
    </row>
    <row r="670" spans="1:17" ht="11.25" customHeight="1" x14ac:dyDescent="0.15">
      <c r="A670" s="309"/>
      <c r="B670" s="322" t="s">
        <v>436</v>
      </c>
      <c r="C670" s="12" t="s">
        <v>111</v>
      </c>
      <c r="D670" s="14">
        <v>374.66</v>
      </c>
      <c r="E670" s="13">
        <v>64625</v>
      </c>
      <c r="F670" s="310"/>
      <c r="G670" s="311"/>
      <c r="H670" s="312"/>
      <c r="I670" s="313"/>
      <c r="J670" s="314"/>
      <c r="K670" s="315"/>
      <c r="L670" s="316"/>
      <c r="M670" s="317"/>
      <c r="N670" s="318"/>
      <c r="O670" s="319"/>
      <c r="P670" s="320"/>
      <c r="Q670" s="321"/>
    </row>
    <row r="671" spans="1:17" ht="11.25" customHeight="1" x14ac:dyDescent="0.15">
      <c r="A671" s="309"/>
      <c r="B671" s="322" t="s">
        <v>437</v>
      </c>
      <c r="C671" s="12" t="s">
        <v>112</v>
      </c>
      <c r="D671" s="14">
        <v>5.93</v>
      </c>
      <c r="E671" s="13">
        <v>48955</v>
      </c>
      <c r="F671" s="310"/>
      <c r="G671" s="311"/>
      <c r="H671" s="312"/>
      <c r="I671" s="313"/>
      <c r="J671" s="314"/>
      <c r="K671" s="315"/>
      <c r="L671" s="316"/>
      <c r="M671" s="317"/>
      <c r="N671" s="318"/>
      <c r="O671" s="319"/>
      <c r="P671" s="320"/>
      <c r="Q671" s="321"/>
    </row>
    <row r="672" spans="1:17" ht="11.25" customHeight="1" x14ac:dyDescent="0.15">
      <c r="A672" s="309"/>
      <c r="B672" s="322" t="s">
        <v>438</v>
      </c>
      <c r="C672" s="12" t="s">
        <v>113</v>
      </c>
      <c r="D672" s="14">
        <v>201.24</v>
      </c>
      <c r="E672" s="13">
        <v>54961</v>
      </c>
      <c r="F672" s="310"/>
      <c r="G672" s="311"/>
      <c r="H672" s="312"/>
      <c r="I672" s="313"/>
      <c r="J672" s="314"/>
      <c r="K672" s="315"/>
      <c r="L672" s="316"/>
      <c r="M672" s="317"/>
      <c r="N672" s="318"/>
      <c r="O672" s="319"/>
      <c r="P672" s="320"/>
      <c r="Q672" s="321"/>
    </row>
    <row r="673" spans="1:17" ht="11.25" customHeight="1" x14ac:dyDescent="0.15">
      <c r="A673" s="309"/>
      <c r="B673" s="322" t="s">
        <v>439</v>
      </c>
      <c r="C673" s="12" t="s">
        <v>114</v>
      </c>
      <c r="D673" s="14">
        <v>3458.65</v>
      </c>
      <c r="E673" s="13">
        <v>51924</v>
      </c>
      <c r="F673" s="310"/>
      <c r="G673" s="311"/>
      <c r="H673" s="312"/>
      <c r="I673" s="313"/>
      <c r="J673" s="314"/>
      <c r="K673" s="315"/>
      <c r="L673" s="316"/>
      <c r="M673" s="317"/>
      <c r="N673" s="318"/>
      <c r="O673" s="319"/>
      <c r="P673" s="320"/>
      <c r="Q673" s="321"/>
    </row>
    <row r="674" spans="1:17" ht="11.25" customHeight="1" x14ac:dyDescent="0.15">
      <c r="A674" s="309"/>
      <c r="B674" s="322" t="s">
        <v>440</v>
      </c>
      <c r="C674" s="12" t="s">
        <v>115</v>
      </c>
      <c r="D674" s="14">
        <v>6.34</v>
      </c>
      <c r="E674" s="13">
        <v>74563</v>
      </c>
      <c r="F674" s="310"/>
      <c r="G674" s="311"/>
      <c r="H674" s="312"/>
      <c r="I674" s="313"/>
      <c r="J674" s="314"/>
      <c r="K674" s="315"/>
      <c r="L674" s="316"/>
      <c r="M674" s="317"/>
      <c r="N674" s="318"/>
      <c r="O674" s="319"/>
      <c r="P674" s="320"/>
      <c r="Q674" s="321"/>
    </row>
    <row r="675" spans="1:17" ht="11.25" customHeight="1" x14ac:dyDescent="0.15">
      <c r="A675" s="309"/>
      <c r="B675" s="322" t="s">
        <v>441</v>
      </c>
      <c r="C675" s="12" t="s">
        <v>116</v>
      </c>
      <c r="D675" s="14">
        <v>44.44</v>
      </c>
      <c r="E675" s="13">
        <v>53574</v>
      </c>
      <c r="F675" s="310"/>
      <c r="G675" s="311"/>
      <c r="H675" s="312"/>
      <c r="I675" s="313"/>
      <c r="J675" s="314"/>
      <c r="K675" s="315"/>
      <c r="L675" s="316"/>
      <c r="M675" s="317"/>
      <c r="N675" s="318"/>
      <c r="O675" s="319"/>
      <c r="P675" s="320"/>
      <c r="Q675" s="321"/>
    </row>
    <row r="676" spans="1:17" ht="11.25" customHeight="1" x14ac:dyDescent="0.15">
      <c r="A676" s="309"/>
      <c r="B676" s="322" t="s">
        <v>442</v>
      </c>
      <c r="C676" s="12" t="s">
        <v>117</v>
      </c>
      <c r="D676" s="14">
        <v>47.64</v>
      </c>
      <c r="E676" s="13">
        <v>71206</v>
      </c>
      <c r="F676" s="342"/>
      <c r="G676" s="325"/>
      <c r="H676" s="312"/>
      <c r="I676" s="327"/>
      <c r="J676" s="314"/>
      <c r="K676" s="329"/>
      <c r="L676" s="316"/>
      <c r="M676" s="331"/>
      <c r="N676" s="318"/>
      <c r="O676" s="333"/>
      <c r="P676" s="320"/>
      <c r="Q676" s="335"/>
    </row>
    <row r="677" spans="1:17" ht="11.25" customHeight="1" x14ac:dyDescent="0.15">
      <c r="A677" s="309"/>
      <c r="B677" s="322" t="s">
        <v>443</v>
      </c>
      <c r="C677" s="12" t="s">
        <v>109</v>
      </c>
      <c r="D677" s="14">
        <v>240.83</v>
      </c>
      <c r="E677" s="13">
        <v>88661</v>
      </c>
      <c r="F677" s="310"/>
      <c r="G677" s="311"/>
      <c r="H677" s="312"/>
      <c r="I677" s="313"/>
      <c r="J677" s="314"/>
      <c r="K677" s="315"/>
      <c r="L677" s="316"/>
      <c r="M677" s="317"/>
      <c r="N677" s="318"/>
      <c r="O677" s="319"/>
      <c r="P677" s="320"/>
      <c r="Q677" s="321"/>
    </row>
    <row r="678" spans="1:17" ht="11.25" customHeight="1" x14ac:dyDescent="0.25">
      <c r="A678" s="264"/>
      <c r="B678" s="323"/>
      <c r="C678" s="264"/>
      <c r="D678" s="132"/>
      <c r="E678" s="98"/>
      <c r="F678" s="324">
        <f>SUM(D666:D667)</f>
        <v>4.43</v>
      </c>
      <c r="G678" s="325">
        <f>(SUMPRODUCT(D666:D667,E666:E667))</f>
        <v>577135.97</v>
      </c>
      <c r="H678" s="326">
        <f>SUM(D666:D667)</f>
        <v>4.43</v>
      </c>
      <c r="I678" s="327">
        <f>(SUMPRODUCT(D666:D667,E666:E667))</f>
        <v>577135.97</v>
      </c>
      <c r="J678" s="328"/>
      <c r="K678" s="329"/>
      <c r="L678" s="330"/>
      <c r="M678" s="331"/>
      <c r="N678" s="332">
        <f>+H678+J678+L678</f>
        <v>4.43</v>
      </c>
      <c r="O678" s="333">
        <f>+I678+K678+M678</f>
        <v>577135.97</v>
      </c>
      <c r="P678" s="334">
        <f>SUM(D668:D677)</f>
        <v>4521.8999999999996</v>
      </c>
      <c r="Q678" s="335">
        <f>(SUMPRODUCT(D668:D677,E668:E677))</f>
        <v>248600468.38999999</v>
      </c>
    </row>
    <row r="679" spans="1:17" ht="11.25" customHeight="1" x14ac:dyDescent="0.15">
      <c r="A679" s="309" t="s">
        <v>159</v>
      </c>
      <c r="B679" s="337" t="s">
        <v>160</v>
      </c>
      <c r="C679" s="338"/>
      <c r="D679" s="339"/>
      <c r="E679" s="340"/>
      <c r="F679" s="310"/>
      <c r="G679" s="311"/>
      <c r="H679" s="312"/>
      <c r="I679" s="313"/>
      <c r="J679" s="314"/>
      <c r="K679" s="315"/>
      <c r="L679" s="316"/>
      <c r="M679" s="317"/>
      <c r="N679" s="318"/>
      <c r="O679" s="319"/>
      <c r="P679" s="320"/>
      <c r="Q679" s="321"/>
    </row>
    <row r="680" spans="1:17" ht="11.25" customHeight="1" x14ac:dyDescent="0.15">
      <c r="A680" s="309"/>
      <c r="B680" s="322" t="s">
        <v>409</v>
      </c>
      <c r="C680" s="12" t="s">
        <v>133</v>
      </c>
      <c r="D680" s="14">
        <v>1.3</v>
      </c>
      <c r="E680" s="13">
        <v>169315</v>
      </c>
      <c r="F680" s="310"/>
      <c r="G680" s="311"/>
      <c r="H680" s="312"/>
      <c r="I680" s="313"/>
      <c r="J680" s="314"/>
      <c r="K680" s="315"/>
      <c r="L680" s="316"/>
      <c r="M680" s="317"/>
      <c r="N680" s="318"/>
      <c r="O680" s="319"/>
      <c r="P680" s="320"/>
      <c r="Q680" s="321"/>
    </row>
    <row r="681" spans="1:17" ht="11.25" customHeight="1" x14ac:dyDescent="0.15">
      <c r="A681" s="309"/>
      <c r="B681" s="322" t="s">
        <v>410</v>
      </c>
      <c r="C681" s="12" t="s">
        <v>134</v>
      </c>
      <c r="D681" s="14">
        <v>4.95</v>
      </c>
      <c r="E681" s="13">
        <v>151465</v>
      </c>
      <c r="F681" s="310"/>
      <c r="G681" s="311"/>
      <c r="H681" s="312"/>
      <c r="I681" s="313"/>
      <c r="J681" s="314"/>
      <c r="K681" s="315"/>
      <c r="L681" s="316"/>
      <c r="M681" s="317"/>
      <c r="N681" s="318"/>
      <c r="O681" s="319"/>
      <c r="P681" s="320"/>
      <c r="Q681" s="321"/>
    </row>
    <row r="682" spans="1:17" ht="11.25" customHeight="1" x14ac:dyDescent="0.15">
      <c r="A682" s="309"/>
      <c r="B682" s="322" t="s">
        <v>411</v>
      </c>
      <c r="C682" s="12" t="s">
        <v>141</v>
      </c>
      <c r="D682" s="14">
        <v>1</v>
      </c>
      <c r="E682" s="13">
        <v>156751</v>
      </c>
      <c r="F682" s="310"/>
      <c r="G682" s="311"/>
      <c r="H682" s="312"/>
      <c r="I682" s="313"/>
      <c r="J682" s="314"/>
      <c r="K682" s="315"/>
      <c r="L682" s="316"/>
      <c r="M682" s="317"/>
      <c r="N682" s="318"/>
      <c r="O682" s="319"/>
      <c r="P682" s="320"/>
      <c r="Q682" s="321"/>
    </row>
    <row r="683" spans="1:17" ht="11.25" customHeight="1" x14ac:dyDescent="0.15">
      <c r="A683" s="309"/>
      <c r="B683" s="322" t="s">
        <v>413</v>
      </c>
      <c r="C683" s="12" t="s">
        <v>142</v>
      </c>
      <c r="D683" s="14">
        <v>0.88</v>
      </c>
      <c r="E683" s="13">
        <v>175566</v>
      </c>
      <c r="F683" s="310"/>
      <c r="G683" s="311"/>
      <c r="H683" s="312"/>
      <c r="I683" s="313"/>
      <c r="J683" s="314"/>
      <c r="K683" s="315"/>
      <c r="L683" s="316"/>
      <c r="M683" s="317"/>
      <c r="N683" s="318"/>
      <c r="O683" s="319"/>
      <c r="P683" s="320"/>
      <c r="Q683" s="321"/>
    </row>
    <row r="684" spans="1:17" ht="11.25" customHeight="1" x14ac:dyDescent="0.15">
      <c r="A684" s="309"/>
      <c r="B684" s="322" t="s">
        <v>416</v>
      </c>
      <c r="C684" s="12" t="s">
        <v>526</v>
      </c>
      <c r="D684" s="14">
        <v>0</v>
      </c>
      <c r="E684" s="13">
        <v>0</v>
      </c>
      <c r="F684" s="310"/>
      <c r="G684" s="311"/>
      <c r="H684" s="312"/>
      <c r="I684" s="313"/>
      <c r="J684" s="314"/>
      <c r="K684" s="315"/>
      <c r="L684" s="316"/>
      <c r="M684" s="317"/>
      <c r="N684" s="318"/>
      <c r="O684" s="319"/>
      <c r="P684" s="320"/>
      <c r="Q684" s="321"/>
    </row>
    <row r="685" spans="1:17" ht="11.25" customHeight="1" x14ac:dyDescent="0.15">
      <c r="A685" s="309"/>
      <c r="B685" s="322" t="s">
        <v>418</v>
      </c>
      <c r="C685" s="12" t="s">
        <v>137</v>
      </c>
      <c r="D685" s="14">
        <v>1</v>
      </c>
      <c r="E685" s="13">
        <v>83487</v>
      </c>
      <c r="F685" s="310"/>
      <c r="G685" s="311"/>
      <c r="H685" s="312"/>
      <c r="I685" s="313"/>
      <c r="J685" s="314"/>
      <c r="K685" s="315"/>
      <c r="L685" s="316"/>
      <c r="M685" s="317"/>
      <c r="N685" s="318"/>
      <c r="O685" s="319"/>
      <c r="P685" s="320"/>
      <c r="Q685" s="321"/>
    </row>
    <row r="686" spans="1:17" ht="11.25" customHeight="1" x14ac:dyDescent="0.15">
      <c r="A686" s="309"/>
      <c r="B686" s="322" t="s">
        <v>419</v>
      </c>
      <c r="C686" s="12" t="s">
        <v>138</v>
      </c>
      <c r="D686" s="14">
        <v>16.27</v>
      </c>
      <c r="E686" s="13">
        <v>102573</v>
      </c>
      <c r="F686" s="310"/>
      <c r="G686" s="311"/>
      <c r="H686" s="312"/>
      <c r="I686" s="313"/>
      <c r="J686" s="314"/>
      <c r="K686" s="315"/>
      <c r="L686" s="316"/>
      <c r="M686" s="317"/>
      <c r="N686" s="318"/>
      <c r="O686" s="319"/>
      <c r="P686" s="320"/>
      <c r="Q686" s="321"/>
    </row>
    <row r="687" spans="1:17" ht="11.25" customHeight="1" x14ac:dyDescent="0.15">
      <c r="A687" s="309"/>
      <c r="B687" s="322" t="s">
        <v>435</v>
      </c>
      <c r="C687" s="12" t="s">
        <v>110</v>
      </c>
      <c r="D687" s="14">
        <v>7.72</v>
      </c>
      <c r="E687" s="13">
        <v>53754</v>
      </c>
      <c r="F687" s="310"/>
      <c r="G687" s="311"/>
      <c r="H687" s="312"/>
      <c r="I687" s="313"/>
      <c r="J687" s="314"/>
      <c r="K687" s="315"/>
      <c r="L687" s="316"/>
      <c r="M687" s="317"/>
      <c r="N687" s="318"/>
      <c r="O687" s="319"/>
      <c r="P687" s="320"/>
      <c r="Q687" s="321"/>
    </row>
    <row r="688" spans="1:17" ht="11.25" customHeight="1" x14ac:dyDescent="0.15">
      <c r="A688" s="309"/>
      <c r="B688" s="322" t="s">
        <v>436</v>
      </c>
      <c r="C688" s="12" t="s">
        <v>111</v>
      </c>
      <c r="D688" s="14">
        <v>4.01</v>
      </c>
      <c r="E688" s="13">
        <v>76009</v>
      </c>
      <c r="F688" s="310"/>
      <c r="G688" s="311"/>
      <c r="H688" s="312"/>
      <c r="I688" s="313"/>
      <c r="J688" s="314"/>
      <c r="K688" s="315"/>
      <c r="L688" s="316"/>
      <c r="M688" s="317"/>
      <c r="N688" s="318"/>
      <c r="O688" s="319"/>
      <c r="P688" s="320"/>
      <c r="Q688" s="321"/>
    </row>
    <row r="689" spans="1:17" ht="11.25" customHeight="1" x14ac:dyDescent="0.15">
      <c r="A689" s="309"/>
      <c r="B689" s="322" t="s">
        <v>438</v>
      </c>
      <c r="C689" s="12" t="s">
        <v>113</v>
      </c>
      <c r="D689" s="14">
        <v>34.520000000000003</v>
      </c>
      <c r="E689" s="13">
        <v>62119</v>
      </c>
      <c r="F689" s="310"/>
      <c r="G689" s="311"/>
      <c r="H689" s="312"/>
      <c r="I689" s="313"/>
      <c r="J689" s="314"/>
      <c r="K689" s="315"/>
      <c r="L689" s="316"/>
      <c r="M689" s="317"/>
      <c r="N689" s="318"/>
      <c r="O689" s="319"/>
      <c r="P689" s="320"/>
      <c r="Q689" s="321"/>
    </row>
    <row r="690" spans="1:17" ht="11.25" customHeight="1" x14ac:dyDescent="0.15">
      <c r="A690" s="309"/>
      <c r="B690" s="322" t="s">
        <v>440</v>
      </c>
      <c r="C690" s="12" t="s">
        <v>115</v>
      </c>
      <c r="D690" s="14">
        <v>135.36000000000001</v>
      </c>
      <c r="E690" s="13">
        <v>99130</v>
      </c>
      <c r="F690" s="310"/>
      <c r="G690" s="311"/>
      <c r="H690" s="312"/>
      <c r="I690" s="313"/>
      <c r="J690" s="314"/>
      <c r="K690" s="315"/>
      <c r="L690" s="316"/>
      <c r="M690" s="317"/>
      <c r="N690" s="318"/>
      <c r="O690" s="319"/>
      <c r="P690" s="320"/>
      <c r="Q690" s="321"/>
    </row>
    <row r="691" spans="1:17" ht="11.25" customHeight="1" x14ac:dyDescent="0.15">
      <c r="A691" s="309"/>
      <c r="B691" s="322" t="s">
        <v>441</v>
      </c>
      <c r="C691" s="12" t="s">
        <v>116</v>
      </c>
      <c r="D691" s="14">
        <v>6.4</v>
      </c>
      <c r="E691" s="13">
        <v>108409</v>
      </c>
      <c r="F691" s="310"/>
      <c r="G691" s="311"/>
      <c r="H691" s="312"/>
      <c r="I691" s="313"/>
      <c r="J691" s="314"/>
      <c r="K691" s="315"/>
      <c r="L691" s="316"/>
      <c r="M691" s="317"/>
      <c r="N691" s="318"/>
      <c r="O691" s="319"/>
      <c r="P691" s="320"/>
      <c r="Q691" s="321"/>
    </row>
    <row r="692" spans="1:17" ht="11.25" customHeight="1" x14ac:dyDescent="0.15">
      <c r="A692" s="309"/>
      <c r="B692" s="322" t="s">
        <v>442</v>
      </c>
      <c r="C692" s="12" t="s">
        <v>117</v>
      </c>
      <c r="D692" s="14">
        <v>81.99</v>
      </c>
      <c r="E692" s="13">
        <v>91301</v>
      </c>
      <c r="F692" s="310"/>
      <c r="G692" s="311"/>
      <c r="H692" s="312"/>
      <c r="I692" s="313"/>
      <c r="J692" s="314"/>
      <c r="K692" s="315"/>
      <c r="L692" s="316"/>
      <c r="M692" s="317"/>
      <c r="N692" s="318"/>
      <c r="O692" s="319"/>
      <c r="P692" s="320"/>
      <c r="Q692" s="321"/>
    </row>
    <row r="693" spans="1:17" ht="11.25" customHeight="1" x14ac:dyDescent="0.15">
      <c r="A693" s="309"/>
      <c r="B693" s="322" t="s">
        <v>443</v>
      </c>
      <c r="C693" s="12" t="s">
        <v>109</v>
      </c>
      <c r="D693" s="14">
        <v>68.13</v>
      </c>
      <c r="E693" s="13">
        <v>135233</v>
      </c>
      <c r="F693" s="310"/>
      <c r="G693" s="311"/>
      <c r="H693" s="312"/>
      <c r="I693" s="313"/>
      <c r="J693" s="314"/>
      <c r="K693" s="315"/>
      <c r="L693" s="316"/>
      <c r="M693" s="317"/>
      <c r="N693" s="318"/>
      <c r="O693" s="319"/>
      <c r="P693" s="320"/>
      <c r="Q693" s="321"/>
    </row>
    <row r="694" spans="1:17" ht="11.25" customHeight="1" x14ac:dyDescent="0.25">
      <c r="A694" s="264"/>
      <c r="B694" s="323"/>
      <c r="C694" s="264"/>
      <c r="D694" s="132"/>
      <c r="E694" s="98"/>
      <c r="F694" s="324">
        <f>SUM(D680:D686)</f>
        <v>25.4</v>
      </c>
      <c r="G694" s="325">
        <f>(SUMPRODUCT(D680:D686,E680:E686))</f>
        <v>3033460.04</v>
      </c>
      <c r="H694" s="326">
        <f>SUM(D680:D683)</f>
        <v>8.1300000000000008</v>
      </c>
      <c r="I694" s="327">
        <f>(SUMPRODUCT(D680:D683,E680:E683))</f>
        <v>1281110.33</v>
      </c>
      <c r="J694" s="328">
        <f>SUM(D684:D686)</f>
        <v>17.27</v>
      </c>
      <c r="K694" s="329">
        <f>(SUMPRODUCT(D684:D686,E684:E686))</f>
        <v>1752349.71</v>
      </c>
      <c r="L694" s="330"/>
      <c r="M694" s="331"/>
      <c r="N694" s="332">
        <f>+H694+J694+L694</f>
        <v>25.4</v>
      </c>
      <c r="O694" s="333">
        <f>+I694+K694+M694</f>
        <v>3033460.04</v>
      </c>
      <c r="P694" s="334">
        <f>SUM(D687:D693)</f>
        <v>338.13</v>
      </c>
      <c r="Q694" s="335">
        <f>(SUMPRODUCT(D687:D693,E687:E693))</f>
        <v>33675372.530000001</v>
      </c>
    </row>
    <row r="695" spans="1:17" ht="11.25" customHeight="1" x14ac:dyDescent="0.15">
      <c r="A695" s="309" t="s">
        <v>161</v>
      </c>
      <c r="B695" s="337" t="s">
        <v>322</v>
      </c>
      <c r="C695" s="338"/>
      <c r="D695" s="339"/>
      <c r="E695" s="340"/>
      <c r="F695" s="310"/>
      <c r="G695" s="311"/>
      <c r="H695" s="312"/>
      <c r="I695" s="313"/>
      <c r="J695" s="314"/>
      <c r="K695" s="315"/>
      <c r="L695" s="316"/>
      <c r="M695" s="317"/>
      <c r="N695" s="318"/>
      <c r="O695" s="319"/>
      <c r="P695" s="320"/>
      <c r="Q695" s="321"/>
    </row>
    <row r="696" spans="1:17" ht="11.25" customHeight="1" x14ac:dyDescent="0.15">
      <c r="A696" s="309"/>
      <c r="B696" s="322" t="s">
        <v>435</v>
      </c>
      <c r="C696" s="12" t="s">
        <v>110</v>
      </c>
      <c r="D696" s="14">
        <v>0.21</v>
      </c>
      <c r="E696" s="13">
        <v>39349</v>
      </c>
      <c r="F696" s="310"/>
      <c r="G696" s="311"/>
      <c r="H696" s="312"/>
      <c r="I696" s="313"/>
      <c r="J696" s="314"/>
      <c r="K696" s="315"/>
      <c r="L696" s="316"/>
      <c r="M696" s="317"/>
      <c r="N696" s="318"/>
      <c r="O696" s="319"/>
      <c r="P696" s="320"/>
      <c r="Q696" s="321"/>
    </row>
    <row r="697" spans="1:17" ht="11.25" customHeight="1" x14ac:dyDescent="0.15">
      <c r="A697" s="309"/>
      <c r="B697" s="322" t="s">
        <v>440</v>
      </c>
      <c r="C697" s="12" t="s">
        <v>115</v>
      </c>
      <c r="D697" s="14">
        <v>1.81</v>
      </c>
      <c r="E697" s="13">
        <v>27584</v>
      </c>
      <c r="F697" s="310"/>
      <c r="G697" s="311"/>
      <c r="H697" s="312"/>
      <c r="I697" s="313"/>
      <c r="J697" s="314"/>
      <c r="K697" s="315"/>
      <c r="L697" s="316"/>
      <c r="M697" s="317"/>
      <c r="N697" s="318"/>
      <c r="O697" s="319"/>
      <c r="P697" s="320"/>
      <c r="Q697" s="321"/>
    </row>
    <row r="698" spans="1:17" ht="11.25" customHeight="1" x14ac:dyDescent="0.25">
      <c r="A698" s="264"/>
      <c r="B698" s="323"/>
      <c r="C698" s="264"/>
      <c r="D698" s="132"/>
      <c r="E698" s="98"/>
      <c r="F698" s="324"/>
      <c r="G698" s="325"/>
      <c r="H698" s="312"/>
      <c r="I698" s="313"/>
      <c r="J698" s="328"/>
      <c r="K698" s="329"/>
      <c r="L698" s="316"/>
      <c r="M698" s="317"/>
      <c r="N698" s="318"/>
      <c r="O698" s="319"/>
      <c r="P698" s="334">
        <f>SUM(D696:D697)</f>
        <v>2.02</v>
      </c>
      <c r="Q698" s="335">
        <f>(SUMPRODUCT(D696:D697,E696:E697))</f>
        <v>58190.33</v>
      </c>
    </row>
    <row r="699" spans="1:17" ht="11.25" customHeight="1" x14ac:dyDescent="0.15">
      <c r="A699" s="338" t="s">
        <v>162</v>
      </c>
      <c r="B699" s="338" t="s">
        <v>162</v>
      </c>
      <c r="C699" s="338" t="s">
        <v>163</v>
      </c>
      <c r="D699" s="339">
        <f>SUM(D6:D698)</f>
        <v>122520.53</v>
      </c>
      <c r="E699" s="340"/>
      <c r="F699" s="348" t="s">
        <v>125</v>
      </c>
      <c r="G699" s="349"/>
      <c r="H699" s="350" t="s">
        <v>126</v>
      </c>
      <c r="I699" s="349"/>
      <c r="J699" s="351" t="s">
        <v>127</v>
      </c>
      <c r="K699" s="352"/>
      <c r="L699" s="353" t="s">
        <v>128</v>
      </c>
      <c r="M699" s="304"/>
      <c r="N699" s="354" t="s">
        <v>129</v>
      </c>
      <c r="O699" s="355"/>
      <c r="P699" s="356" t="s">
        <v>130</v>
      </c>
      <c r="Q699" s="357"/>
    </row>
    <row r="700" spans="1:17" ht="11.25" customHeight="1" thickBot="1" x14ac:dyDescent="0.3">
      <c r="A700" s="264"/>
      <c r="B700" s="323"/>
      <c r="C700" s="339"/>
      <c r="D700" s="132"/>
      <c r="E700" s="98"/>
      <c r="F700" s="358"/>
      <c r="G700" s="349"/>
      <c r="H700" s="358"/>
      <c r="I700" s="349"/>
      <c r="J700" s="359"/>
      <c r="K700" s="352"/>
      <c r="L700" s="303"/>
      <c r="M700" s="304"/>
      <c r="N700" s="354"/>
      <c r="O700" s="355"/>
      <c r="P700" s="360"/>
      <c r="Q700" s="357"/>
    </row>
    <row r="701" spans="1:17" ht="11.25" customHeight="1" thickBot="1" x14ac:dyDescent="0.3">
      <c r="A701" s="264"/>
      <c r="B701" s="264"/>
      <c r="C701" s="339"/>
      <c r="D701" s="339"/>
      <c r="E701" s="340"/>
      <c r="F701" s="361">
        <f t="shared" ref="F701:Q701" si="0">SUM(F6:F698)</f>
        <v>77777.489999999991</v>
      </c>
      <c r="G701" s="362">
        <f t="shared" si="0"/>
        <v>6306338559.2900009</v>
      </c>
      <c r="H701" s="363">
        <f t="shared" si="0"/>
        <v>4972.1100000000006</v>
      </c>
      <c r="I701" s="364">
        <f t="shared" si="0"/>
        <v>673144695.87999952</v>
      </c>
      <c r="J701" s="365">
        <f t="shared" si="0"/>
        <v>72586.679999999978</v>
      </c>
      <c r="K701" s="315">
        <f t="shared" si="0"/>
        <v>5614500524.0900011</v>
      </c>
      <c r="L701" s="366">
        <f t="shared" si="0"/>
        <v>218.70000000000002</v>
      </c>
      <c r="M701" s="317">
        <f t="shared" si="0"/>
        <v>18701035.32</v>
      </c>
      <c r="N701" s="367">
        <f t="shared" si="0"/>
        <v>77777.489999999991</v>
      </c>
      <c r="O701" s="319">
        <f t="shared" si="0"/>
        <v>6306346255.29</v>
      </c>
      <c r="P701" s="368">
        <f t="shared" si="0"/>
        <v>44743.039999999994</v>
      </c>
      <c r="Q701" s="321">
        <f t="shared" si="0"/>
        <v>2392129259.4300003</v>
      </c>
    </row>
    <row r="702" spans="1:17" ht="11.25" customHeight="1" thickBot="1" x14ac:dyDescent="0.3">
      <c r="A702" s="264"/>
      <c r="B702" s="264"/>
      <c r="C702" s="339"/>
      <c r="D702" s="132"/>
      <c r="E702" s="98"/>
      <c r="F702" s="369"/>
      <c r="G702" s="370">
        <f>G701/F701</f>
        <v>81081.795764944356</v>
      </c>
      <c r="H702" s="369"/>
      <c r="I702" s="371">
        <f>I701/H701</f>
        <v>135384.11175134892</v>
      </c>
      <c r="J702" s="369"/>
      <c r="K702" s="372">
        <f>K701/J701</f>
        <v>77348.90925015448</v>
      </c>
      <c r="L702" s="373"/>
      <c r="M702" s="374">
        <f>M701/L701</f>
        <v>85509.992318244171</v>
      </c>
      <c r="N702" s="375"/>
      <c r="O702" s="376">
        <f>O701/N701</f>
        <v>81081.894713881877</v>
      </c>
      <c r="P702" s="377"/>
      <c r="Q702" s="378">
        <f>Q701/P701</f>
        <v>53463.717696204832</v>
      </c>
    </row>
    <row r="703" spans="1:17" ht="11.25" customHeight="1" x14ac:dyDescent="0.25">
      <c r="A703" s="265"/>
      <c r="B703" s="264"/>
      <c r="C703" s="264"/>
      <c r="D703" s="132"/>
      <c r="E703" s="98"/>
      <c r="F703" s="342"/>
      <c r="G703" s="325"/>
      <c r="H703" s="379"/>
      <c r="I703" s="380"/>
      <c r="J703" s="314"/>
      <c r="K703" s="329"/>
      <c r="L703" s="314"/>
      <c r="M703" s="331"/>
      <c r="N703" s="314"/>
      <c r="O703" s="333"/>
      <c r="P703" s="320"/>
      <c r="Q703" s="335"/>
    </row>
    <row r="704" spans="1:17" ht="11.25" customHeight="1" x14ac:dyDescent="0.25">
      <c r="A704" s="264"/>
      <c r="B704" s="264"/>
      <c r="C704" s="381" t="s">
        <v>181</v>
      </c>
      <c r="D704" s="339"/>
      <c r="E704" s="340"/>
      <c r="F704" s="382">
        <f>Table3WS1!D32</f>
        <v>77777.349999999991</v>
      </c>
      <c r="G704" s="383">
        <f>Table3WS1!F32</f>
        <v>81081.834554532921</v>
      </c>
      <c r="H704" s="382">
        <f>Table3WS1!K9</f>
        <v>4972.07</v>
      </c>
      <c r="I704" s="383">
        <f>Table3WS1!K10</f>
        <v>135384.02465572691</v>
      </c>
      <c r="J704" s="382">
        <f>Table3WS1!K24</f>
        <v>72586.59</v>
      </c>
      <c r="K704" s="384">
        <f>Table3WS1!K25</f>
        <v>77348.981818955814</v>
      </c>
      <c r="L704" s="382">
        <f>Table3WS1!G30</f>
        <v>218.68999999999997</v>
      </c>
      <c r="M704" s="384">
        <f>Table3WS1!H30</f>
        <v>85475.088527138883</v>
      </c>
      <c r="N704" s="382"/>
      <c r="O704" s="384"/>
      <c r="P704" s="382">
        <f>Table3WS1!D47</f>
        <v>44743.090000000004</v>
      </c>
      <c r="Q704" s="384">
        <f>Table3WS1!F47</f>
        <v>53463.741311563419</v>
      </c>
    </row>
    <row r="705" spans="1:17" ht="11.25" customHeight="1" x14ac:dyDescent="0.25">
      <c r="A705" s="264"/>
      <c r="B705" s="264"/>
      <c r="C705" s="385" t="s">
        <v>177</v>
      </c>
      <c r="D705" s="339"/>
      <c r="E705" s="340"/>
      <c r="F705" s="386">
        <f>Table2!J67</f>
        <v>77777.350000000006</v>
      </c>
      <c r="G705" s="387">
        <f>Table2!K67</f>
        <v>81082</v>
      </c>
      <c r="H705" s="386">
        <f>Table2!B67+Table2!D67</f>
        <v>4972.07</v>
      </c>
      <c r="I705" s="387">
        <f>((Table2!B67*Table2!C67)+(Table2!D67*Table2!E67))/H705</f>
        <v>135384.02465572688</v>
      </c>
      <c r="J705" s="386">
        <f>Table2!F67+Table2!H67</f>
        <v>72586.59</v>
      </c>
      <c r="K705" s="387">
        <f>((Table2!F67*Table2!G67)+(Table2!H67*Table2!I67))/J705</f>
        <v>77348.981818955814</v>
      </c>
      <c r="L705" s="382"/>
      <c r="M705" s="388"/>
      <c r="N705" s="382"/>
      <c r="O705" s="388"/>
      <c r="P705" s="386">
        <f>Table2!L67</f>
        <v>44743.09</v>
      </c>
      <c r="Q705" s="387">
        <f>Table2!M67</f>
        <v>53464</v>
      </c>
    </row>
    <row r="706" spans="1:17" ht="11.25" customHeight="1" thickBot="1" x14ac:dyDescent="0.3">
      <c r="A706" s="264"/>
      <c r="B706" s="264"/>
      <c r="C706" s="264"/>
      <c r="D706" s="132"/>
      <c r="E706" s="98"/>
      <c r="F706" s="389">
        <f>F701-F705</f>
        <v>0.13999999998486601</v>
      </c>
      <c r="G706" s="390"/>
      <c r="H706" s="389">
        <f>H701-H705</f>
        <v>4.0000000000873115E-2</v>
      </c>
      <c r="I706" s="391"/>
      <c r="J706" s="389">
        <f>J701-J705</f>
        <v>8.9999999981955625E-2</v>
      </c>
      <c r="K706" s="391"/>
      <c r="L706" s="389"/>
      <c r="M706" s="391"/>
      <c r="N706" s="389"/>
      <c r="O706" s="392"/>
      <c r="P706" s="389">
        <f>P701-P705</f>
        <v>-5.0000000002910383E-2</v>
      </c>
      <c r="Q706" s="393"/>
    </row>
    <row r="707" spans="1:17" ht="11.25" customHeight="1" x14ac:dyDescent="0.25">
      <c r="A707" s="264"/>
      <c r="B707" s="264"/>
      <c r="C707" s="264"/>
      <c r="D707" s="132"/>
      <c r="E707" s="98"/>
      <c r="F707" s="394"/>
      <c r="G707" s="395"/>
      <c r="H707" s="394"/>
      <c r="I707" s="395"/>
      <c r="J707" s="394"/>
      <c r="K707" s="395"/>
      <c r="L707" s="396"/>
      <c r="M707" s="397"/>
      <c r="N707" s="398" t="s">
        <v>183</v>
      </c>
      <c r="O707" s="399"/>
      <c r="P707" s="394"/>
      <c r="Q707" s="395"/>
    </row>
    <row r="708" spans="1:17" ht="11.25" customHeight="1" x14ac:dyDescent="0.25">
      <c r="A708" s="264"/>
      <c r="B708" s="264"/>
      <c r="C708" s="264"/>
      <c r="D708" s="132"/>
      <c r="E708" s="98"/>
      <c r="F708" s="394"/>
      <c r="G708" s="395"/>
      <c r="H708" s="394"/>
      <c r="I708" s="395"/>
      <c r="J708" s="394"/>
      <c r="K708" s="395"/>
      <c r="L708" s="396"/>
      <c r="M708" s="397"/>
      <c r="N708" s="400" t="s">
        <v>184</v>
      </c>
      <c r="O708" s="401">
        <f>N701+P701</f>
        <v>122520.52999999998</v>
      </c>
      <c r="P708" s="394"/>
      <c r="Q708" s="395"/>
    </row>
    <row r="709" spans="1:17" ht="11.25" customHeight="1" x14ac:dyDescent="0.25">
      <c r="A709" s="264"/>
      <c r="B709" s="264"/>
      <c r="C709" s="264"/>
      <c r="D709" s="264"/>
      <c r="E709" s="264"/>
      <c r="F709" s="394"/>
      <c r="G709" s="395"/>
      <c r="H709" s="394"/>
      <c r="I709" s="395"/>
      <c r="J709" s="394"/>
      <c r="K709" s="395"/>
      <c r="L709" s="394"/>
      <c r="M709" s="397"/>
      <c r="N709" s="400" t="s">
        <v>182</v>
      </c>
      <c r="O709" s="401">
        <f>D699</f>
        <v>122520.53</v>
      </c>
      <c r="P709" s="394"/>
      <c r="Q709" s="395"/>
    </row>
    <row r="710" spans="1:17" ht="11.25" customHeight="1" thickBot="1" x14ac:dyDescent="0.3">
      <c r="A710" s="402"/>
      <c r="B710" s="265"/>
      <c r="C710" s="264"/>
      <c r="D710" s="264"/>
      <c r="E710" s="264"/>
      <c r="F710" s="394"/>
      <c r="G710" s="395"/>
      <c r="H710" s="394"/>
      <c r="I710" s="395"/>
      <c r="J710" s="394"/>
      <c r="K710" s="395"/>
      <c r="L710" s="394"/>
      <c r="M710" s="397"/>
      <c r="N710" s="403"/>
      <c r="O710" s="404">
        <v>0</v>
      </c>
      <c r="P710" s="394"/>
      <c r="Q710" s="395"/>
    </row>
    <row r="711" spans="1:17" ht="11.25" customHeight="1" thickBot="1" x14ac:dyDescent="0.3">
      <c r="A711" s="402"/>
      <c r="B711" s="265"/>
      <c r="C711" s="264"/>
      <c r="D711" s="264"/>
      <c r="E711" s="264"/>
      <c r="F711" s="394"/>
      <c r="G711" s="395"/>
      <c r="H711" s="394"/>
      <c r="I711" s="395"/>
      <c r="J711" s="394"/>
      <c r="K711" s="395"/>
      <c r="L711" s="394"/>
      <c r="M711" s="397"/>
      <c r="N711" s="405"/>
      <c r="O711" s="406"/>
      <c r="P711" s="394"/>
      <c r="Q711" s="395"/>
    </row>
    <row r="712" spans="1:17" ht="11.25" customHeight="1" thickTop="1" x14ac:dyDescent="0.25">
      <c r="A712" s="402"/>
      <c r="B712" s="265"/>
      <c r="C712" s="407"/>
      <c r="D712" s="408" t="s">
        <v>185</v>
      </c>
      <c r="E712" s="409"/>
      <c r="F712" s="410"/>
      <c r="G712" s="411"/>
      <c r="H712" s="410"/>
      <c r="I712" s="411"/>
      <c r="J712" s="410"/>
      <c r="K712" s="411"/>
      <c r="L712" s="410"/>
      <c r="M712" s="412"/>
      <c r="N712" s="410"/>
      <c r="O712" s="412"/>
      <c r="P712" s="410"/>
      <c r="Q712" s="413"/>
    </row>
    <row r="713" spans="1:17" ht="11.25" customHeight="1" x14ac:dyDescent="0.25">
      <c r="A713" s="402"/>
      <c r="B713" s="265"/>
      <c r="C713" s="407"/>
      <c r="D713" s="414">
        <v>38</v>
      </c>
      <c r="E713" s="415"/>
      <c r="F713" s="416">
        <f t="shared" ref="F713:Q713" si="1">F234</f>
        <v>4.66</v>
      </c>
      <c r="G713" s="417">
        <f t="shared" si="1"/>
        <v>402417.24</v>
      </c>
      <c r="H713" s="416">
        <f t="shared" si="1"/>
        <v>0</v>
      </c>
      <c r="I713" s="417">
        <f t="shared" si="1"/>
        <v>0</v>
      </c>
      <c r="J713" s="416">
        <f t="shared" si="1"/>
        <v>4.66</v>
      </c>
      <c r="K713" s="417">
        <f t="shared" si="1"/>
        <v>402417.24</v>
      </c>
      <c r="L713" s="416">
        <f t="shared" si="1"/>
        <v>0</v>
      </c>
      <c r="M713" s="417">
        <f t="shared" si="1"/>
        <v>0</v>
      </c>
      <c r="N713" s="416">
        <f t="shared" si="1"/>
        <v>4.66</v>
      </c>
      <c r="O713" s="417">
        <f t="shared" si="1"/>
        <v>402417.24</v>
      </c>
      <c r="P713" s="416">
        <f t="shared" si="1"/>
        <v>10.799999999999999</v>
      </c>
      <c r="Q713" s="418">
        <f t="shared" si="1"/>
        <v>576549.64</v>
      </c>
    </row>
    <row r="714" spans="1:17" ht="11.25" customHeight="1" x14ac:dyDescent="0.25">
      <c r="A714" s="402"/>
      <c r="B714" s="265"/>
      <c r="C714" s="407"/>
      <c r="D714" s="414">
        <v>39</v>
      </c>
      <c r="E714" s="415"/>
      <c r="F714" s="416">
        <f t="shared" ref="F714:Q714" si="2">F239</f>
        <v>0</v>
      </c>
      <c r="G714" s="417">
        <f t="shared" si="2"/>
        <v>0</v>
      </c>
      <c r="H714" s="416">
        <f t="shared" si="2"/>
        <v>0</v>
      </c>
      <c r="I714" s="417">
        <f t="shared" si="2"/>
        <v>0</v>
      </c>
      <c r="J714" s="416">
        <f t="shared" si="2"/>
        <v>0</v>
      </c>
      <c r="K714" s="417">
        <f t="shared" si="2"/>
        <v>0</v>
      </c>
      <c r="L714" s="416">
        <f t="shared" si="2"/>
        <v>0</v>
      </c>
      <c r="M714" s="417">
        <f t="shared" si="2"/>
        <v>0</v>
      </c>
      <c r="N714" s="416">
        <f t="shared" si="2"/>
        <v>0</v>
      </c>
      <c r="O714" s="417">
        <f t="shared" si="2"/>
        <v>0</v>
      </c>
      <c r="P714" s="416">
        <f t="shared" si="2"/>
        <v>2.2600000000000002</v>
      </c>
      <c r="Q714" s="418">
        <f t="shared" si="2"/>
        <v>168092.56</v>
      </c>
    </row>
    <row r="715" spans="1:17" ht="11.25" customHeight="1" x14ac:dyDescent="0.25">
      <c r="A715" s="402"/>
      <c r="B715" s="265"/>
      <c r="C715" s="407"/>
      <c r="D715" s="414">
        <v>46</v>
      </c>
      <c r="E715" s="415"/>
      <c r="F715" s="416">
        <f t="shared" ref="F715:Q715" si="3">F262</f>
        <v>0.4</v>
      </c>
      <c r="G715" s="417">
        <f t="shared" si="3"/>
        <v>35582</v>
      </c>
      <c r="H715" s="416">
        <f t="shared" si="3"/>
        <v>0</v>
      </c>
      <c r="I715" s="417">
        <f t="shared" si="3"/>
        <v>0</v>
      </c>
      <c r="J715" s="416">
        <f t="shared" si="3"/>
        <v>0.4</v>
      </c>
      <c r="K715" s="417">
        <f t="shared" si="3"/>
        <v>35582</v>
      </c>
      <c r="L715" s="416">
        <f t="shared" si="3"/>
        <v>0</v>
      </c>
      <c r="M715" s="417">
        <f t="shared" si="3"/>
        <v>0</v>
      </c>
      <c r="N715" s="416">
        <f t="shared" si="3"/>
        <v>0.4</v>
      </c>
      <c r="O715" s="417">
        <f t="shared" si="3"/>
        <v>35582</v>
      </c>
      <c r="P715" s="416">
        <f t="shared" si="3"/>
        <v>0</v>
      </c>
      <c r="Q715" s="418">
        <f t="shared" si="3"/>
        <v>0</v>
      </c>
    </row>
    <row r="716" spans="1:17" ht="11.25" customHeight="1" x14ac:dyDescent="0.25">
      <c r="A716" s="402"/>
      <c r="B716" s="265"/>
      <c r="C716" s="407"/>
      <c r="D716" s="414">
        <v>52</v>
      </c>
      <c r="E716" s="415"/>
      <c r="F716" s="416">
        <f t="shared" ref="F716:Q716" si="4">F311</f>
        <v>152.46</v>
      </c>
      <c r="G716" s="417">
        <f t="shared" si="4"/>
        <v>13531895.210000001</v>
      </c>
      <c r="H716" s="416">
        <f t="shared" si="4"/>
        <v>9.9499999999999993</v>
      </c>
      <c r="I716" s="417">
        <f t="shared" si="4"/>
        <v>1161165.78</v>
      </c>
      <c r="J716" s="416">
        <f t="shared" si="4"/>
        <v>142.30000000000001</v>
      </c>
      <c r="K716" s="417">
        <f t="shared" si="4"/>
        <v>12365645.959999999</v>
      </c>
      <c r="L716" s="416">
        <f t="shared" si="4"/>
        <v>0.21</v>
      </c>
      <c r="M716" s="417">
        <f t="shared" si="4"/>
        <v>12779.470000000001</v>
      </c>
      <c r="N716" s="416">
        <f t="shared" si="4"/>
        <v>152.46</v>
      </c>
      <c r="O716" s="417">
        <f t="shared" si="4"/>
        <v>13539591.209999999</v>
      </c>
      <c r="P716" s="416">
        <f t="shared" si="4"/>
        <v>44.76</v>
      </c>
      <c r="Q716" s="418">
        <f t="shared" si="4"/>
        <v>2347043.3000000003</v>
      </c>
    </row>
    <row r="717" spans="1:17" ht="11.25" customHeight="1" x14ac:dyDescent="0.25">
      <c r="A717" s="402"/>
      <c r="B717" s="265"/>
      <c r="C717" s="407"/>
      <c r="D717" s="414">
        <v>53</v>
      </c>
      <c r="E717" s="415"/>
      <c r="F717" s="416">
        <f t="shared" ref="F717:Q717" si="5">F331</f>
        <v>28.520000000000003</v>
      </c>
      <c r="G717" s="417">
        <f t="shared" si="5"/>
        <v>2248898.8200000003</v>
      </c>
      <c r="H717" s="416">
        <f t="shared" si="5"/>
        <v>4.93</v>
      </c>
      <c r="I717" s="417">
        <f t="shared" si="5"/>
        <v>584047.74</v>
      </c>
      <c r="J717" s="416">
        <f t="shared" si="5"/>
        <v>23.590000000000003</v>
      </c>
      <c r="K717" s="417">
        <f t="shared" si="5"/>
        <v>1664851.0799999998</v>
      </c>
      <c r="L717" s="416">
        <f t="shared" si="5"/>
        <v>0</v>
      </c>
      <c r="M717" s="417">
        <f t="shared" si="5"/>
        <v>0</v>
      </c>
      <c r="N717" s="416">
        <f t="shared" si="5"/>
        <v>28.520000000000003</v>
      </c>
      <c r="O717" s="417">
        <f t="shared" si="5"/>
        <v>2248898.8199999998</v>
      </c>
      <c r="P717" s="416">
        <f t="shared" si="5"/>
        <v>134.63</v>
      </c>
      <c r="Q717" s="418">
        <f t="shared" si="5"/>
        <v>6331877.2299999995</v>
      </c>
    </row>
    <row r="718" spans="1:17" ht="11.25" customHeight="1" x14ac:dyDescent="0.25">
      <c r="A718" s="402"/>
      <c r="B718" s="265"/>
      <c r="C718" s="407"/>
      <c r="D718" s="414">
        <v>57</v>
      </c>
      <c r="E718" s="415"/>
      <c r="F718" s="416">
        <f t="shared" ref="F718:Q718" si="6">F379</f>
        <v>4.62</v>
      </c>
      <c r="G718" s="417">
        <f t="shared" si="6"/>
        <v>320638</v>
      </c>
      <c r="H718" s="416">
        <f t="shared" si="6"/>
        <v>0.14000000000000001</v>
      </c>
      <c r="I718" s="417">
        <f t="shared" si="6"/>
        <v>16858.800000000003</v>
      </c>
      <c r="J718" s="416">
        <f t="shared" si="6"/>
        <v>4.4799999999999995</v>
      </c>
      <c r="K718" s="417">
        <f t="shared" si="6"/>
        <v>303779.20000000001</v>
      </c>
      <c r="L718" s="416">
        <f t="shared" si="6"/>
        <v>0</v>
      </c>
      <c r="M718" s="417">
        <f t="shared" si="6"/>
        <v>0</v>
      </c>
      <c r="N718" s="416">
        <f t="shared" si="6"/>
        <v>4.6199999999999992</v>
      </c>
      <c r="O718" s="417">
        <f t="shared" si="6"/>
        <v>320638</v>
      </c>
      <c r="P718" s="416">
        <f t="shared" si="6"/>
        <v>13.29</v>
      </c>
      <c r="Q718" s="418">
        <f t="shared" si="6"/>
        <v>679415.9</v>
      </c>
    </row>
    <row r="719" spans="1:17" ht="11.25" customHeight="1" x14ac:dyDescent="0.25">
      <c r="A719" s="402"/>
      <c r="B719" s="265"/>
      <c r="C719" s="264"/>
      <c r="D719" s="414">
        <v>58</v>
      </c>
      <c r="E719" s="415"/>
      <c r="F719" s="416">
        <f t="shared" ref="F719:Q719" si="7">F403</f>
        <v>41.03</v>
      </c>
      <c r="G719" s="417">
        <f t="shared" si="7"/>
        <v>3768425.25</v>
      </c>
      <c r="H719" s="416">
        <f t="shared" si="7"/>
        <v>4.75</v>
      </c>
      <c r="I719" s="417">
        <f t="shared" si="7"/>
        <v>692594.39</v>
      </c>
      <c r="J719" s="416">
        <f t="shared" si="7"/>
        <v>36.28</v>
      </c>
      <c r="K719" s="417">
        <f t="shared" si="7"/>
        <v>3075830.8600000003</v>
      </c>
      <c r="L719" s="416">
        <f t="shared" si="7"/>
        <v>0</v>
      </c>
      <c r="M719" s="417">
        <f t="shared" si="7"/>
        <v>0</v>
      </c>
      <c r="N719" s="416">
        <f t="shared" si="7"/>
        <v>41.03</v>
      </c>
      <c r="O719" s="417">
        <f t="shared" si="7"/>
        <v>3768425.2500000005</v>
      </c>
      <c r="P719" s="416">
        <f t="shared" si="7"/>
        <v>74.259999999999991</v>
      </c>
      <c r="Q719" s="418">
        <f t="shared" si="7"/>
        <v>3432387.5999999996</v>
      </c>
    </row>
    <row r="720" spans="1:17" ht="11.25" customHeight="1" x14ac:dyDescent="0.25">
      <c r="A720" s="402"/>
      <c r="B720" s="265"/>
      <c r="C720" s="264"/>
      <c r="D720" s="414">
        <v>61</v>
      </c>
      <c r="E720" s="415"/>
      <c r="F720" s="416">
        <f t="shared" ref="F720:Q720" si="8">F421</f>
        <v>10.91</v>
      </c>
      <c r="G720" s="417">
        <f t="shared" si="8"/>
        <v>862938.42999999993</v>
      </c>
      <c r="H720" s="416">
        <f t="shared" si="8"/>
        <v>0.71</v>
      </c>
      <c r="I720" s="417">
        <f t="shared" si="8"/>
        <v>85302.23000000001</v>
      </c>
      <c r="J720" s="416">
        <f t="shared" si="8"/>
        <v>10.199999999999999</v>
      </c>
      <c r="K720" s="417">
        <f t="shared" si="8"/>
        <v>777636.2</v>
      </c>
      <c r="L720" s="416">
        <f t="shared" si="8"/>
        <v>0</v>
      </c>
      <c r="M720" s="417">
        <f t="shared" si="8"/>
        <v>0</v>
      </c>
      <c r="N720" s="416">
        <f t="shared" si="8"/>
        <v>10.91</v>
      </c>
      <c r="O720" s="417">
        <f t="shared" si="8"/>
        <v>862938.42999999993</v>
      </c>
      <c r="P720" s="416">
        <f t="shared" si="8"/>
        <v>176.66</v>
      </c>
      <c r="Q720" s="418">
        <f t="shared" si="8"/>
        <v>9931761.5999999996</v>
      </c>
    </row>
    <row r="721" spans="1:17" ht="11.25" customHeight="1" x14ac:dyDescent="0.25">
      <c r="A721" s="402"/>
      <c r="B721" s="265"/>
      <c r="C721" s="264"/>
      <c r="D721" s="414">
        <v>62</v>
      </c>
      <c r="E721" s="415"/>
      <c r="F721" s="416">
        <f t="shared" ref="F721:Q721" si="9">F425</f>
        <v>0.25</v>
      </c>
      <c r="G721" s="417">
        <f t="shared" si="9"/>
        <v>35906</v>
      </c>
      <c r="H721" s="416">
        <f t="shared" si="9"/>
        <v>0.25</v>
      </c>
      <c r="I721" s="417">
        <f t="shared" si="9"/>
        <v>35906</v>
      </c>
      <c r="J721" s="416">
        <f t="shared" si="9"/>
        <v>0</v>
      </c>
      <c r="K721" s="417">
        <f t="shared" si="9"/>
        <v>0</v>
      </c>
      <c r="L721" s="416">
        <f t="shared" si="9"/>
        <v>0</v>
      </c>
      <c r="M721" s="417">
        <f t="shared" si="9"/>
        <v>0</v>
      </c>
      <c r="N721" s="416">
        <f t="shared" si="9"/>
        <v>0.25</v>
      </c>
      <c r="O721" s="417">
        <f t="shared" si="9"/>
        <v>35906</v>
      </c>
      <c r="P721" s="416">
        <f t="shared" si="9"/>
        <v>0.21</v>
      </c>
      <c r="Q721" s="418">
        <f t="shared" si="9"/>
        <v>8110.41</v>
      </c>
    </row>
    <row r="722" spans="1:17" ht="11.25" customHeight="1" x14ac:dyDescent="0.25">
      <c r="A722" s="402"/>
      <c r="B722" s="265"/>
      <c r="C722" s="264"/>
      <c r="D722" s="414">
        <v>64</v>
      </c>
      <c r="E722" s="415"/>
      <c r="F722" s="416">
        <f t="shared" ref="F722:Q722" si="10">F441</f>
        <v>54.99</v>
      </c>
      <c r="G722" s="417">
        <f t="shared" si="10"/>
        <v>4843436.5300000012</v>
      </c>
      <c r="H722" s="416">
        <f t="shared" si="10"/>
        <v>0.49</v>
      </c>
      <c r="I722" s="417">
        <f t="shared" si="10"/>
        <v>63608.649999999994</v>
      </c>
      <c r="J722" s="416">
        <f t="shared" si="10"/>
        <v>54.5</v>
      </c>
      <c r="K722" s="417">
        <f t="shared" si="10"/>
        <v>4779827.8800000008</v>
      </c>
      <c r="L722" s="416">
        <f t="shared" si="10"/>
        <v>0</v>
      </c>
      <c r="M722" s="417">
        <f t="shared" si="10"/>
        <v>0</v>
      </c>
      <c r="N722" s="416">
        <f t="shared" si="10"/>
        <v>54.99</v>
      </c>
      <c r="O722" s="417">
        <f t="shared" si="10"/>
        <v>4843436.5300000012</v>
      </c>
      <c r="P722" s="416">
        <f t="shared" si="10"/>
        <v>12.35</v>
      </c>
      <c r="Q722" s="418">
        <f t="shared" si="10"/>
        <v>584125.69999999995</v>
      </c>
    </row>
    <row r="723" spans="1:17" ht="11.25" customHeight="1" x14ac:dyDescent="0.25">
      <c r="A723" s="402"/>
      <c r="B723" s="265"/>
      <c r="C723" s="264"/>
      <c r="D723" s="414">
        <v>67</v>
      </c>
      <c r="E723" s="415"/>
      <c r="F723" s="416">
        <f t="shared" ref="F723:Q723" si="11">F466</f>
        <v>1</v>
      </c>
      <c r="G723" s="417">
        <f t="shared" si="11"/>
        <v>95791</v>
      </c>
      <c r="H723" s="416">
        <f t="shared" si="11"/>
        <v>0</v>
      </c>
      <c r="I723" s="417">
        <f t="shared" si="11"/>
        <v>0</v>
      </c>
      <c r="J723" s="416">
        <f t="shared" si="11"/>
        <v>1</v>
      </c>
      <c r="K723" s="417">
        <f t="shared" si="11"/>
        <v>95791</v>
      </c>
      <c r="L723" s="416">
        <f t="shared" si="11"/>
        <v>0</v>
      </c>
      <c r="M723" s="417">
        <f t="shared" si="11"/>
        <v>0</v>
      </c>
      <c r="N723" s="416">
        <f t="shared" si="11"/>
        <v>1</v>
      </c>
      <c r="O723" s="417">
        <f t="shared" si="11"/>
        <v>95791</v>
      </c>
      <c r="P723" s="416">
        <f t="shared" si="11"/>
        <v>0.47</v>
      </c>
      <c r="Q723" s="418">
        <f t="shared" si="11"/>
        <v>18326.47</v>
      </c>
    </row>
    <row r="724" spans="1:17" ht="11.25" customHeight="1" x14ac:dyDescent="0.25">
      <c r="A724" s="402"/>
      <c r="B724" s="265"/>
      <c r="C724" s="264"/>
      <c r="D724" s="414">
        <v>68</v>
      </c>
      <c r="E724" s="415"/>
      <c r="F724" s="416">
        <f t="shared" ref="F724:Q724" si="12">F481</f>
        <v>18.41</v>
      </c>
      <c r="G724" s="417">
        <f t="shared" si="12"/>
        <v>1512912.9</v>
      </c>
      <c r="H724" s="416">
        <f t="shared" si="12"/>
        <v>2.3899999999999997</v>
      </c>
      <c r="I724" s="417">
        <f t="shared" si="12"/>
        <v>280592.3</v>
      </c>
      <c r="J724" s="416">
        <f t="shared" si="12"/>
        <v>16.02</v>
      </c>
      <c r="K724" s="417">
        <f t="shared" si="12"/>
        <v>1232320.6000000001</v>
      </c>
      <c r="L724" s="416">
        <f t="shared" si="12"/>
        <v>0</v>
      </c>
      <c r="M724" s="417">
        <f t="shared" si="12"/>
        <v>0</v>
      </c>
      <c r="N724" s="416">
        <f t="shared" si="12"/>
        <v>18.41</v>
      </c>
      <c r="O724" s="417">
        <f t="shared" si="12"/>
        <v>1512912.9000000001</v>
      </c>
      <c r="P724" s="416">
        <f t="shared" si="12"/>
        <v>55.54999999999999</v>
      </c>
      <c r="Q724" s="418">
        <f t="shared" si="12"/>
        <v>2938420.1099999994</v>
      </c>
    </row>
    <row r="725" spans="1:17" ht="11.25" customHeight="1" x14ac:dyDescent="0.25">
      <c r="A725" s="402"/>
      <c r="B725" s="265"/>
      <c r="C725" s="264"/>
      <c r="D725" s="414">
        <v>69</v>
      </c>
      <c r="E725" s="415"/>
      <c r="F725" s="416">
        <f t="shared" ref="F725:Q725" si="13">F496</f>
        <v>14.04</v>
      </c>
      <c r="G725" s="417">
        <f t="shared" si="13"/>
        <v>983367.45000000007</v>
      </c>
      <c r="H725" s="416">
        <f t="shared" si="13"/>
        <v>0.64</v>
      </c>
      <c r="I725" s="417">
        <f t="shared" si="13"/>
        <v>74205.14</v>
      </c>
      <c r="J725" s="416">
        <f t="shared" si="13"/>
        <v>13.4</v>
      </c>
      <c r="K725" s="417">
        <f t="shared" si="13"/>
        <v>909162.31</v>
      </c>
      <c r="L725" s="416">
        <f t="shared" si="13"/>
        <v>0</v>
      </c>
      <c r="M725" s="417">
        <f t="shared" si="13"/>
        <v>0</v>
      </c>
      <c r="N725" s="416">
        <f t="shared" si="13"/>
        <v>14.040000000000001</v>
      </c>
      <c r="O725" s="417">
        <f t="shared" si="13"/>
        <v>983367.45000000007</v>
      </c>
      <c r="P725" s="416">
        <f t="shared" si="13"/>
        <v>51.21</v>
      </c>
      <c r="Q725" s="418">
        <f t="shared" si="13"/>
        <v>3611297.25</v>
      </c>
    </row>
    <row r="726" spans="1:17" ht="11.25" customHeight="1" x14ac:dyDescent="0.25">
      <c r="A726" s="402"/>
      <c r="B726" s="265"/>
      <c r="C726" s="264"/>
      <c r="D726" s="414">
        <v>71</v>
      </c>
      <c r="E726" s="415"/>
      <c r="F726" s="416">
        <f t="shared" ref="F726:Q726" si="14">F500</f>
        <v>0.89</v>
      </c>
      <c r="G726" s="417">
        <f t="shared" si="14"/>
        <v>66547.08</v>
      </c>
      <c r="H726" s="416">
        <f t="shared" si="14"/>
        <v>0</v>
      </c>
      <c r="I726" s="417">
        <f t="shared" si="14"/>
        <v>0</v>
      </c>
      <c r="J726" s="416">
        <f t="shared" si="14"/>
        <v>0.89</v>
      </c>
      <c r="K726" s="417">
        <f t="shared" si="14"/>
        <v>66547.08</v>
      </c>
      <c r="L726" s="416">
        <f t="shared" si="14"/>
        <v>0</v>
      </c>
      <c r="M726" s="417">
        <f t="shared" si="14"/>
        <v>0</v>
      </c>
      <c r="N726" s="416">
        <f t="shared" si="14"/>
        <v>0.89</v>
      </c>
      <c r="O726" s="417">
        <f t="shared" si="14"/>
        <v>66547.08</v>
      </c>
      <c r="P726" s="416">
        <f t="shared" si="14"/>
        <v>0.98</v>
      </c>
      <c r="Q726" s="418">
        <f t="shared" si="14"/>
        <v>59991.68</v>
      </c>
    </row>
    <row r="727" spans="1:17" ht="11.25" customHeight="1" x14ac:dyDescent="0.25">
      <c r="A727" s="402"/>
      <c r="B727" s="265"/>
      <c r="C727" s="264"/>
      <c r="D727" s="414">
        <v>73</v>
      </c>
      <c r="E727" s="415"/>
      <c r="F727" s="416">
        <f t="shared" ref="F727:Q727" si="15">F508</f>
        <v>0.2</v>
      </c>
      <c r="G727" s="417">
        <f t="shared" si="15"/>
        <v>19787</v>
      </c>
      <c r="H727" s="416">
        <f t="shared" si="15"/>
        <v>0</v>
      </c>
      <c r="I727" s="417">
        <f t="shared" si="15"/>
        <v>0</v>
      </c>
      <c r="J727" s="416">
        <f t="shared" si="15"/>
        <v>0.2</v>
      </c>
      <c r="K727" s="417">
        <f t="shared" si="15"/>
        <v>19787</v>
      </c>
      <c r="L727" s="416">
        <f t="shared" si="15"/>
        <v>0</v>
      </c>
      <c r="M727" s="417">
        <f t="shared" si="15"/>
        <v>0</v>
      </c>
      <c r="N727" s="416">
        <f t="shared" si="15"/>
        <v>0.2</v>
      </c>
      <c r="O727" s="417">
        <f t="shared" si="15"/>
        <v>19787</v>
      </c>
      <c r="P727" s="416">
        <f t="shared" si="15"/>
        <v>0.48</v>
      </c>
      <c r="Q727" s="418">
        <f t="shared" si="15"/>
        <v>28236</v>
      </c>
    </row>
    <row r="728" spans="1:17" ht="11.25" customHeight="1" x14ac:dyDescent="0.25">
      <c r="A728" s="402"/>
      <c r="B728" s="265"/>
      <c r="C728" s="264"/>
      <c r="D728" s="414">
        <v>75</v>
      </c>
      <c r="E728" s="415"/>
      <c r="F728" s="416">
        <f t="shared" ref="F728:Q728" si="16">F528</f>
        <v>0</v>
      </c>
      <c r="G728" s="417">
        <f t="shared" si="16"/>
        <v>0</v>
      </c>
      <c r="H728" s="416">
        <f t="shared" si="16"/>
        <v>0</v>
      </c>
      <c r="I728" s="417">
        <f t="shared" si="16"/>
        <v>0</v>
      </c>
      <c r="J728" s="416">
        <f t="shared" si="16"/>
        <v>0</v>
      </c>
      <c r="K728" s="417">
        <f t="shared" si="16"/>
        <v>0</v>
      </c>
      <c r="L728" s="416">
        <f t="shared" si="16"/>
        <v>0</v>
      </c>
      <c r="M728" s="417">
        <f t="shared" si="16"/>
        <v>0</v>
      </c>
      <c r="N728" s="416">
        <f t="shared" si="16"/>
        <v>0</v>
      </c>
      <c r="O728" s="417">
        <f t="shared" si="16"/>
        <v>0</v>
      </c>
      <c r="P728" s="416">
        <f t="shared" si="16"/>
        <v>2.5</v>
      </c>
      <c r="Q728" s="418">
        <f t="shared" si="16"/>
        <v>198971</v>
      </c>
    </row>
    <row r="729" spans="1:17" ht="11.25" customHeight="1" x14ac:dyDescent="0.25">
      <c r="A729" s="402"/>
      <c r="B729" s="265"/>
      <c r="C729" s="264"/>
      <c r="D729" s="414">
        <v>76</v>
      </c>
      <c r="E729" s="415"/>
      <c r="F729" s="416">
        <f t="shared" ref="F729:Q729" si="17">F536</f>
        <v>1.84</v>
      </c>
      <c r="G729" s="417">
        <f t="shared" si="17"/>
        <v>128971.56</v>
      </c>
      <c r="H729" s="416">
        <f t="shared" si="17"/>
        <v>1.5</v>
      </c>
      <c r="I729" s="417">
        <f t="shared" si="17"/>
        <v>100816.5</v>
      </c>
      <c r="J729" s="416">
        <f t="shared" si="17"/>
        <v>0.34</v>
      </c>
      <c r="K729" s="417">
        <f t="shared" si="17"/>
        <v>28155.06</v>
      </c>
      <c r="L729" s="416">
        <f t="shared" si="17"/>
        <v>0</v>
      </c>
      <c r="M729" s="417">
        <f t="shared" si="17"/>
        <v>0</v>
      </c>
      <c r="N729" s="416">
        <f t="shared" si="17"/>
        <v>1.84</v>
      </c>
      <c r="O729" s="417">
        <f t="shared" si="17"/>
        <v>128971.56</v>
      </c>
      <c r="P729" s="416">
        <f t="shared" si="17"/>
        <v>2.25</v>
      </c>
      <c r="Q729" s="418">
        <f t="shared" si="17"/>
        <v>119369.45</v>
      </c>
    </row>
    <row r="730" spans="1:17" ht="11.25" customHeight="1" x14ac:dyDescent="0.25">
      <c r="A730" s="402"/>
      <c r="B730" s="265"/>
      <c r="C730" s="264"/>
      <c r="D730" s="414">
        <v>78</v>
      </c>
      <c r="E730" s="415"/>
      <c r="F730" s="416">
        <f t="shared" ref="F730:Q730" si="18">F541</f>
        <v>1</v>
      </c>
      <c r="G730" s="417">
        <f t="shared" si="18"/>
        <v>77723</v>
      </c>
      <c r="H730" s="416">
        <f t="shared" si="18"/>
        <v>0</v>
      </c>
      <c r="I730" s="417">
        <f t="shared" si="18"/>
        <v>0</v>
      </c>
      <c r="J730" s="416">
        <f t="shared" si="18"/>
        <v>1</v>
      </c>
      <c r="K730" s="417">
        <f t="shared" si="18"/>
        <v>77723</v>
      </c>
      <c r="L730" s="416">
        <f t="shared" si="18"/>
        <v>0</v>
      </c>
      <c r="M730" s="417">
        <f t="shared" si="18"/>
        <v>0</v>
      </c>
      <c r="N730" s="416">
        <f t="shared" si="18"/>
        <v>1</v>
      </c>
      <c r="O730" s="417">
        <f t="shared" si="18"/>
        <v>77723</v>
      </c>
      <c r="P730" s="416">
        <f t="shared" si="18"/>
        <v>2</v>
      </c>
      <c r="Q730" s="418">
        <f t="shared" si="18"/>
        <v>89675</v>
      </c>
    </row>
    <row r="731" spans="1:17" ht="11.25" customHeight="1" x14ac:dyDescent="0.25">
      <c r="A731" s="402"/>
      <c r="B731" s="265"/>
      <c r="C731" s="264"/>
      <c r="D731" s="414">
        <v>79</v>
      </c>
      <c r="E731" s="415"/>
      <c r="F731" s="416">
        <f t="shared" ref="F731:Q731" si="19">F571</f>
        <v>236.98000000000002</v>
      </c>
      <c r="G731" s="417">
        <f t="shared" si="19"/>
        <v>18573584.099999998</v>
      </c>
      <c r="H731" s="416">
        <f t="shared" si="19"/>
        <v>14.82</v>
      </c>
      <c r="I731" s="417">
        <f t="shared" si="19"/>
        <v>1752908.46</v>
      </c>
      <c r="J731" s="416">
        <f t="shared" si="19"/>
        <v>207.76000000000002</v>
      </c>
      <c r="K731" s="417">
        <f t="shared" si="19"/>
        <v>15407225.839999998</v>
      </c>
      <c r="L731" s="416">
        <f t="shared" si="19"/>
        <v>14.4</v>
      </c>
      <c r="M731" s="417">
        <f t="shared" si="19"/>
        <v>1413449.8</v>
      </c>
      <c r="N731" s="416">
        <f t="shared" si="19"/>
        <v>236.98000000000002</v>
      </c>
      <c r="O731" s="417">
        <f t="shared" si="19"/>
        <v>18573584.099999998</v>
      </c>
      <c r="P731" s="416">
        <f t="shared" si="19"/>
        <v>325.44</v>
      </c>
      <c r="Q731" s="418">
        <f t="shared" si="19"/>
        <v>19748827.739999998</v>
      </c>
    </row>
    <row r="732" spans="1:17" ht="11.25" customHeight="1" x14ac:dyDescent="0.25">
      <c r="A732" s="402"/>
      <c r="B732" s="265"/>
      <c r="C732" s="264"/>
      <c r="D732" s="414">
        <v>81</v>
      </c>
      <c r="E732" s="415"/>
      <c r="F732" s="416">
        <f t="shared" ref="F732:Q732" si="20">F578</f>
        <v>0</v>
      </c>
      <c r="G732" s="417">
        <f t="shared" si="20"/>
        <v>0</v>
      </c>
      <c r="H732" s="416">
        <f t="shared" si="20"/>
        <v>0</v>
      </c>
      <c r="I732" s="417">
        <f t="shared" si="20"/>
        <v>0</v>
      </c>
      <c r="J732" s="416">
        <f t="shared" si="20"/>
        <v>0</v>
      </c>
      <c r="K732" s="417">
        <f t="shared" si="20"/>
        <v>0</v>
      </c>
      <c r="L732" s="416">
        <f t="shared" si="20"/>
        <v>0</v>
      </c>
      <c r="M732" s="417">
        <f t="shared" si="20"/>
        <v>0</v>
      </c>
      <c r="N732" s="416">
        <f t="shared" si="20"/>
        <v>0</v>
      </c>
      <c r="O732" s="417">
        <f t="shared" si="20"/>
        <v>0</v>
      </c>
      <c r="P732" s="416">
        <f t="shared" si="20"/>
        <v>9.129999999999999</v>
      </c>
      <c r="Q732" s="418">
        <f t="shared" si="20"/>
        <v>633378.06000000006</v>
      </c>
    </row>
    <row r="733" spans="1:17" ht="11.25" customHeight="1" x14ac:dyDescent="0.25">
      <c r="A733" s="402"/>
      <c r="B733" s="265"/>
      <c r="C733" s="264"/>
      <c r="D733" s="414">
        <v>86</v>
      </c>
      <c r="E733" s="415"/>
      <c r="F733" s="416">
        <f t="shared" ref="F733:Q733" si="21">F589</f>
        <v>1.85</v>
      </c>
      <c r="G733" s="417">
        <f t="shared" si="21"/>
        <v>194304</v>
      </c>
      <c r="H733" s="416">
        <f t="shared" si="21"/>
        <v>0.65</v>
      </c>
      <c r="I733" s="417">
        <f t="shared" si="21"/>
        <v>77104.800000000003</v>
      </c>
      <c r="J733" s="416">
        <f t="shared" si="21"/>
        <v>1.2</v>
      </c>
      <c r="K733" s="417">
        <f t="shared" si="21"/>
        <v>117199.2</v>
      </c>
      <c r="L733" s="416">
        <f t="shared" si="21"/>
        <v>0</v>
      </c>
      <c r="M733" s="417">
        <f t="shared" si="21"/>
        <v>0</v>
      </c>
      <c r="N733" s="416">
        <f t="shared" si="21"/>
        <v>1.85</v>
      </c>
      <c r="O733" s="417">
        <f t="shared" si="21"/>
        <v>194304</v>
      </c>
      <c r="P733" s="416">
        <f t="shared" si="21"/>
        <v>24.009999999999998</v>
      </c>
      <c r="Q733" s="418">
        <f t="shared" si="21"/>
        <v>1467795.94</v>
      </c>
    </row>
    <row r="734" spans="1:17" ht="11.25" customHeight="1" x14ac:dyDescent="0.25">
      <c r="A734" s="402"/>
      <c r="B734" s="265"/>
      <c r="C734" s="264"/>
      <c r="D734" s="414">
        <v>88</v>
      </c>
      <c r="E734" s="415"/>
      <c r="F734" s="416">
        <f t="shared" ref="F734:Q734" si="22">F605</f>
        <v>37.43</v>
      </c>
      <c r="G734" s="417">
        <f t="shared" si="22"/>
        <v>2885502.37</v>
      </c>
      <c r="H734" s="416">
        <f t="shared" si="22"/>
        <v>5.17</v>
      </c>
      <c r="I734" s="417">
        <f t="shared" si="22"/>
        <v>613836.05000000005</v>
      </c>
      <c r="J734" s="416">
        <f t="shared" si="22"/>
        <v>32.26</v>
      </c>
      <c r="K734" s="417">
        <f t="shared" si="22"/>
        <v>2271666.3200000003</v>
      </c>
      <c r="L734" s="416">
        <f t="shared" si="22"/>
        <v>0</v>
      </c>
      <c r="M734" s="417">
        <f t="shared" si="22"/>
        <v>0</v>
      </c>
      <c r="N734" s="416">
        <f t="shared" si="22"/>
        <v>37.43</v>
      </c>
      <c r="O734" s="417">
        <f t="shared" si="22"/>
        <v>2885502.37</v>
      </c>
      <c r="P734" s="416">
        <f t="shared" si="22"/>
        <v>738.46999999999991</v>
      </c>
      <c r="Q734" s="418">
        <f t="shared" si="22"/>
        <v>37479601.440000005</v>
      </c>
    </row>
    <row r="735" spans="1:17" ht="11.25" customHeight="1" x14ac:dyDescent="0.25">
      <c r="A735" s="407"/>
      <c r="B735" s="407"/>
      <c r="C735" s="407"/>
      <c r="D735" s="414">
        <v>89</v>
      </c>
      <c r="E735" s="415"/>
      <c r="F735" s="416">
        <f t="shared" ref="F735:Q735" si="23">F626</f>
        <v>15.88</v>
      </c>
      <c r="G735" s="417">
        <f t="shared" si="23"/>
        <v>1425356.81</v>
      </c>
      <c r="H735" s="416">
        <f t="shared" si="23"/>
        <v>2.1800000000000002</v>
      </c>
      <c r="I735" s="417">
        <f t="shared" si="23"/>
        <v>288618.06</v>
      </c>
      <c r="J735" s="416">
        <f t="shared" si="23"/>
        <v>7.95</v>
      </c>
      <c r="K735" s="417">
        <f t="shared" si="23"/>
        <v>628840.10000000009</v>
      </c>
      <c r="L735" s="416">
        <f t="shared" si="23"/>
        <v>5.75</v>
      </c>
      <c r="M735" s="417">
        <f t="shared" si="23"/>
        <v>507898.64999999997</v>
      </c>
      <c r="N735" s="416">
        <f t="shared" si="23"/>
        <v>15.88</v>
      </c>
      <c r="O735" s="417">
        <f t="shared" si="23"/>
        <v>1425356.81</v>
      </c>
      <c r="P735" s="416">
        <f t="shared" si="23"/>
        <v>207.20999999999998</v>
      </c>
      <c r="Q735" s="418">
        <f t="shared" si="23"/>
        <v>12389848.379999999</v>
      </c>
    </row>
    <row r="736" spans="1:17" ht="11.25" customHeight="1" x14ac:dyDescent="0.25">
      <c r="A736" s="407"/>
      <c r="B736" s="407"/>
      <c r="C736" s="407"/>
      <c r="D736" s="419" t="s">
        <v>159</v>
      </c>
      <c r="E736" s="415"/>
      <c r="F736" s="416">
        <f t="shared" ref="F736:Q736" si="24">F694</f>
        <v>25.4</v>
      </c>
      <c r="G736" s="417">
        <f t="shared" si="24"/>
        <v>3033460.04</v>
      </c>
      <c r="H736" s="416">
        <f t="shared" si="24"/>
        <v>8.1300000000000008</v>
      </c>
      <c r="I736" s="417">
        <f t="shared" si="24"/>
        <v>1281110.33</v>
      </c>
      <c r="J736" s="416">
        <f t="shared" si="24"/>
        <v>17.27</v>
      </c>
      <c r="K736" s="417">
        <f t="shared" si="24"/>
        <v>1752349.71</v>
      </c>
      <c r="L736" s="416">
        <f t="shared" si="24"/>
        <v>0</v>
      </c>
      <c r="M736" s="417">
        <f t="shared" si="24"/>
        <v>0</v>
      </c>
      <c r="N736" s="416">
        <f t="shared" si="24"/>
        <v>25.4</v>
      </c>
      <c r="O736" s="417">
        <f t="shared" si="24"/>
        <v>3033460.04</v>
      </c>
      <c r="P736" s="416">
        <f t="shared" si="24"/>
        <v>338.13</v>
      </c>
      <c r="Q736" s="418">
        <f t="shared" si="24"/>
        <v>33675372.530000001</v>
      </c>
    </row>
    <row r="737" spans="1:17" ht="11.25" customHeight="1" x14ac:dyDescent="0.25">
      <c r="A737" s="407"/>
      <c r="B737" s="407"/>
      <c r="C737" s="407"/>
      <c r="D737" s="419" t="s">
        <v>161</v>
      </c>
      <c r="E737" s="415"/>
      <c r="F737" s="416">
        <f t="shared" ref="F737:Q737" si="25">F698</f>
        <v>0</v>
      </c>
      <c r="G737" s="417">
        <f t="shared" si="25"/>
        <v>0</v>
      </c>
      <c r="H737" s="416">
        <f t="shared" si="25"/>
        <v>0</v>
      </c>
      <c r="I737" s="417">
        <f t="shared" si="25"/>
        <v>0</v>
      </c>
      <c r="J737" s="416">
        <f t="shared" si="25"/>
        <v>0</v>
      </c>
      <c r="K737" s="417">
        <f t="shared" si="25"/>
        <v>0</v>
      </c>
      <c r="L737" s="416">
        <f t="shared" si="25"/>
        <v>0</v>
      </c>
      <c r="M737" s="417">
        <f t="shared" si="25"/>
        <v>0</v>
      </c>
      <c r="N737" s="416">
        <f t="shared" si="25"/>
        <v>0</v>
      </c>
      <c r="O737" s="417">
        <f t="shared" si="25"/>
        <v>0</v>
      </c>
      <c r="P737" s="416">
        <f t="shared" si="25"/>
        <v>2.02</v>
      </c>
      <c r="Q737" s="420">
        <f t="shared" si="25"/>
        <v>58190.33</v>
      </c>
    </row>
    <row r="738" spans="1:17" ht="11.25" customHeight="1" x14ac:dyDescent="0.25">
      <c r="A738" s="407"/>
      <c r="B738" s="407"/>
      <c r="C738" s="407"/>
      <c r="D738" s="421" t="s">
        <v>41</v>
      </c>
      <c r="E738" s="422"/>
      <c r="F738" s="423">
        <f t="shared" ref="F738:Q738" si="26">SUM(F713:F737)</f>
        <v>652.76</v>
      </c>
      <c r="G738" s="424">
        <f t="shared" si="26"/>
        <v>55047444.789999992</v>
      </c>
      <c r="H738" s="423">
        <f t="shared" si="26"/>
        <v>56.7</v>
      </c>
      <c r="I738" s="424">
        <f t="shared" si="26"/>
        <v>7108675.2299999995</v>
      </c>
      <c r="J738" s="423">
        <f t="shared" si="26"/>
        <v>575.69999999999993</v>
      </c>
      <c r="K738" s="424">
        <f t="shared" si="26"/>
        <v>46012337.640000001</v>
      </c>
      <c r="L738" s="423">
        <f t="shared" si="26"/>
        <v>20.36</v>
      </c>
      <c r="M738" s="424">
        <f t="shared" si="26"/>
        <v>1934127.92</v>
      </c>
      <c r="N738" s="423">
        <f t="shared" si="26"/>
        <v>652.76</v>
      </c>
      <c r="O738" s="424">
        <f t="shared" si="26"/>
        <v>55055140.789999992</v>
      </c>
      <c r="P738" s="423">
        <f t="shared" si="26"/>
        <v>2229.0700000000002</v>
      </c>
      <c r="Q738" s="425">
        <f t="shared" si="26"/>
        <v>136576665.32000002</v>
      </c>
    </row>
    <row r="739" spans="1:17" ht="11.25" customHeight="1" thickBot="1" x14ac:dyDescent="0.2">
      <c r="A739" s="426"/>
      <c r="B739" s="427"/>
      <c r="C739" s="427"/>
      <c r="D739" s="428" t="s">
        <v>217</v>
      </c>
      <c r="E739" s="429"/>
      <c r="F739" s="430"/>
      <c r="G739" s="431">
        <f>G738/F738</f>
        <v>84330.297184263734</v>
      </c>
      <c r="H739" s="430"/>
      <c r="I739" s="431">
        <f>I738/H738</f>
        <v>125373.46084656083</v>
      </c>
      <c r="J739" s="430"/>
      <c r="K739" s="431">
        <f>K738/J738</f>
        <v>79924.157790515907</v>
      </c>
      <c r="L739" s="430"/>
      <c r="M739" s="431">
        <f>M738/L738</f>
        <v>94996.459724950881</v>
      </c>
      <c r="N739" s="430"/>
      <c r="O739" s="431">
        <f>O738/N738</f>
        <v>84342.087122372686</v>
      </c>
      <c r="P739" s="430"/>
      <c r="Q739" s="432">
        <f>Q738/P738</f>
        <v>61270.693751205668</v>
      </c>
    </row>
    <row r="740" spans="1:17" ht="11.25" customHeight="1" thickTop="1" x14ac:dyDescent="0.25">
      <c r="A740" s="426"/>
      <c r="B740" s="427"/>
      <c r="C740" s="427"/>
      <c r="D740" s="407"/>
      <c r="E740" s="407"/>
      <c r="F740" s="407"/>
      <c r="G740" s="407"/>
      <c r="H740" s="407"/>
      <c r="I740" s="407"/>
      <c r="J740" s="407"/>
      <c r="K740" s="407"/>
      <c r="L740" s="407"/>
      <c r="M740" s="407"/>
      <c r="N740" s="407"/>
      <c r="O740" s="407"/>
      <c r="P740" s="407"/>
      <c r="Q740" s="407"/>
    </row>
    <row r="741" spans="1:17" ht="11.25" customHeight="1" x14ac:dyDescent="0.25">
      <c r="A741" s="433"/>
      <c r="B741" s="434"/>
      <c r="C741" s="434"/>
      <c r="D741" s="264"/>
      <c r="E741" s="264"/>
      <c r="F741" s="394"/>
      <c r="G741" s="395"/>
      <c r="H741" s="394"/>
      <c r="I741" s="395"/>
      <c r="J741" s="394"/>
      <c r="K741" s="395"/>
      <c r="L741" s="394"/>
      <c r="M741" s="397"/>
      <c r="N741" s="405"/>
      <c r="O741" s="406"/>
      <c r="P741" s="394"/>
      <c r="Q741" s="395"/>
    </row>
    <row r="742" spans="1:17" ht="11.25" customHeight="1" x14ac:dyDescent="0.25">
      <c r="A742" s="435" t="s">
        <v>164</v>
      </c>
      <c r="B742" s="436"/>
      <c r="C742" s="436"/>
      <c r="D742" s="437" t="s">
        <v>165</v>
      </c>
      <c r="E742" s="438">
        <f>Table5_6!D43</f>
        <v>4972.07</v>
      </c>
      <c r="F742" s="407"/>
      <c r="G742" s="407"/>
      <c r="H742" s="407"/>
      <c r="I742" s="407"/>
      <c r="J742" s="439"/>
      <c r="K742" s="439"/>
      <c r="L742" s="407"/>
      <c r="M742" s="407"/>
      <c r="N742" s="407"/>
      <c r="O742" s="407"/>
      <c r="P742" s="407"/>
      <c r="Q742" s="407"/>
    </row>
    <row r="743" spans="1:17" ht="11.25" customHeight="1" x14ac:dyDescent="0.25">
      <c r="A743" s="435" t="s">
        <v>166</v>
      </c>
      <c r="B743" s="440"/>
      <c r="C743" s="440"/>
      <c r="D743" s="441" t="s">
        <v>167</v>
      </c>
      <c r="E743" s="442">
        <f>Table5_6!D58</f>
        <v>72586.59</v>
      </c>
      <c r="F743" s="407"/>
      <c r="G743" s="407"/>
      <c r="H743" s="407"/>
      <c r="I743" s="407"/>
      <c r="J743" s="439"/>
      <c r="K743" s="439"/>
      <c r="L743" s="407"/>
      <c r="M743" s="407"/>
      <c r="N743" s="407"/>
      <c r="O743" s="407"/>
      <c r="P743" s="407"/>
      <c r="Q743" s="407"/>
    </row>
    <row r="744" spans="1:17" ht="11.25" customHeight="1" x14ac:dyDescent="0.25">
      <c r="A744" s="435" t="s">
        <v>168</v>
      </c>
      <c r="B744" s="436"/>
      <c r="C744" s="436"/>
      <c r="D744" s="437"/>
      <c r="E744" s="438">
        <f>SUM(E742:E743)</f>
        <v>77558.66</v>
      </c>
      <c r="F744" s="407"/>
      <c r="G744" s="407"/>
      <c r="H744" s="407"/>
      <c r="I744" s="407"/>
      <c r="J744" s="439"/>
      <c r="K744" s="439"/>
      <c r="L744" s="407"/>
      <c r="M744" s="407"/>
      <c r="N744" s="407"/>
      <c r="O744" s="407"/>
      <c r="P744" s="407"/>
      <c r="Q744" s="407"/>
    </row>
    <row r="745" spans="1:17" ht="11.25" customHeight="1" x14ac:dyDescent="0.25">
      <c r="A745" s="435" t="s">
        <v>169</v>
      </c>
      <c r="B745" s="436"/>
      <c r="C745" s="436"/>
      <c r="D745" s="437" t="s">
        <v>170</v>
      </c>
      <c r="E745" s="442">
        <f>Table5_6!D10</f>
        <v>158.70999999999998</v>
      </c>
      <c r="F745" s="407"/>
      <c r="G745" s="407"/>
      <c r="H745" s="407"/>
      <c r="I745" s="407"/>
      <c r="J745" s="439"/>
      <c r="K745" s="439"/>
      <c r="L745" s="407"/>
      <c r="M745" s="407"/>
      <c r="N745" s="407"/>
      <c r="O745" s="407"/>
      <c r="P745" s="407"/>
      <c r="Q745" s="407"/>
    </row>
    <row r="746" spans="1:17" ht="11.25" customHeight="1" x14ac:dyDescent="0.25">
      <c r="A746" s="435" t="s">
        <v>171</v>
      </c>
      <c r="B746" s="436"/>
      <c r="C746" s="436"/>
      <c r="D746" s="437" t="s">
        <v>170</v>
      </c>
      <c r="E746" s="442">
        <f>Table5_6!D11</f>
        <v>59.98</v>
      </c>
      <c r="F746" s="407"/>
      <c r="G746" s="407"/>
      <c r="H746" s="407"/>
      <c r="I746" s="407"/>
      <c r="J746" s="439"/>
      <c r="K746" s="439"/>
      <c r="L746" s="407"/>
      <c r="M746" s="407"/>
      <c r="N746" s="407"/>
      <c r="O746" s="407"/>
      <c r="P746" s="407"/>
      <c r="Q746" s="407"/>
    </row>
    <row r="747" spans="1:17" ht="11.25" customHeight="1" x14ac:dyDescent="0.25">
      <c r="A747" s="435" t="s">
        <v>41</v>
      </c>
      <c r="B747" s="436"/>
      <c r="C747" s="436"/>
      <c r="D747" s="437"/>
      <c r="E747" s="443">
        <f>SUM(E744:E746)</f>
        <v>77777.350000000006</v>
      </c>
      <c r="F747" s="407"/>
      <c r="G747" s="407"/>
      <c r="H747" s="407"/>
      <c r="I747" s="407"/>
      <c r="J747" s="439"/>
      <c r="K747" s="439"/>
      <c r="L747" s="394"/>
      <c r="M747" s="397"/>
      <c r="N747" s="405"/>
      <c r="O747" s="406"/>
      <c r="P747" s="394"/>
      <c r="Q747" s="395"/>
    </row>
    <row r="748" spans="1:17" ht="11.25" customHeight="1" x14ac:dyDescent="0.25">
      <c r="A748" s="435" t="s">
        <v>172</v>
      </c>
      <c r="B748" s="436"/>
      <c r="C748" s="440"/>
      <c r="D748" s="437" t="s">
        <v>173</v>
      </c>
      <c r="E748" s="438">
        <f>Table5_6!D28</f>
        <v>77777.349999999991</v>
      </c>
      <c r="F748" s="407"/>
      <c r="G748" s="407"/>
      <c r="H748" s="407"/>
      <c r="I748" s="407"/>
      <c r="J748" s="439"/>
      <c r="K748" s="439"/>
      <c r="L748" s="394"/>
      <c r="M748" s="397"/>
      <c r="N748" s="405"/>
      <c r="O748" s="406"/>
      <c r="P748" s="394"/>
      <c r="Q748" s="395"/>
    </row>
    <row r="749" spans="1:17" ht="11.25" customHeight="1" x14ac:dyDescent="0.25">
      <c r="A749" s="264"/>
      <c r="B749" s="264"/>
      <c r="C749" s="264"/>
      <c r="D749" s="264"/>
      <c r="E749" s="264"/>
      <c r="F749" s="264"/>
      <c r="G749" s="264"/>
      <c r="H749" s="264"/>
      <c r="I749" s="264"/>
      <c r="J749" s="444"/>
      <c r="K749" s="444"/>
      <c r="L749" s="264"/>
      <c r="M749" s="265"/>
      <c r="N749" s="264"/>
      <c r="O749" s="265"/>
      <c r="P749" s="264"/>
      <c r="Q749" s="265"/>
    </row>
    <row r="750" spans="1:17" ht="11.25" customHeight="1" x14ac:dyDescent="0.25">
      <c r="A750" s="264"/>
      <c r="B750" s="264"/>
      <c r="C750" s="264"/>
      <c r="D750" s="264"/>
      <c r="E750" s="264"/>
      <c r="F750" s="264"/>
      <c r="G750" s="264"/>
      <c r="H750" s="264"/>
      <c r="I750" s="264"/>
      <c r="J750" s="444"/>
      <c r="K750" s="444"/>
      <c r="L750" s="264"/>
      <c r="M750" s="265"/>
      <c r="N750" s="264"/>
      <c r="O750" s="265"/>
      <c r="P750" s="264"/>
      <c r="Q750" s="265"/>
    </row>
    <row r="751" spans="1:17" ht="11.25" customHeight="1" x14ac:dyDescent="0.25">
      <c r="A751" s="264"/>
      <c r="B751" s="264"/>
      <c r="C751" s="264"/>
      <c r="D751" s="264"/>
      <c r="E751" s="264"/>
      <c r="F751" s="264"/>
      <c r="G751" s="264"/>
      <c r="H751" s="264"/>
      <c r="I751" s="264"/>
      <c r="J751" s="264"/>
      <c r="K751" s="444"/>
      <c r="L751" s="264"/>
      <c r="M751" s="265"/>
      <c r="N751" s="264"/>
      <c r="O751" s="265"/>
      <c r="P751" s="264"/>
      <c r="Q751" s="265"/>
    </row>
    <row r="752" spans="1:17" ht="11.25" customHeight="1" x14ac:dyDescent="0.25">
      <c r="A752" s="264"/>
      <c r="B752" s="264"/>
      <c r="C752" s="264"/>
      <c r="D752" s="264"/>
      <c r="E752" s="264"/>
      <c r="F752" s="264"/>
      <c r="G752" s="264"/>
      <c r="H752" s="264"/>
      <c r="I752" s="264"/>
      <c r="J752" s="264"/>
      <c r="K752" s="444"/>
      <c r="L752" s="264"/>
      <c r="M752" s="265"/>
      <c r="N752" s="264"/>
      <c r="O752" s="265"/>
      <c r="P752" s="264"/>
      <c r="Q752" s="265"/>
    </row>
    <row r="753" spans="1:17" ht="11.25" customHeight="1" x14ac:dyDescent="0.25">
      <c r="A753" s="264"/>
      <c r="B753" s="264"/>
      <c r="C753" s="264"/>
      <c r="D753" s="264"/>
      <c r="E753" s="264"/>
      <c r="F753" s="264"/>
      <c r="G753" s="264"/>
      <c r="H753" s="264"/>
      <c r="I753" s="264"/>
      <c r="J753" s="264"/>
      <c r="K753" s="444"/>
      <c r="L753" s="264"/>
      <c r="M753" s="265"/>
      <c r="N753" s="264"/>
      <c r="O753" s="265"/>
      <c r="P753" s="264"/>
      <c r="Q753" s="265"/>
    </row>
    <row r="754" spans="1:17" ht="11.25" customHeight="1" x14ac:dyDescent="0.25">
      <c r="A754" s="264"/>
      <c r="B754" s="264"/>
      <c r="C754" s="264"/>
      <c r="D754" s="264"/>
      <c r="E754" s="264"/>
      <c r="F754" s="264"/>
      <c r="G754" s="264"/>
      <c r="H754" s="264"/>
      <c r="I754" s="264"/>
      <c r="J754" s="264"/>
      <c r="K754" s="444"/>
      <c r="L754" s="264"/>
      <c r="M754" s="265"/>
      <c r="N754" s="264"/>
      <c r="O754" s="265"/>
      <c r="P754" s="264"/>
      <c r="Q754" s="265"/>
    </row>
    <row r="755" spans="1:17" ht="11.25" customHeight="1" x14ac:dyDescent="0.25">
      <c r="A755" s="264"/>
      <c r="B755" s="264"/>
      <c r="C755" s="264"/>
      <c r="D755" s="264"/>
      <c r="E755" s="264"/>
      <c r="F755" s="264"/>
      <c r="G755" s="264"/>
      <c r="H755" s="264"/>
      <c r="I755" s="264"/>
      <c r="J755" s="264"/>
      <c r="K755" s="444"/>
      <c r="L755" s="264"/>
      <c r="M755" s="265"/>
      <c r="N755" s="264"/>
      <c r="O755" s="265"/>
      <c r="P755" s="264"/>
      <c r="Q755" s="265"/>
    </row>
    <row r="756" spans="1:17" ht="11.25" customHeight="1" x14ac:dyDescent="0.25">
      <c r="A756" s="264"/>
      <c r="B756" s="264"/>
      <c r="C756" s="264"/>
      <c r="D756" s="264"/>
      <c r="E756" s="264"/>
      <c r="F756" s="264"/>
      <c r="G756" s="264"/>
      <c r="H756" s="264"/>
      <c r="I756" s="264"/>
      <c r="J756" s="264"/>
      <c r="K756" s="444"/>
      <c r="L756" s="264"/>
      <c r="M756" s="265"/>
      <c r="N756" s="264"/>
      <c r="O756" s="265"/>
      <c r="P756" s="264"/>
      <c r="Q756" s="265"/>
    </row>
    <row r="757" spans="1:17" ht="11.25" customHeight="1" x14ac:dyDescent="0.25">
      <c r="A757" s="264"/>
      <c r="B757" s="264"/>
      <c r="C757" s="264"/>
      <c r="D757" s="264"/>
      <c r="E757" s="264"/>
      <c r="F757" s="264"/>
      <c r="G757" s="264"/>
      <c r="H757" s="264"/>
      <c r="I757" s="264"/>
      <c r="J757" s="264"/>
      <c r="K757" s="444"/>
      <c r="L757" s="264"/>
      <c r="M757" s="265"/>
      <c r="N757" s="264"/>
      <c r="O757" s="265"/>
      <c r="P757" s="264"/>
      <c r="Q757" s="265"/>
    </row>
    <row r="758" spans="1:17" ht="11.25" customHeight="1" x14ac:dyDescent="0.25">
      <c r="A758" s="265"/>
      <c r="B758" s="264"/>
      <c r="C758" s="264"/>
      <c r="D758" s="264"/>
      <c r="E758" s="264"/>
      <c r="F758" s="264"/>
      <c r="G758" s="265"/>
      <c r="H758" s="264"/>
      <c r="I758" s="265"/>
      <c r="J758" s="264"/>
      <c r="K758" s="444"/>
      <c r="L758" s="264"/>
      <c r="M758" s="265"/>
      <c r="N758" s="264"/>
      <c r="O758" s="265"/>
      <c r="P758" s="264"/>
      <c r="Q758" s="265"/>
    </row>
    <row r="759" spans="1:17" ht="11.25" customHeight="1" x14ac:dyDescent="0.25">
      <c r="A759" s="265"/>
      <c r="B759" s="264"/>
      <c r="C759" s="264"/>
      <c r="D759" s="264"/>
      <c r="E759" s="264"/>
      <c r="F759" s="264"/>
      <c r="G759" s="265"/>
      <c r="H759" s="264"/>
      <c r="I759" s="265"/>
      <c r="J759" s="264"/>
      <c r="K759" s="444"/>
      <c r="L759" s="264"/>
      <c r="M759" s="265"/>
      <c r="N759" s="264"/>
      <c r="O759" s="265"/>
      <c r="P759" s="264"/>
      <c r="Q759" s="265"/>
    </row>
  </sheetData>
  <autoFilter ref="A5:Q699">
    <filterColumn colId="5" showButton="0"/>
    <filterColumn colId="7" showButton="0"/>
    <filterColumn colId="9" showButton="0"/>
    <filterColumn colId="15" showButton="0"/>
  </autoFilter>
  <phoneticPr fontId="0" type="noConversion"/>
  <pageMargins left="0.5" right="0.5" top="1" bottom="1" header="0.5" footer="0.5"/>
  <pageSetup scale="70" orientation="landscape" r:id="rId1"/>
  <headerFooter alignWithMargins="0">
    <oddHeader>&amp;L&amp;F&amp;C&amp;A</oddHeader>
    <oddFooter>&amp;LOSPI/SAFS&amp;CPage &amp;P of &amp;N&amp;R&amp;D</oddFooter>
  </headerFooter>
  <rowBreaks count="1" manualBreakCount="1">
    <brk id="6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Table1</vt:lpstr>
      <vt:lpstr>Table2</vt:lpstr>
      <vt:lpstr>Table3</vt:lpstr>
      <vt:lpstr>Table3WS1</vt:lpstr>
      <vt:lpstr>Table3WS2</vt:lpstr>
      <vt:lpstr>Table4</vt:lpstr>
      <vt:lpstr>Table4ws</vt:lpstr>
      <vt:lpstr>Table5_6</vt:lpstr>
      <vt:lpstr>Table5_6ws1</vt:lpstr>
      <vt:lpstr>table7</vt:lpstr>
      <vt:lpstr>Table1!Print_Area</vt:lpstr>
      <vt:lpstr>Table5_6!Print_Area</vt:lpstr>
      <vt:lpstr>Table4ws!Print_Titles</vt:lpstr>
      <vt:lpstr>Table5_6ws1!Print_Titles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2021-03-15T22:51:40Z</cp:lastPrinted>
  <dcterms:created xsi:type="dcterms:W3CDTF">1996-11-12T19:09:12Z</dcterms:created>
  <dcterms:modified xsi:type="dcterms:W3CDTF">2021-03-15T22:52:03Z</dcterms:modified>
</cp:coreProperties>
</file>